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C:\Users\TorunEgganSkjerve\Downloads\"/>
    </mc:Choice>
  </mc:AlternateContent>
  <xr:revisionPtr revIDLastSave="0" documentId="13_ncr:1_{B33A6E41-BA26-40BD-AD93-5D5A3F5DC35A}" xr6:coauthVersionLast="47" xr6:coauthVersionMax="47" xr10:uidLastSave="{00000000-0000-0000-0000-000000000000}"/>
  <workbookProtection workbookAlgorithmName="SHA-512" workbookHashValue="aLeGe9RiolfnP8C4Pd+rYRzhDM1esJlQfWwHy94luxaFhMbAWM0AkoV8GmvKqfz+FxYG2U4v/LIqlYSHUtaqww==" workbookSaltValue="C4QjRCCAMZERq+Lw8E+m/g==" workbookSpinCount="100000" lockStructure="1"/>
  <bookViews>
    <workbookView xWindow="28680" yWindow="-120" windowWidth="29040" windowHeight="15720" tabRatio="899" xr2:uid="{00000000-000D-0000-FFFF-FFFF00000000}"/>
  </bookViews>
  <sheets>
    <sheet name="Instructions" sheetId="12" r:id="rId1"/>
    <sheet name="Assessment Details" sheetId="3" r:id="rId2"/>
    <sheet name="Options" sheetId="26" state="hidden" r:id="rId3"/>
    <sheet name="Assessment Issue Scoring" sheetId="23" r:id="rId4"/>
    <sheet name="KPIs" sheetId="28" r:id="rId5"/>
    <sheet name="Poeng" sheetId="13" state="hidden" r:id="rId6"/>
    <sheet name="Pre-Assessment Estimator" sheetId="5" state="hidden" r:id="rId7"/>
    <sheet name="Manuell filtrering og justering" sheetId="16" state="hidden" r:id="rId8"/>
    <sheet name="Assessment Rating" sheetId="11" r:id="rId9"/>
    <sheet name="Assessment References" sheetId="24" r:id="rId10"/>
    <sheet name="Version Control" sheetId="8" r:id="rId11"/>
    <sheet name="Sheet1" sheetId="17" state="hidden" r:id="rId12"/>
    <sheet name="Sheet2" sheetId="18" state="hidden" r:id="rId13"/>
    <sheet name="Sheet3" sheetId="19" state="hidden" r:id="rId14"/>
    <sheet name="Logg" sheetId="29" state="hidden" r:id="rId15"/>
  </sheets>
  <definedNames>
    <definedName name="_xlnm._FilterDatabase" localSheetId="3" hidden="1">'Assessment Issue Scoring'!$A$9:$R$1351</definedName>
    <definedName name="_xlnm._FilterDatabase" localSheetId="9" hidden="1">'Assessment References'!$B$6:$BG$506</definedName>
    <definedName name="_xlnm._FilterDatabase" localSheetId="5" hidden="1">Poeng!$A$8:$R$279</definedName>
    <definedName name="_xlnm._FilterDatabase" localSheetId="6" hidden="1">'Pre-Assessment Estimator'!$A$9:$AF$229</definedName>
    <definedName name="_Man01">Options!$U$6</definedName>
    <definedName name="_PSc1">'Assessment Details'!$P$74</definedName>
    <definedName name="Achieved_const">'Assessment Rating'!$H$44</definedName>
    <definedName name="Achieved_initial">'Assessment Rating'!$D$44</definedName>
    <definedName name="AD_Add01">'Assessment Details'!$C$14</definedName>
    <definedName name="AD_Add02">'Assessment Details'!$C$15</definedName>
    <definedName name="AD_Add04">'Assessment Details'!$C$17</definedName>
    <definedName name="AD_Architect">'Assessment Details'!$C$26</definedName>
    <definedName name="AD_assessor">'Assessment Details'!$C$8</definedName>
    <definedName name="AD_Assessor_org">'Assessment Details'!$C$9</definedName>
    <definedName name="AD_Banner">'Assessment Details'!$B$2</definedName>
    <definedName name="AD_BREEAM_stage">'Assessment Details'!$Q$5</definedName>
    <definedName name="AD_BREEAM_version">'Assessment Details'!$Q$8</definedName>
    <definedName name="AD_BREEAMAP">'Assessment Details'!$C$29</definedName>
    <definedName name="AD_Buildserve">'Assessment Details'!$C$28</definedName>
    <definedName name="AD_Builduser">'Assessment Details'!$C$7</definedName>
    <definedName name="AD_catlevel01">'Assessment Details'!$Q$31</definedName>
    <definedName name="AD_catlevel02">'Assessment Details'!$Q$32</definedName>
    <definedName name="AD_catlevel03">'Assessment Details'!$Q$33</definedName>
    <definedName name="AD_client">'Assessment Details'!$C$6</definedName>
    <definedName name="AD_Contractor">'Assessment Details'!$C$25</definedName>
    <definedName name="AD_Developer">'Assessment Details'!$C$24</definedName>
    <definedName name="AD_Energyload">'Assessment Details'!$F$22</definedName>
    <definedName name="AD_GIA">'Assessment Details'!$F$12</definedName>
    <definedName name="AD_heat">'Assessment Details'!$F$15</definedName>
    <definedName name="AD_labcat_list">'Assessment Details'!$Q$31:$Q$34</definedName>
    <definedName name="AD_Labsize">'Assessment Details'!$F$21</definedName>
    <definedName name="AD_Labsize_list">'Assessment Details'!$Q$26:$Q$29</definedName>
    <definedName name="AD_Labsize01">'Assessment Details'!$Q$27</definedName>
    <definedName name="AD_Labsize02">'Assessment Details'!$Q$28</definedName>
    <definedName name="AD_Labsize03">'Assessment Details'!$Q$29</definedName>
    <definedName name="AD_labsize04">'Assessment Details'!$Q$26</definedName>
    <definedName name="AD_MultiRes_option01a">'Assessment Details'!$P$96</definedName>
    <definedName name="AD_MultiRes_option01b">'Assessment Details'!$P$97</definedName>
    <definedName name="AD_Multitenant">'Assessment Details'!$Q$46</definedName>
    <definedName name="AD_NIFA">'Assessment Details'!$F$13</definedName>
    <definedName name="AD_no">'Assessment Details'!$Q$23</definedName>
    <definedName name="AD_option_na">'Assessment Details'!$Q$24</definedName>
    <definedName name="AD_Other01">'Assessment Details'!$C$30</definedName>
    <definedName name="AD_Other02">'Assessment Details'!$C$31</definedName>
    <definedName name="AD_other03">'Assessment Details'!$C$32</definedName>
    <definedName name="AD_Other04">'Assessment Details'!$C$33</definedName>
    <definedName name="AD_Ozoneleg">'Assessment Details'!$P$73</definedName>
    <definedName name="AD_p_zone0">'Assessment Details'!$T$91</definedName>
    <definedName name="AD_p_zone1">'Assessment Details'!$T$92</definedName>
    <definedName name="AD_P_zone2">'Assessment Details'!$T$93</definedName>
    <definedName name="AD_P_Zone3">'Assessment Details'!$T$94</definedName>
    <definedName name="AD_Projman">'Assessment Details'!$C$27</definedName>
    <definedName name="AD_ref">'Assessment Details'!$C$5</definedName>
    <definedName name="AD_refrig">'Assessment Details'!$F$19</definedName>
    <definedName name="AD_stage_list">'Assessment Details'!$Q$18:$Q$19</definedName>
    <definedName name="AD_Statement04">'Assessment Details'!$Q$48</definedName>
    <definedName name="AD_statement05">'Assessment Details'!$Q$49</definedName>
    <definedName name="AD_statement06">'Assessment Details'!$Q$50</definedName>
    <definedName name="AD_tra01type">'Assessment Details'!$P$68</definedName>
    <definedName name="AD_Trans">'Assessment Details'!$F$20</definedName>
    <definedName name="AD_type_list">'Assessment Details'!$L$5:$L$8</definedName>
    <definedName name="AD_version">'Assessment Details'!$R$86</definedName>
    <definedName name="AD_Yes">'Assessment Details'!$Q$22</definedName>
    <definedName name="AD_YesNo">'Assessment Details'!$Q$22:$Q$23</definedName>
    <definedName name="AD_YesNo_list">'Assessment Details'!$Q$22:$Q$24</definedName>
    <definedName name="ADAS0">'Assessment Details'!$R$84</definedName>
    <definedName name="ADAS01">'Assessment Details'!$Q$18</definedName>
    <definedName name="ADAS02">'Assessment Details'!$Q$19</definedName>
    <definedName name="ADBN">'Assessment Details'!$C$13</definedName>
    <definedName name="ADBN_SR" localSheetId="9">'Assessment References'!$KB$13</definedName>
    <definedName name="ADBT_sub02">'Assessment Details'!$O$5</definedName>
    <definedName name="ADBT_sub03">'Assessment Details'!$O$6</definedName>
    <definedName name="ADBT_sub04">'Assessment Details'!$O$7</definedName>
    <definedName name="ADBT_sub05">'Assessment Details'!$O$8</definedName>
    <definedName name="ADBT_sub06">'Assessment Details'!$O$9</definedName>
    <definedName name="ADBT_sub07">'Assessment Details'!$O$10</definedName>
    <definedName name="ADBT_sub08">'Assessment Details'!$O$11</definedName>
    <definedName name="ADBT_sub09">'Assessment Details'!$O$12</definedName>
    <definedName name="ADBT_sub10">'Assessment Details'!$O$13</definedName>
    <definedName name="ADBT_sub11">'Assessment Details'!$O$14</definedName>
    <definedName name="ADBT_sub12">'Assessment Details'!$O$15</definedName>
    <definedName name="ADBT_sub13">'Assessment Details'!$O$16</definedName>
    <definedName name="ADBT_sub14">'Assessment Details'!$O$17</definedName>
    <definedName name="ADBT_sub15">'Assessment Details'!$O$18</definedName>
    <definedName name="ADBT_sub16">'Assessment Details'!$O$19</definedName>
    <definedName name="ADBT_sub17">'Assessment Details'!$O$20</definedName>
    <definedName name="ADBT0">'Assessment Details'!$F$5</definedName>
    <definedName name="ADBT1">'Assessment Details'!$L$5</definedName>
    <definedName name="ADBT12">'Assessment Details'!$L$9</definedName>
    <definedName name="ADBT13">'Assessment Details'!$L$10</definedName>
    <definedName name="ADBT14">'Assessment Details'!$L$11</definedName>
    <definedName name="ADBT15">'Assessment Details'!$L$12</definedName>
    <definedName name="ADBT16">'Assessment Details'!$L$13</definedName>
    <definedName name="ADBT17">'Assessment Details'!$L$14</definedName>
    <definedName name="ADBT18">'Assessment Details'!$L$15</definedName>
    <definedName name="ADBT19">'Assessment Details'!$L$16</definedName>
    <definedName name="ADBT2">'Assessment Details'!$L$6</definedName>
    <definedName name="ADBT20">'Assessment Details'!$L$17</definedName>
    <definedName name="ADBT3">'Assessment Details'!$L$7</definedName>
    <definedName name="ADBT8">'Assessment Details'!$L$8</definedName>
    <definedName name="ADBT9">'Assessment Details'!$L$5</definedName>
    <definedName name="ADFume_option01">'Assessment Details'!$P$47</definedName>
    <definedName name="ADIND_option02">'Assessment Details'!$F$16</definedName>
    <definedName name="ADIND_option02n">'Assessment Details'!$H$16</definedName>
    <definedName name="ADIND_option03">'Assessment Details'!$F$17</definedName>
    <definedName name="ADPT">'Assessment Details'!$Q$17</definedName>
    <definedName name="ADPT01">'Assessment Details'!$Q$11</definedName>
    <definedName name="ADPT02">'Assessment Details'!$Q$13</definedName>
    <definedName name="ADPT03">'Assessment Details'!$Q$14</definedName>
    <definedName name="ADPT04">'Assessment Details'!$Q$16</definedName>
    <definedName name="AIS_construction">Options!$B$11</definedName>
    <definedName name="AIS_credit00">Options!$P$3</definedName>
    <definedName name="AIS_credit01">Options!$P$4</definedName>
    <definedName name="AIS_credit02">Options!$P$5</definedName>
    <definedName name="AIS_Error">Options!$B$7</definedName>
    <definedName name="ais_ja">Poeng!$G$4</definedName>
    <definedName name="AIS_measured">Options!$B$9</definedName>
    <definedName name="AIS_Missing_data">Options!$B$8</definedName>
    <definedName name="AIS_Modelled">Options!$B$13</definedName>
    <definedName name="AIS_NA" localSheetId="2">Options!$B$6</definedName>
    <definedName name="AIS_NA">Poeng!$G$6</definedName>
    <definedName name="ais_nei">Poeng!$G$5</definedName>
    <definedName name="AIS_No">Options!$B$5</definedName>
    <definedName name="AIS_No_old" localSheetId="2">Options!$B$5</definedName>
    <definedName name="AIS_option00a">Options!$O$9</definedName>
    <definedName name="AIS_option00b">Options!$O$15</definedName>
    <definedName name="AIS_option01" localSheetId="2">Options!$O$4</definedName>
    <definedName name="AIS_option01a">Options!$O$10</definedName>
    <definedName name="AIS_option01b">Options!$O$16</definedName>
    <definedName name="AIS_option02">Options!$O$5</definedName>
    <definedName name="AIS_option02_50" localSheetId="2">Options!$O$26</definedName>
    <definedName name="AIS_option02a" localSheetId="2">Options!$O$11</definedName>
    <definedName name="AIS_option03" localSheetId="2">Options!$O$6</definedName>
    <definedName name="AIS_option03a">Options!$O$12</definedName>
    <definedName name="AIS_option03b">Options!$O$17</definedName>
    <definedName name="AIS_option04">Options!$O$7</definedName>
    <definedName name="AIS_option04a">Options!$O$13</definedName>
    <definedName name="AIS_option04b">Options!$O$18</definedName>
    <definedName name="AIS_option05">Options!$O$8</definedName>
    <definedName name="AIS_option05a">Options!$O$14</definedName>
    <definedName name="AIS_option05b">Options!$O$19</definedName>
    <definedName name="AIS_PS">Options!$B$3</definedName>
    <definedName name="AIS_Shell_option01">Options!$O$4:$O$8</definedName>
    <definedName name="AIS_shell_option02">Options!$O$10:$O$14</definedName>
    <definedName name="AIS_shell_option03">Options!$O$16:$O$19</definedName>
    <definedName name="AIS_statement01">Options!$U$69</definedName>
    <definedName name="AIS_statement02">Options!$U$4</definedName>
    <definedName name="AIS_statement03">Options!$U$71</definedName>
    <definedName name="AIS_statement04">Options!$U$5</definedName>
    <definedName name="AIS_statement05">Options!$U$6</definedName>
    <definedName name="AIS_statement06">Options!$U$7</definedName>
    <definedName name="AIS_statement07">Options!$U$9</definedName>
    <definedName name="AIS_statement08">Options!$U$13</definedName>
    <definedName name="AIS_statement10">Options!$U$68</definedName>
    <definedName name="AIS_statement100">Options!$U$10</definedName>
    <definedName name="AIS_Statement101">Options!$U$92</definedName>
    <definedName name="AIS_Statement102">Options!$U$100</definedName>
    <definedName name="AIS_Statement103">Options!$U$101</definedName>
    <definedName name="AIS_Statement104">Options!$U$102</definedName>
    <definedName name="AIS_Statement105">Options!$U$103</definedName>
    <definedName name="AIS_Statement106">Options!$U$104</definedName>
    <definedName name="AIS_statement107">Options!$U$105</definedName>
    <definedName name="AIS_statement108">Options!$U$106</definedName>
    <definedName name="AIS_statement109">Options!$U$107</definedName>
    <definedName name="AIS_statement11">Options!$U$67</definedName>
    <definedName name="AIS_statement110" localSheetId="2">Options!$U$108</definedName>
    <definedName name="AIS_statement12">Options!$U$14</definedName>
    <definedName name="AIS_statement15">Options!$U$15</definedName>
    <definedName name="AIS_statement16">Options!$U$16</definedName>
    <definedName name="AIS_statement17">Options!$U$17</definedName>
    <definedName name="AIS_statement18">Options!$U$18</definedName>
    <definedName name="AIS_statement19">Options!$U$19</definedName>
    <definedName name="AIS_statement20">Options!$U$20</definedName>
    <definedName name="AIS_statement20b">Options!$U$21</definedName>
    <definedName name="AIS_statement22">Options!$U$22</definedName>
    <definedName name="AIS_statement24">Options!$U$23</definedName>
    <definedName name="AIS_statement25">Options!$U$24</definedName>
    <definedName name="AIS_statement26">Options!$U$72</definedName>
    <definedName name="AIS_statement27">Options!$U$25</definedName>
    <definedName name="AIS_statement28">Options!$U$26</definedName>
    <definedName name="AIS_statement29">'Assessment Details'!$B$41</definedName>
    <definedName name="AIS_statement30">Options!$U$27</definedName>
    <definedName name="AIS_statement31">Options!$U$28</definedName>
    <definedName name="AIS_statement32">Options!$U$73</definedName>
    <definedName name="AIS_statement33">Options!$U$29</definedName>
    <definedName name="AIS_statement34" localSheetId="2">Options!$U$35</definedName>
    <definedName name="AIS_statement35">Options!$U$36</definedName>
    <definedName name="AIS_statement36" localSheetId="2">Options!$U$37</definedName>
    <definedName name="AIS_statement37">Options!$U$38</definedName>
    <definedName name="AIS_statement38">Options!$U$30</definedName>
    <definedName name="AIS_statement39">Options!$U$31</definedName>
    <definedName name="AIS_statement40">Options!$U$32</definedName>
    <definedName name="AIS_statement41">Options!$U$33</definedName>
    <definedName name="AIS_statement42">Options!$U$34</definedName>
    <definedName name="AIS_statement43">Options!$U$39</definedName>
    <definedName name="AIS_statement44">Options!$U$41</definedName>
    <definedName name="AIS_statement45">Options!$U$50</definedName>
    <definedName name="AIS_statement46">Options!$U$51</definedName>
    <definedName name="AIS_statement47">Options!$U$42</definedName>
    <definedName name="AIS_statement48">Options!$U$44</definedName>
    <definedName name="AIS_statement49">Options!$U$45</definedName>
    <definedName name="AIS_statement50">Options!$U$46</definedName>
    <definedName name="AIS_statement51">Options!$U$47</definedName>
    <definedName name="AIS_statement52">Options!$U$43</definedName>
    <definedName name="AIS_statement53">Options!$U$48</definedName>
    <definedName name="AIS_statement54">Options!$U$49</definedName>
    <definedName name="AIS_statement55">Options!$U$55</definedName>
    <definedName name="AIS_statement56">Options!$U$56</definedName>
    <definedName name="AIS_statement57">Options!$U$70</definedName>
    <definedName name="AIS_statement58">Options!$U$57</definedName>
    <definedName name="AIS_statement59">Options!$U$58</definedName>
    <definedName name="AIS_statement60" localSheetId="2">Options!$U$59</definedName>
    <definedName name="AIS_statement61">Options!$U$60</definedName>
    <definedName name="AIS_statement62">Options!$U$52</definedName>
    <definedName name="AIS_statement63">Options!$U$53</definedName>
    <definedName name="AIS_statement64">Options!$U$54</definedName>
    <definedName name="AIS_statement65" localSheetId="2">Options!$U$74</definedName>
    <definedName name="AIS_statement66" localSheetId="2">Options!$U$75</definedName>
    <definedName name="AIS_statement67">Options!$U$64</definedName>
    <definedName name="AIS_statement68">Options!$U$65</definedName>
    <definedName name="AIS_statement69">Options!$U$66</definedName>
    <definedName name="AIS_statement70">Options!$U$61</definedName>
    <definedName name="AIS_statement71">Options!$U$62</definedName>
    <definedName name="AIS_statement72">Options!$U$63</definedName>
    <definedName name="AIS_statement73">Options!$U$40</definedName>
    <definedName name="AIS_statement74">Options!$U$76</definedName>
    <definedName name="AIS_statement75">Options!$U$77</definedName>
    <definedName name="AIS_statement76">Options!$U$78</definedName>
    <definedName name="AIS_statement77">Options!$U$79</definedName>
    <definedName name="AIS_statement78">Options!$U$80</definedName>
    <definedName name="AIS_statement79">Options!$U$81</definedName>
    <definedName name="AIS_statement80">Options!$U$82</definedName>
    <definedName name="AIS_Statement81">Options!$U$83</definedName>
    <definedName name="AIS_statement82">Options!$U$84</definedName>
    <definedName name="AIS_statement83">Options!$U$85</definedName>
    <definedName name="AIS_statement84">Options!$U$86</definedName>
    <definedName name="AIS_statement85">Options!$U$87</definedName>
    <definedName name="AIS_statement86">Options!$U$88</definedName>
    <definedName name="AIS_statement87">Options!$U$89</definedName>
    <definedName name="AIS_Statement88">Options!$U$90</definedName>
    <definedName name="AIS_Statement89">Options!$U$8</definedName>
    <definedName name="AIS_statement90">Options!$U$91</definedName>
    <definedName name="AIS_statement91">Options!$U$93</definedName>
    <definedName name="AIS_statement92">Options!$U$94</definedName>
    <definedName name="AIS_statement93">Options!$U$95</definedName>
    <definedName name="AIS_statement94">Options!$U$96</definedName>
    <definedName name="AIS_Statement95">Options!$U$97</definedName>
    <definedName name="AIS_statement96">Options!$U$98</definedName>
    <definedName name="AIS_statement97">Options!$U$99</definedName>
    <definedName name="AIS_statement98">Options!$U$11</definedName>
    <definedName name="AIS_statement99">Options!$U$12</definedName>
    <definedName name="AIS_target">Options!$B$10</definedName>
    <definedName name="AIS_use">Options!$B$12</definedName>
    <definedName name="AIS_Yes">Options!$B$4</definedName>
    <definedName name="AIS_Yes_old" localSheetId="2">Options!$B$4</definedName>
    <definedName name="BP_01">'Assessment Rating'!$C$34</definedName>
    <definedName name="BP_02">'Assessment Rating'!$C$35</definedName>
    <definedName name="BP_03">'Assessment Rating'!$C$36</definedName>
    <definedName name="BP_04">'Assessment Rating'!$C$37</definedName>
    <definedName name="BP_05">'Assessment Rating'!$C$38</definedName>
    <definedName name="BP_06">'Assessment Rating'!$C$39</definedName>
    <definedName name="BP_07">'Assessment Rating'!$C$40</definedName>
    <definedName name="BP_08">'Assessment Rating'!$C$41</definedName>
    <definedName name="BP_09">'Assessment Rating'!$C$42</definedName>
    <definedName name="BP_10">'Assessment Rating'!$C$43</definedName>
    <definedName name="BP_11">'Assessment Rating'!$D$34</definedName>
    <definedName name="BP_12">'Assessment Rating'!$D$35</definedName>
    <definedName name="BP_13">'Assessment Rating'!$D$36</definedName>
    <definedName name="BP_14">'Assessment Rating'!$D$37</definedName>
    <definedName name="BP_15">'Assessment Rating'!$D$38</definedName>
    <definedName name="BP_16">'Assessment Rating'!$D$39</definedName>
    <definedName name="BP_18">'Assessment Rating'!$D$40</definedName>
    <definedName name="BP_19">'Assessment Rating'!$D$41</definedName>
    <definedName name="BP_20">'Assessment Rating'!$D$42</definedName>
    <definedName name="BP_21">'Assessment Rating'!$D$43</definedName>
    <definedName name="BP_22">'Assessment Rating'!$E$34</definedName>
    <definedName name="BP_23">'Assessment Rating'!$E$35</definedName>
    <definedName name="BP_24">'Assessment Rating'!$E$36</definedName>
    <definedName name="BP_25">'Assessment Rating'!$E$37</definedName>
    <definedName name="BP_26">'Assessment Rating'!$E$38</definedName>
    <definedName name="BP_27">'Assessment Rating'!$E$39</definedName>
    <definedName name="BP_28">'Assessment Rating'!$E$40</definedName>
    <definedName name="BP_29">'Assessment Rating'!$E$41</definedName>
    <definedName name="BP_30">'Assessment Rating'!$E$42</definedName>
    <definedName name="BP_31">'Assessment Rating'!$E$43</definedName>
    <definedName name="BP_BREEAMRating">Poeng!$BE$265</definedName>
    <definedName name="BP_Energy_score">'Assessment Rating'!$G$36</definedName>
    <definedName name="BP_Innovation_score">'Assessment Rating'!$G$43</definedName>
    <definedName name="BP_LUE_score">'Assessment Rating'!$G$41</definedName>
    <definedName name="BP_Man_score">'Assessment Rating'!$G$34</definedName>
    <definedName name="BP_Materials_score">'Assessment Rating'!$G$39</definedName>
    <definedName name="BP_MinStandards">Poeng!$BE$260</definedName>
    <definedName name="BP_MinStandards_const">Poeng!$BK$260</definedName>
    <definedName name="BP_MinStandards_design">Poeng!$BH$260</definedName>
    <definedName name="BP_Trans_score">'Assessment Rating'!$G$37</definedName>
    <definedName name="BP_Waste_Score">'Assessment Rating'!$G$40</definedName>
    <definedName name="BP_Water_score">'Assessment Rating'!$G$38</definedName>
    <definedName name="BRK_Banner">'Pre-Assessment Estimator'!$E$1</definedName>
    <definedName name="ELI">'Assessment Issue Scoring'!$B$1317</definedName>
    <definedName name="ENE">'Assessment Issue Scoring'!$B$338</definedName>
    <definedName name="Ene_01">Poeng!$E$69</definedName>
    <definedName name="Ene_02">Poeng!$E$75</definedName>
    <definedName name="Ene_03">Poeng!$E$79</definedName>
    <definedName name="Ene_04">Poeng!$E$82</definedName>
    <definedName name="Ene_05">Poeng!$E$83</definedName>
    <definedName name="Ene_06">Poeng!$E$86</definedName>
    <definedName name="Ene_07">Poeng!$E$90</definedName>
    <definedName name="Ene_08">Poeng!$E$93</definedName>
    <definedName name="Ene_09">Poeng!$E$95</definedName>
    <definedName name="Ene_23">Poeng!$E$96</definedName>
    <definedName name="Ene_c_user">Poeng!$AK$97</definedName>
    <definedName name="Ene_cont_tot">Poeng!$AE$97</definedName>
    <definedName name="Ene_Credits">Poeng!$AB$97</definedName>
    <definedName name="Ene_d_user">Poeng!$AJ$97</definedName>
    <definedName name="Ene_tot_user">Poeng!$AI$97</definedName>
    <definedName name="Ene_Weight">'Assessment Rating'!$F$36</definedName>
    <definedName name="Ene01_27">Poeng!$BT$312</definedName>
    <definedName name="Ene01_28">Poeng!$BE$69</definedName>
    <definedName name="Ene01_41">Poeng!$AD$69</definedName>
    <definedName name="Ene01_42">Poeng!$AE$69</definedName>
    <definedName name="Ene01_credits">Poeng!$AB$69</definedName>
    <definedName name="Ene01_Crit1">Poeng!$E$239</definedName>
    <definedName name="Ene01_Crit1_credits">Poeng!$AB$239</definedName>
    <definedName name="Ene01_minstd">Poeng!$BE$239</definedName>
    <definedName name="Ene01_tot">Poeng!$BS$312</definedName>
    <definedName name="Ene01_user">Poeng!$AI$69</definedName>
    <definedName name="Ene02_10">Poeng!$AD$75</definedName>
    <definedName name="Ene02_11">Poeng!$BT$313</definedName>
    <definedName name="Ene02_12">Poeng!$BE$75</definedName>
    <definedName name="Ene02_13">Poeng!$AE$75</definedName>
    <definedName name="Ene02_credits">Poeng!$AB$75</definedName>
    <definedName name="Ene02_tot">Poeng!$BS$313</definedName>
    <definedName name="Ene02_user">Poeng!$AI$75</definedName>
    <definedName name="Ene03_05">Poeng!$AD$79</definedName>
    <definedName name="Ene03_06">Poeng!$AE$79</definedName>
    <definedName name="Ene03_credits">Poeng!$AB$79</definedName>
    <definedName name="Ene03_minstd">Poeng!$BE$79</definedName>
    <definedName name="Ene03_user">Poeng!$AI$79</definedName>
    <definedName name="Ene04_15">Poeng!$BS$317</definedName>
    <definedName name="Ene04_16">Poeng!$BE$82</definedName>
    <definedName name="Ene04_19">Poeng!$AD$82</definedName>
    <definedName name="Ene04_20">Poeng!$AE$82</definedName>
    <definedName name="Ene04_credits">Poeng!$AB$82</definedName>
    <definedName name="Ene04_tot">Poeng!$BR$317</definedName>
    <definedName name="Ene04_user">Poeng!$AI$82</definedName>
    <definedName name="Ene05_14">Poeng!$BS$83</definedName>
    <definedName name="Ene05_15">Poeng!$BE$83</definedName>
    <definedName name="Ene05_20">Poeng!$AD$83</definedName>
    <definedName name="Ene05_21">Poeng!$AE$83</definedName>
    <definedName name="Ene05_credits">Poeng!$AB$83</definedName>
    <definedName name="Ene05_tot">Poeng!$BR$83</definedName>
    <definedName name="Ene05_user">Poeng!$AI$83</definedName>
    <definedName name="Ene06_11">Poeng!$AD$86</definedName>
    <definedName name="Ene06_12">Poeng!$AE$86</definedName>
    <definedName name="Ene06_credits">Poeng!$AB$86</definedName>
    <definedName name="Ene06_minstd">Poeng!$BE$86</definedName>
    <definedName name="Ene06_tot">Poeng!$BR$86</definedName>
    <definedName name="Ene06_user">Poeng!$AI$86</definedName>
    <definedName name="Ene07_24">Poeng!$AD$90</definedName>
    <definedName name="Ene07_25">Poeng!$AE$90</definedName>
    <definedName name="Ene07_credits">Poeng!$AB$90</definedName>
    <definedName name="Ene07_minstd">Poeng!$BE$90</definedName>
    <definedName name="Ene07_tot">Poeng!$BR$90</definedName>
    <definedName name="Ene07_user">Poeng!$AI$90</definedName>
    <definedName name="Ene08_27">Poeng!$AD$93</definedName>
    <definedName name="Ene08_29">Poeng!$AE$93</definedName>
    <definedName name="Ene08_credits">Poeng!$AB$93</definedName>
    <definedName name="Ene08_minstd">Poeng!$BE$93</definedName>
    <definedName name="Ene08_tot">Poeng!$BR$93</definedName>
    <definedName name="Ene08_user">Poeng!$AI$93</definedName>
    <definedName name="Ene09_07">Poeng!$AD$95</definedName>
    <definedName name="Ene09_10">Poeng!$AE$95</definedName>
    <definedName name="Ene09_credits">Poeng!$AB$95</definedName>
    <definedName name="Ene09_minstd">Poeng!$BE$95</definedName>
    <definedName name="Ene09_tot">Poeng!$BR$95</definedName>
    <definedName name="Ene09_user">Poeng!$AI$95</definedName>
    <definedName name="Ene23_cont">Poeng!$AE$96</definedName>
    <definedName name="Ene23_credits">Poeng!$AB$96</definedName>
    <definedName name="Ene23_minstd">Poeng!$BE$96</definedName>
    <definedName name="Ene23_user">Poeng!$AI$96</definedName>
    <definedName name="HEA">'Assessment Issue Scoring'!$B$182</definedName>
    <definedName name="Hea_01">Poeng!$E$39</definedName>
    <definedName name="Hea_02">Poeng!$E$46</definedName>
    <definedName name="Hea_03">Poeng!$E$51</definedName>
    <definedName name="Hea_04">Poeng!$E$55</definedName>
    <definedName name="Hea_05">Poeng!$E$56</definedName>
    <definedName name="Hea_06">Poeng!$E$59</definedName>
    <definedName name="Hea_07">Poeng!$E$62</definedName>
    <definedName name="Hea_08">Poeng!$E$63</definedName>
    <definedName name="Hea_09">Poeng!$E$65</definedName>
    <definedName name="Hea_cont_tot">Poeng!$AE$66</definedName>
    <definedName name="Hea_Credits">Poeng!$AB$66</definedName>
    <definedName name="Hea_Weight">'Assessment Rating'!$F$35</definedName>
    <definedName name="Hea01_26">Poeng!$AD$39</definedName>
    <definedName name="Hea01_27">Poeng!$AE$39</definedName>
    <definedName name="Hea01_credits">Poeng!$AB$39</definedName>
    <definedName name="Hea01_minstd">Poeng!$BE$39</definedName>
    <definedName name="Hea01_user">Poeng!$AI$39</definedName>
    <definedName name="Hea02_25">Poeng!$AD$46</definedName>
    <definedName name="Hea02_26">Poeng!$AE$46</definedName>
    <definedName name="Hea02_credits">Poeng!$AB$46</definedName>
    <definedName name="Hea02_Crit1">Poeng!$E$236</definedName>
    <definedName name="Hea02_Crit1_cont">Poeng!$AE$236</definedName>
    <definedName name="Hea02_Crit1_credits">Poeng!$AB$236</definedName>
    <definedName name="Hea02_minst_crit">Poeng!$BE$236</definedName>
    <definedName name="Hea02_minstd">Poeng!$BE$46</definedName>
    <definedName name="Hea02_tot">Poeng!$BS$297</definedName>
    <definedName name="Hea02_user">Poeng!$AI$46</definedName>
    <definedName name="Hea03_09">Poeng!$AD$51</definedName>
    <definedName name="Hea03_10">Poeng!$BT$298</definedName>
    <definedName name="Hea03_11">Poeng!$BE$51</definedName>
    <definedName name="Hea03_contr">Poeng!$AE$51</definedName>
    <definedName name="Hea03_credits">Poeng!$AB$51</definedName>
    <definedName name="Hea03_tot">Poeng!$BS$298</definedName>
    <definedName name="Hea03_user">Poeng!$AI$51</definedName>
    <definedName name="Hea04_10">Poeng!$BT$299</definedName>
    <definedName name="Hea04_11">Poeng!$BE$55</definedName>
    <definedName name="Hea04_12">Poeng!$AD$55</definedName>
    <definedName name="Hea04_13">Poeng!$AE$55</definedName>
    <definedName name="Hea04_credits">Poeng!$AB$55</definedName>
    <definedName name="Hea04_tot">Poeng!$BS$299</definedName>
    <definedName name="Hea04_user">Poeng!$AI$55</definedName>
    <definedName name="Hea05_07">Poeng!$AD$56</definedName>
    <definedName name="Hea05_08">Poeng!$AE$56</definedName>
    <definedName name="Hea05_credits">Poeng!$AB$56</definedName>
    <definedName name="Hea05_minstd">Poeng!$BE$56</definedName>
    <definedName name="Hea05_tot">Poeng!$BS$301</definedName>
    <definedName name="Hea05_user">Poeng!$AI$56</definedName>
    <definedName name="Hea06_07">Poeng!$AD$59</definedName>
    <definedName name="Hea06_contr">Poeng!$AE$59</definedName>
    <definedName name="Hea06_credits">Poeng!$AB$59</definedName>
    <definedName name="Hea06_minstd">Poeng!$BE$59</definedName>
    <definedName name="Hea06_tot">Poeng!$BS$302</definedName>
    <definedName name="Hea06_user">Poeng!$AI$59</definedName>
    <definedName name="Hea07_07">Poeng!$AD$62</definedName>
    <definedName name="Hea07_contr">Poeng!$AE$62</definedName>
    <definedName name="Hea07_Credits">Poeng!$AB$62</definedName>
    <definedName name="Hea07_minstd">Poeng!$BE$62</definedName>
    <definedName name="Hea07_Tot">Poeng!$BS$304</definedName>
    <definedName name="Hea07_user">Poeng!$AI$62</definedName>
    <definedName name="Hea08_07">Poeng!$AD$63</definedName>
    <definedName name="Hea08_contr">Poeng!$AE$63</definedName>
    <definedName name="Hea08_Credits">Poeng!$AB$63</definedName>
    <definedName name="Hea08_minstd">Poeng!$BE$63</definedName>
    <definedName name="Hea08_tot">Poeng!$BS$305</definedName>
    <definedName name="Hea08_user">Poeng!$AI$63</definedName>
    <definedName name="Hea09_cont">Poeng!$AE$65</definedName>
    <definedName name="Hea09_Credits">Poeng!$AB$65</definedName>
    <definedName name="Hea09_minstd">Poeng!$BE$65</definedName>
    <definedName name="Hea09_user">Poeng!$AI$65</definedName>
    <definedName name="HUG">'Pre-Assessment Estimator'!$AT$36</definedName>
    <definedName name="HW_c_user">Poeng!$AK$66</definedName>
    <definedName name="HW_d_user">Poeng!$AJ$66</definedName>
    <definedName name="HW_tot_user">Poeng!$AI$66</definedName>
    <definedName name="Inn_01">Poeng!$E$217</definedName>
    <definedName name="Inn_02">Poeng!$E$218</definedName>
    <definedName name="Inn_03">Poeng!$E$219</definedName>
    <definedName name="Inn_04">Poeng!$E$220</definedName>
    <definedName name="Inn_05">Poeng!$E$221</definedName>
    <definedName name="Inn_06">Poeng!$E$222</definedName>
    <definedName name="Inn_07">Poeng!$E$223</definedName>
    <definedName name="Inn_08">Poeng!$E$224</definedName>
    <definedName name="Inn_09">Poeng!$E$225</definedName>
    <definedName name="Inn_10">Poeng!$E$226</definedName>
    <definedName name="Inn_11">Poeng!$E$227</definedName>
    <definedName name="Inn_12">Poeng!$E$228</definedName>
    <definedName name="Inn_13">Poeng!$E$229</definedName>
    <definedName name="Inn_c_user">Poeng!$AK$231</definedName>
    <definedName name="Inn_cont_tot">Poeng!$AE$231</definedName>
    <definedName name="Inn_Credits">Poeng!$AB$231</definedName>
    <definedName name="Inn_d_user">Poeng!$AJ$231</definedName>
    <definedName name="Inn_tot_user">Poeng!$AI$231</definedName>
    <definedName name="Inn_Weight">'Assessment Rating'!$F$43</definedName>
    <definedName name="Inn01_cont">Poeng!$AE$217</definedName>
    <definedName name="Inn01_credits">Poeng!$AB$217</definedName>
    <definedName name="Inn01_minstd">Poeng!$BE$217</definedName>
    <definedName name="Inn01_user">Poeng!$AI$217</definedName>
    <definedName name="Inn02_cont">Poeng!$AE$218</definedName>
    <definedName name="Inn02_credits">Poeng!$AB$218</definedName>
    <definedName name="Inn02_minstd">Poeng!$BE$218</definedName>
    <definedName name="Inn02_user">Poeng!$AI$218</definedName>
    <definedName name="Inn03_cont">Poeng!$AE$219</definedName>
    <definedName name="Inn03_credits">Poeng!$AB$219</definedName>
    <definedName name="Inn03_minstd">Poeng!$BE$219</definedName>
    <definedName name="Inn03_user">Poeng!$AI$219</definedName>
    <definedName name="Inn04_cont">Poeng!$AE$220</definedName>
    <definedName name="Inn04_credits">Poeng!$AB$220</definedName>
    <definedName name="Inn04_minstd">Poeng!$BE$220</definedName>
    <definedName name="Inn04_user">Poeng!$AI$220</definedName>
    <definedName name="Inn05_cont">Poeng!$AE$221</definedName>
    <definedName name="Inn05_credits">Poeng!$AB$221</definedName>
    <definedName name="Inn05_minstd">Poeng!$BE$221</definedName>
    <definedName name="Inn05_user">Poeng!$AI$221</definedName>
    <definedName name="Inn06_cont">Poeng!$AE$222</definedName>
    <definedName name="Inn06_credits">Poeng!$AB$222</definedName>
    <definedName name="Inn06_minstd">Poeng!$BE$222</definedName>
    <definedName name="Inn06_user">Poeng!$AI$222</definedName>
    <definedName name="Inn07_cont">Poeng!$AE$223</definedName>
    <definedName name="Inn07_credits">Poeng!$AB$223</definedName>
    <definedName name="Inn07_minstd">Poeng!$BE$223</definedName>
    <definedName name="Inn07_user">Poeng!$AI$223</definedName>
    <definedName name="Inn08_cont">Poeng!$AE$224</definedName>
    <definedName name="Inn08_credits">Poeng!$AB$224</definedName>
    <definedName name="Inn08_minstd">Poeng!$BE$224</definedName>
    <definedName name="Inn08_user">Poeng!$AI$224</definedName>
    <definedName name="Inn09_cont">Poeng!$AE$225</definedName>
    <definedName name="Inn09_credits">Poeng!$AB$225</definedName>
    <definedName name="Inn09_minstd">Poeng!$BE$225</definedName>
    <definedName name="Inn09_user">Poeng!$AI$225</definedName>
    <definedName name="Inn10_cont">Poeng!$AE$226</definedName>
    <definedName name="Inn10_credits">Poeng!$AB$226</definedName>
    <definedName name="Inn10_minstd">Poeng!$BE$226</definedName>
    <definedName name="Inn10_user">Poeng!$AI$226</definedName>
    <definedName name="Inn11_cont">Poeng!$AE$227</definedName>
    <definedName name="Inn11_credits">Poeng!$AB$227</definedName>
    <definedName name="Inn11_minstd">Poeng!$BE$227</definedName>
    <definedName name="Inn11_user">Poeng!$AI$227</definedName>
    <definedName name="Inn12_cont">Poeng!$AE$228</definedName>
    <definedName name="Inn12_credits">Poeng!$AB$228</definedName>
    <definedName name="Inn12_minstd">Poeng!$BE$228</definedName>
    <definedName name="Inn12_user">Poeng!$AI$228</definedName>
    <definedName name="Inn13_cont">Poeng!$AE$229</definedName>
    <definedName name="Inn13_credits">Poeng!$AB$229</definedName>
    <definedName name="Inn13_minstd">Poeng!$BE$229</definedName>
    <definedName name="Inn13_user">Poeng!$AI$229</definedName>
    <definedName name="Inn14_credits">Poeng!$AB$230</definedName>
    <definedName name="Inn14_user">Poeng!$AI$230</definedName>
    <definedName name="janei">'Assessment Details'!$O$55:$O$56</definedName>
    <definedName name="KPI_01">'Assessment Issue Scoring'!$E$64</definedName>
    <definedName name="KPI_02">'Assessment Issue Scoring'!$E$107</definedName>
    <definedName name="KPI_06">'Assessment Issue Scoring'!$E$108</definedName>
    <definedName name="KPI_10">'Assessment Issue Scoring'!$E$116</definedName>
    <definedName name="KPI_12">'Assessment Issue Scoring'!$E$118</definedName>
    <definedName name="KPI_13">'Assessment Issue Scoring'!$E$119</definedName>
    <definedName name="KPI_18">'Assessment Issue Scoring'!$E$227</definedName>
    <definedName name="KPI_19">'Assessment Issue Scoring'!$E$228</definedName>
    <definedName name="KPI_20">'Assessment Issue Scoring'!$E$253</definedName>
    <definedName name="KPI_21">'Assessment Issue Scoring'!$E$254</definedName>
    <definedName name="KPI_22">'Assessment Issue Scoring'!$E$627</definedName>
    <definedName name="KPI_23">'Assessment Issue Scoring'!$E$628</definedName>
    <definedName name="KPI_24">'Assessment Issue Scoring'!$E$767</definedName>
    <definedName name="KPI_25">'Assessment Issue Scoring'!$E$768</definedName>
    <definedName name="KPI_26">'Assessment Issue Scoring'!$E$771</definedName>
    <definedName name="KPI_27">'Assessment Issue Scoring'!$E$719</definedName>
    <definedName name="KPI_27a">'Assessment Issue Scoring'!$E$728</definedName>
    <definedName name="KPI_30">'Assessment Issue Scoring'!$E$1253</definedName>
    <definedName name="KPI_31">'Assessment Issue Scoring'!$E$1254</definedName>
    <definedName name="KPI_32">'Assessment Issue Scoring'!$E$1255</definedName>
    <definedName name="KPI_33">'Assessment Issue Scoring'!$E$1258</definedName>
    <definedName name="KPI_33a">'Assessment Issue Scoring'!$E$1259</definedName>
    <definedName name="KPI_33b">'Assessment Issue Scoring'!$E$1260</definedName>
    <definedName name="KPI_34">'Assessment Issue Scoring'!$E$1228</definedName>
    <definedName name="KPI_34a">'Assessment Issue Scoring'!$E$1229</definedName>
    <definedName name="KPI_35">'Assessment Issue Scoring'!$E$360</definedName>
    <definedName name="KPI_36">'Assessment Issue Scoring'!$E$367</definedName>
    <definedName name="KPI_37">'Assessment Issue Scoring'!$E$802</definedName>
    <definedName name="KPI_ny_01">'Assessment Issue Scoring'!$E$25</definedName>
    <definedName name="KPI_ny_02">'Assessment Issue Scoring'!$E$26</definedName>
    <definedName name="KPI_ny_03">'Assessment Issue Scoring'!$E$27</definedName>
    <definedName name="KPI_ny_04">'Assessment Issue Scoring'!$E$28</definedName>
    <definedName name="KPI_ny_05">'Assessment Issue Scoring'!$E$29</definedName>
    <definedName name="KPI_ny_06">'Assessment Issue Scoring'!$E$32</definedName>
    <definedName name="KPI_ny_08">'Assessment Issue Scoring'!$E$33</definedName>
    <definedName name="KPI_ny_09">'Assessment Issue Scoring'!$E$34</definedName>
    <definedName name="KPI_ny_10">'Assessment Issue Scoring'!$E$35</definedName>
    <definedName name="KPI_ny_12">'Assessment Issue Scoring'!$E$36</definedName>
    <definedName name="KPI_ny_13">'Assessment Issue Scoring'!$E$64</definedName>
    <definedName name="KPI_ny_14">'Assessment Issue Scoring'!$E$65</definedName>
    <definedName name="KPI_ny_15">'Assessment Issue Scoring'!$E$104</definedName>
    <definedName name="KPI_ny_16">'Assessment Issue Scoring'!$E$107</definedName>
    <definedName name="KPI_ny_17">'Assessment Issue Scoring'!$E$108</definedName>
    <definedName name="KPI_ny_18">'Assessment Issue Scoring'!$E$109</definedName>
    <definedName name="KPI_ny_19">'Assessment Issue Scoring'!$E$110</definedName>
    <definedName name="KPI_ny_20">'Assessment Issue Scoring'!$E$111</definedName>
    <definedName name="KPI_ny_21">'Assessment Issue Scoring'!$E$112</definedName>
    <definedName name="KPI_ny_22">'Assessment Issue Scoring'!$E$113</definedName>
    <definedName name="KPI_ny_23">'Assessment Issue Scoring'!$E$101</definedName>
    <definedName name="KPI_ny_24">'Assessment Issue Scoring'!$E$116</definedName>
    <definedName name="KPI_ny_25">'Assessment Issue Scoring'!$E$117</definedName>
    <definedName name="KPI_ny_26">'Assessment Issue Scoring'!$E$118</definedName>
    <definedName name="KPI_ny_27">'Assessment Issue Scoring'!$E$119</definedName>
    <definedName name="KPI_ny_28">'Assessment Issue Scoring'!$E$120</definedName>
    <definedName name="KPI_ny_29">'Assessment Issue Scoring'!$E$145</definedName>
    <definedName name="KPI_ny_30">'Assessment Issue Scoring'!$E$227</definedName>
    <definedName name="KPI_ny_31">'Assessment Issue Scoring'!$E$228</definedName>
    <definedName name="KPI_ny_32">'Assessment Issue Scoring'!$E$253</definedName>
    <definedName name="KPI_ny_33">'Assessment Issue Scoring'!$E$254</definedName>
    <definedName name="KPI_ny_34">'Assessment Issue Scoring'!$E$255</definedName>
    <definedName name="KPI_ny_35">'Assessment Issue Scoring'!$E$256</definedName>
    <definedName name="KPI_ny_36">'Assessment Issue Scoring'!$E$279</definedName>
    <definedName name="KPI_ny_37">'Assessment Issue Scoring'!$E$360</definedName>
    <definedName name="KPI_ny_38">'Assessment Issue Scoring'!$E$360</definedName>
    <definedName name="KPI_ny_39">'Assessment Issue Scoring'!$E$359</definedName>
    <definedName name="KPI_ny_40">'Assessment Issue Scoring'!$E$364</definedName>
    <definedName name="KPI_ny_41">'Assessment Issue Scoring'!$E$365</definedName>
    <definedName name="KPI_ny_42">'Assessment Issue Scoring'!$E$366</definedName>
    <definedName name="KPI_ny_43">'Assessment Issue Scoring'!$E$358</definedName>
    <definedName name="KPI_ny_44">'Assessment Issue Scoring'!$E$361</definedName>
    <definedName name="KPI_ny_45">'Assessment Issue Scoring'!$E$362</definedName>
    <definedName name="KPI_ny_46">'Assessment Issue Scoring'!$E$363</definedName>
    <definedName name="KPI_ny_47">'Assessment Issue Scoring'!$E$368</definedName>
    <definedName name="KPI_ny_48">'Assessment Issue Scoring'!$E$525</definedName>
    <definedName name="KPI_ny_49">'Assessment Issue Scoring'!$E$551</definedName>
    <definedName name="KPI_ny_50">'Assessment Issue Scoring'!$E$552</definedName>
    <definedName name="KPI_ny_51">'Assessment Issue Scoring'!$E$553</definedName>
    <definedName name="KPI_ny_52">'Assessment Issue Scoring'!$E$554</definedName>
    <definedName name="KPI_ny_53">'Assessment Issue Scoring'!$E$579</definedName>
    <definedName name="KPI_ny_54">'Assessment Issue Scoring'!$E$580</definedName>
    <definedName name="KPI_ny_55">'Assessment Issue Scoring'!$E$581</definedName>
    <definedName name="KPI_ny_56">'Assessment Issue Scoring'!$E$582</definedName>
    <definedName name="KPI_ny_57">'Assessment Issue Scoring'!$E$583</definedName>
    <definedName name="KPI_ny_58">'Assessment Issue Scoring'!$E$584</definedName>
    <definedName name="KPI_ny_59">'Assessment Issue Scoring'!$E$585</definedName>
    <definedName name="KPI_ny_60">'Assessment Issue Scoring'!$E$586</definedName>
    <definedName name="KPI_ny_61">'Assessment Issue Scoring'!$E$587</definedName>
    <definedName name="KPI_ny_62">'Assessment Issue Scoring'!$E$588</definedName>
    <definedName name="KPI_ny_63">'Assessment Issue Scoring'!$E$589</definedName>
    <definedName name="KPI_ny_64">'Assessment Issue Scoring'!$E$590</definedName>
    <definedName name="KPI_ny_65">'Assessment Issue Scoring'!$E$591</definedName>
    <definedName name="KPI_ny_66">'Assessment Issue Scoring'!$E$592</definedName>
    <definedName name="KPI_ny_67">'Assessment Issue Scoring'!$E$627</definedName>
    <definedName name="KPI_ny_68">'Assessment Issue Scoring'!$E$628</definedName>
    <definedName name="LE">'Assessment Issue Scoring'!$B$983</definedName>
    <definedName name="LE_01">Poeng!$E$169</definedName>
    <definedName name="LE_02">Poeng!$E$171</definedName>
    <definedName name="LE_03">Poeng!$E$175</definedName>
    <definedName name="LE_04">Poeng!$E$179</definedName>
    <definedName name="LE_05">Poeng!$E$183</definedName>
    <definedName name="LE_06">Poeng!$E$187</definedName>
    <definedName name="LE_07">Poeng!$E$189</definedName>
    <definedName name="LE_08">Poeng!$E$192</definedName>
    <definedName name="LE_cont_tot">Poeng!$AE$197</definedName>
    <definedName name="LE_Credits">Poeng!$AB$197</definedName>
    <definedName name="LE_Weight">'Assessment Rating'!$F$41</definedName>
    <definedName name="LE01_07">Poeng!$AD$169</definedName>
    <definedName name="LE01_08">Poeng!$AE$169</definedName>
    <definedName name="LE01_credits">Poeng!$AB$169</definedName>
    <definedName name="LE01_minstd">Poeng!$BE$169</definedName>
    <definedName name="LE01_tot">Poeng!$BR$169</definedName>
    <definedName name="LE01_user">Poeng!$AI$169</definedName>
    <definedName name="LE02_07">Poeng!$AD$171</definedName>
    <definedName name="LE02_08">Poeng!$AE$171</definedName>
    <definedName name="LE02_credits">Poeng!$AB$171</definedName>
    <definedName name="LE02_minstd">Poeng!$BE$171</definedName>
    <definedName name="LE02_tot">Poeng!$BR$171</definedName>
    <definedName name="LE02_user">Poeng!$AI$171</definedName>
    <definedName name="LE03_07">Poeng!$AD$175</definedName>
    <definedName name="LE03_cont">Poeng!$AE$175</definedName>
    <definedName name="LE03_credits">Poeng!$AB$175</definedName>
    <definedName name="LE03_minstd">Poeng!$BE$175</definedName>
    <definedName name="LE03_user">Poeng!$AI$175</definedName>
    <definedName name="LE04_13">Poeng!$AD$179</definedName>
    <definedName name="LE04_14">Poeng!$AE$179</definedName>
    <definedName name="LE04_credits">Poeng!$AB$179</definedName>
    <definedName name="LE04_minstd">Poeng!$BE$179</definedName>
    <definedName name="LE04_tot">Poeng!$BR$179</definedName>
    <definedName name="LE04_user">Poeng!$AI$179</definedName>
    <definedName name="LE05_14">Poeng!$AD$183</definedName>
    <definedName name="LE05_15">Poeng!$AE$183</definedName>
    <definedName name="LE05_credits">Poeng!$AB$183</definedName>
    <definedName name="LE05_minstd">Poeng!$BE$183</definedName>
    <definedName name="LE05_minstdach">Poeng!$BE$183</definedName>
    <definedName name="LE05_tot">Poeng!$BR$183</definedName>
    <definedName name="LE05_user">Poeng!$AI$183</definedName>
    <definedName name="LE06_07">Poeng!$AD$187</definedName>
    <definedName name="LE06_contr">Poeng!$AE$187</definedName>
    <definedName name="LE06_credits">Poeng!$AB$187</definedName>
    <definedName name="LE06_minstd">Poeng!$BE$187</definedName>
    <definedName name="LE06_tot">Poeng!$BR$187</definedName>
    <definedName name="LE06_user">Poeng!$AI$187</definedName>
    <definedName name="LE07_07">Poeng!$AD$189</definedName>
    <definedName name="LE07_cont">Poeng!$AE$189</definedName>
    <definedName name="LE07_credits">Poeng!$AB$189</definedName>
    <definedName name="LE07_minstd">Poeng!$BE$189</definedName>
    <definedName name="LE07_user">Poeng!$AI$189</definedName>
    <definedName name="LE08_07">Poeng!$AD$192</definedName>
    <definedName name="LE08_cont">Poeng!$AE$192</definedName>
    <definedName name="LE08_credits">Poeng!$AB$192</definedName>
    <definedName name="LE08_minstd">Poeng!$BE$192</definedName>
    <definedName name="LE08_user">Poeng!$AI$192</definedName>
    <definedName name="Lue_c_user">Poeng!$AK$197</definedName>
    <definedName name="Lue_d_user">Poeng!$AJ$197</definedName>
    <definedName name="Lue_tot_user">Poeng!$AI$197</definedName>
    <definedName name="MAN">'Assessment Issue Scoring'!$B$10</definedName>
    <definedName name="Man_01">Poeng!$E$10</definedName>
    <definedName name="Man_02">Poeng!$E$16</definedName>
    <definedName name="Man_03">Poeng!$E$19</definedName>
    <definedName name="Man_04">Poeng!$E$26</definedName>
    <definedName name="Man_05">Poeng!$E$30</definedName>
    <definedName name="Man_06">Poeng!$E$34</definedName>
    <definedName name="Man_07">Poeng!$E$35</definedName>
    <definedName name="Man_c_user">Poeng!$AK$36</definedName>
    <definedName name="Man_cont_tot">Poeng!$AE$36</definedName>
    <definedName name="Man_Credits">Poeng!$AB$36</definedName>
    <definedName name="Man_d_user">Poeng!$AJ$36</definedName>
    <definedName name="Man_tot_user">Poeng!$AI$36</definedName>
    <definedName name="Man_Weight">'Assessment Rating'!$F$34</definedName>
    <definedName name="Man01_37">Poeng!$BE$10</definedName>
    <definedName name="Man01_38">Poeng!$AD$10</definedName>
    <definedName name="Man01_39">Poeng!$AE$10</definedName>
    <definedName name="Man01_credits">Poeng!$AB$10</definedName>
    <definedName name="Man01_Crit1">Poeng!$E$238</definedName>
    <definedName name="Man01_Crit1_cont">Poeng!$AE$238</definedName>
    <definedName name="Man01_Crit1_credits">Poeng!$AB$238</definedName>
    <definedName name="Man01_Exemp">Poeng!$BS$10</definedName>
    <definedName name="Man01_minstd">Poeng!$BE$238</definedName>
    <definedName name="Man01_Tot">Poeng!$BR$10</definedName>
    <definedName name="Man01_user">Poeng!$AI$10</definedName>
    <definedName name="Man02_11">Poeng!$AD$16</definedName>
    <definedName name="Man02_12">Poeng!$AE$16</definedName>
    <definedName name="Man02_credits">Poeng!$AB$16</definedName>
    <definedName name="Man02_Exempl">Poeng!$BS$16</definedName>
    <definedName name="Man02_minstd">Poeng!$BE$16</definedName>
    <definedName name="Man02_Tot">Poeng!$BR$16</definedName>
    <definedName name="Man02_user">Poeng!$AI$16</definedName>
    <definedName name="Man03_12">Poeng!$AD$19</definedName>
    <definedName name="Man03_18">Poeng!$AE$19</definedName>
    <definedName name="Man03_credits">Poeng!$AB$19</definedName>
    <definedName name="Man03_Crit1">Poeng!$E$240</definedName>
    <definedName name="Man03_Crit1_credits">Poeng!$AB$240</definedName>
    <definedName name="Man03_minstd">Poeng!$BE$19</definedName>
    <definedName name="Man03_minstd_cri">Poeng!$BE$240</definedName>
    <definedName name="Man03_Tot">Poeng!$BR$19</definedName>
    <definedName name="Man03_user">Poeng!$AI$19</definedName>
    <definedName name="Man04_17">Poeng!$AD$26</definedName>
    <definedName name="Man04_cont">Poeng!$AE$26</definedName>
    <definedName name="Man04_credits">Poeng!$AB$26</definedName>
    <definedName name="Man04_Crit1">Poeng!$E$241</definedName>
    <definedName name="Man04_Crit1_credits">Poeng!$AB$241</definedName>
    <definedName name="Man04_minstd">Poeng!$BE$26</definedName>
    <definedName name="Man04_minstd_cri">Poeng!$BE$241</definedName>
    <definedName name="Man04_tot">Poeng!$BR$26</definedName>
    <definedName name="Man04_user">Poeng!$AI$26</definedName>
    <definedName name="Man05_10">Poeng!$AD$30</definedName>
    <definedName name="Man05_cont">Poeng!$AE$30</definedName>
    <definedName name="Man05_credits">Poeng!$AB$30</definedName>
    <definedName name="Man05_Crit1">Poeng!$E$242</definedName>
    <definedName name="Man05_Crit1_credits">Poeng!$AB$242</definedName>
    <definedName name="Man05_minstd">Poeng!$BE$30</definedName>
    <definedName name="Man05_minstd_cri">Poeng!$BE$242</definedName>
    <definedName name="Man05_tot">Poeng!$BR$30</definedName>
    <definedName name="Man05_user">Poeng!$AI$30</definedName>
    <definedName name="Man06_cont">Poeng!$AE$34</definedName>
    <definedName name="Man06_credits">Poeng!$AB$34</definedName>
    <definedName name="Man06_minstd">Poeng!$BE$34</definedName>
    <definedName name="Man06_user">Poeng!$AI$34</definedName>
    <definedName name="Man07_cont">Poeng!$AE$35</definedName>
    <definedName name="Man07_credits">Poeng!$AB$35</definedName>
    <definedName name="Man07_minstd">Poeng!$BE$35</definedName>
    <definedName name="Man07_user">Poeng!$AI$35</definedName>
    <definedName name="MAT">'Assessment Issue Scoring'!$B$708</definedName>
    <definedName name="Mat_01">Poeng!$E$126</definedName>
    <definedName name="Mat_02">Poeng!$E$130</definedName>
    <definedName name="Mat_03">Poeng!$E$134</definedName>
    <definedName name="Mat_05">Poeng!$E$138</definedName>
    <definedName name="Mat_06">Poeng!$E$144</definedName>
    <definedName name="Mat_07">Poeng!$E$148</definedName>
    <definedName name="Mat_c_user">Poeng!$AK$152</definedName>
    <definedName name="Mat_cont_tot">Poeng!$AE$152</definedName>
    <definedName name="Mat_Credits">Poeng!$AB$152</definedName>
    <definedName name="Mat_d_user">Poeng!$AJ$152</definedName>
    <definedName name="Mat_tot_user">Poeng!$AI$152</definedName>
    <definedName name="Mat_Weight">'Assessment Rating'!$F$39</definedName>
    <definedName name="Mat01_08">Poeng!$BS$126</definedName>
    <definedName name="Mat01_27">Poeng!$AD$126</definedName>
    <definedName name="Mat01_28">Poeng!$AE$126</definedName>
    <definedName name="Mat01_credits">Poeng!$AB$126</definedName>
    <definedName name="Mat01_Crit1">Poeng!$E$244</definedName>
    <definedName name="Mat01_Crit1_credits">Poeng!$AB$244</definedName>
    <definedName name="Mat01_minstd">Poeng!$BE$244</definedName>
    <definedName name="Mat01_minstd2">Poeng!$BE$126</definedName>
    <definedName name="Mat01_tot">Poeng!$BR$126</definedName>
    <definedName name="Mat01_user">Poeng!$AI$126</definedName>
    <definedName name="Mat02_37">Poeng!$AD$130</definedName>
    <definedName name="Mat02_cont">Poeng!$AE$130</definedName>
    <definedName name="Mat02_credits">Poeng!$AB$130</definedName>
    <definedName name="Mat02_Crit1">Poeng!$E$237</definedName>
    <definedName name="Mat02_Crit1_cont">Poeng!$AE$237</definedName>
    <definedName name="Mat02_Crit1_credits">Poeng!$AB$237</definedName>
    <definedName name="Mat02_minstd">Poeng!$BE$237</definedName>
    <definedName name="Mat02_minstd2">Poeng!$BE$130</definedName>
    <definedName name="Mat02_user">Poeng!$AI$130</definedName>
    <definedName name="Mat03_35">Poeng!$BS$134</definedName>
    <definedName name="Mat03_36">Poeng!$BE$134</definedName>
    <definedName name="Mat03_37">Poeng!$AD$134</definedName>
    <definedName name="Mat03_38">Poeng!$AE$134</definedName>
    <definedName name="Mat03_credits">Poeng!$AB$134</definedName>
    <definedName name="Mat03_Crit1">Poeng!$E$252</definedName>
    <definedName name="Mat03_Crit1_cont">Poeng!$AE$252</definedName>
    <definedName name="Mat03_Crit1_credits">Poeng!$AB$252</definedName>
    <definedName name="Mat03_minstd">Poeng!$BE$252</definedName>
    <definedName name="Mat03_tot">Poeng!$BR$134</definedName>
    <definedName name="Mat03_user">Poeng!$AI$134</definedName>
    <definedName name="Mat05_05">Poeng!$AD$138</definedName>
    <definedName name="Mat05_06">Poeng!$AE$138</definedName>
    <definedName name="Mat05_credits">Poeng!$AB$138</definedName>
    <definedName name="Mat05_minstd">Poeng!$BE$138</definedName>
    <definedName name="Mat05_tot">Poeng!$BR$138</definedName>
    <definedName name="Mat05_user">Poeng!$AI$138</definedName>
    <definedName name="Mat06_05">Poeng!$AD$144</definedName>
    <definedName name="Mat06_cont">Poeng!$AE$144</definedName>
    <definedName name="Mat06_credits">Poeng!$AB$144</definedName>
    <definedName name="Mat06_Crit1">Poeng!$E$245</definedName>
    <definedName name="Mat06_Crit1_credits">Poeng!$AB$245</definedName>
    <definedName name="Mat06_minstd">Poeng!$BE$144</definedName>
    <definedName name="Mat06_minstd_cred">Poeng!$BE$245</definedName>
    <definedName name="Mat06_user">Poeng!$AI$144</definedName>
    <definedName name="Mat07_05">Poeng!$AD$148</definedName>
    <definedName name="Mat07_cont">Poeng!$AE$148</definedName>
    <definedName name="Mat07_credits">Poeng!$AB$148</definedName>
    <definedName name="Mat07_Crit1">Poeng!$E$247</definedName>
    <definedName name="Mat07_Crit1_credits">Poeng!$AB$247</definedName>
    <definedName name="Mat07_minstd">Poeng!$BE$148</definedName>
    <definedName name="Mat07_minstd_cred">Poeng!$BE$247</definedName>
    <definedName name="Mat07_user">Poeng!$AI$148</definedName>
    <definedName name="Note_minstand">Poeng!$BE$268</definedName>
    <definedName name="Note_minstand_const">Poeng!$BK$268</definedName>
    <definedName name="Note_minstand_design">Poeng!$BH$268</definedName>
    <definedName name="Poeng_bort">Poeng!$AA$259</definedName>
    <definedName name="Poeng_tilgj">Poeng!$AB$259</definedName>
    <definedName name="Poeng_tot">Poeng!$T$259</definedName>
    <definedName name="POL">'Assessment Issue Scoring'!$B$1207</definedName>
    <definedName name="Pol_01">Poeng!$E$200</definedName>
    <definedName name="Pol_02">Poeng!$E$204</definedName>
    <definedName name="Pol_03">Poeng!$E$207</definedName>
    <definedName name="Pol_04">Poeng!$E$208</definedName>
    <definedName name="Pol_05">Poeng!$E$211</definedName>
    <definedName name="Pol_c_user">Poeng!$AK$214</definedName>
    <definedName name="Pol_cont_tot">Poeng!$AE$214</definedName>
    <definedName name="Pol_Credits">Poeng!$AB$214</definedName>
    <definedName name="Pol_d_user">Poeng!$AJ$214</definedName>
    <definedName name="Pol_tot_user">Poeng!$AI$214</definedName>
    <definedName name="Pol_Weight">'Assessment Rating'!$F$42</definedName>
    <definedName name="Pol01_19">Poeng!$AD$200</definedName>
    <definedName name="Pol01_20">Poeng!$AE$200</definedName>
    <definedName name="Pol01_credits">Poeng!$AB$200</definedName>
    <definedName name="Pol01_minstd">Poeng!$BE$200</definedName>
    <definedName name="Pol01_tot">Poeng!$BR$200</definedName>
    <definedName name="Pol01_user">Poeng!$AI$200</definedName>
    <definedName name="Pol02_23">'Assessment Issue Scoring'!#REF!</definedName>
    <definedName name="Pol02_26">Poeng!$AD$204</definedName>
    <definedName name="Pol02_27">Poeng!$AE$204</definedName>
    <definedName name="Pol02_credits">Poeng!$AB$204</definedName>
    <definedName name="Pol02_minstd">Poeng!$BE$204</definedName>
    <definedName name="Pol02_tot">Poeng!$BR$204</definedName>
    <definedName name="Pol02_user">Poeng!$AI$204</definedName>
    <definedName name="Pol03_14">Poeng!$AD$207</definedName>
    <definedName name="Pol03_15">Poeng!$AE$207</definedName>
    <definedName name="Pol03_credits">Poeng!$AB$207</definedName>
    <definedName name="Pol03_minstd">Poeng!$BE$207</definedName>
    <definedName name="Pol03_tot">Poeng!$BR$207</definedName>
    <definedName name="Pol03_user">Poeng!$AI$207</definedName>
    <definedName name="Pol04_05">Poeng!$AD$208</definedName>
    <definedName name="Pol04_06">Poeng!$AE$208</definedName>
    <definedName name="Pol04_credits">Poeng!$AB$208</definedName>
    <definedName name="Pol04_minstd">Poeng!$BE$208</definedName>
    <definedName name="Pol04_tot">Poeng!$BR$208</definedName>
    <definedName name="Pol04_user">Poeng!$AI$208</definedName>
    <definedName name="Pol05_10">Poeng!$AD$211</definedName>
    <definedName name="Pol05_11">Poeng!$AE$211</definedName>
    <definedName name="Pol05_credits">Poeng!$AB$211</definedName>
    <definedName name="Pol05_minstd">Poeng!$BE$211</definedName>
    <definedName name="Pol05_tot">Poeng!$BR$211</definedName>
    <definedName name="Pol05_user">Poeng!$AI$211</definedName>
    <definedName name="_xlnm.Print_Area" localSheetId="1">'Assessment Details'!$B$2:$F$58</definedName>
    <definedName name="_xlnm.Print_Area" localSheetId="8">'Assessment Rating'!$B$2:$O$47</definedName>
    <definedName name="_xlnm.Print_Area" localSheetId="0">Instructions!$B$2:$P$19</definedName>
    <definedName name="_xlnm.Print_Area" localSheetId="6">'Pre-Assessment Estimator'!$E$1:$AB$228</definedName>
    <definedName name="_xlnm.Print_Area" localSheetId="10">'Version Control'!$B$2:$P$22</definedName>
    <definedName name="Print_Area_SR" localSheetId="3">'Assessment Issue Scoring'!$B$1:$H$1351</definedName>
    <definedName name="_xlnm.Print_Titles" localSheetId="6">'Pre-Assessment Estimator'!$9:$9</definedName>
    <definedName name="projecttype">'Assessment Details'!$P$102</definedName>
    <definedName name="Score_const">'Assessment Rating'!$M$44</definedName>
    <definedName name="Score_design">'Assessment Rating'!$L$44</definedName>
    <definedName name="Score_Initial">'Assessment Rating'!$G$44</definedName>
    <definedName name="status">'Assessment Details'!$O$49:$O$52</definedName>
    <definedName name="TRA">'Assessment Issue Scoring'!$B$540</definedName>
    <definedName name="Tra_01">Poeng!$E$100</definedName>
    <definedName name="Tra_02">Poeng!$E$103</definedName>
    <definedName name="Tra_03">Poeng!$E$106</definedName>
    <definedName name="Tra_04">Poeng!$E$107</definedName>
    <definedName name="Tra_05">Poeng!$E$108</definedName>
    <definedName name="Tra_06">Poeng!$E$109</definedName>
    <definedName name="Tra_c_user">Poeng!$AK$110</definedName>
    <definedName name="Tra_cont_tot">Poeng!$AE$110</definedName>
    <definedName name="Tra_Credits">Poeng!$AB$110</definedName>
    <definedName name="Tra_d_user">Poeng!$AJ$110</definedName>
    <definedName name="Tra_tot_user">Poeng!$AI$110</definedName>
    <definedName name="Tra_Weight">'Assessment Rating'!$F$37</definedName>
    <definedName name="Tra01_07">Poeng!$AD$100</definedName>
    <definedName name="TRa01_08">Poeng!$AE$100</definedName>
    <definedName name="TRA01_BuildType">'Assessment Details'!$O$24:$O$30</definedName>
    <definedName name="Tra01_credits">Poeng!$AB$100</definedName>
    <definedName name="Tra01_Crit1">Poeng!$E$243</definedName>
    <definedName name="Tra01_Crit1_credits">Poeng!$AB$243</definedName>
    <definedName name="Tra01_minstd">Poeng!$BE$243</definedName>
    <definedName name="Tra01_tot">Poeng!$BR$100</definedName>
    <definedName name="Tra01_type7">'Assessment Details'!$O$30</definedName>
    <definedName name="Tra01_user">Poeng!$AI$100</definedName>
    <definedName name="Tra02_06">Poeng!$AD$103</definedName>
    <definedName name="Tra02_07">Poeng!$AE$103</definedName>
    <definedName name="Tra02_credits">Poeng!$AB$103</definedName>
    <definedName name="Tra02_minstd">Poeng!$BE$103</definedName>
    <definedName name="Tra02_tot">Poeng!$BR$103</definedName>
    <definedName name="Tra02_user">Poeng!$AI$103</definedName>
    <definedName name="Tra03_01">Options!$U$83</definedName>
    <definedName name="Tra03_02">'Assessment Details'!$P$68:$P$68</definedName>
    <definedName name="Tra03_13">Poeng!$AD$106</definedName>
    <definedName name="Tra03_14">Poeng!$AE$106</definedName>
    <definedName name="Tra03_credits">Poeng!$AB$106</definedName>
    <definedName name="Tra03_minstd">Poeng!$BE$106</definedName>
    <definedName name="Tra03_tot">Poeng!$BR$106</definedName>
    <definedName name="Tra03_user">Poeng!$AI$106</definedName>
    <definedName name="Tra04_09">Poeng!$AD$107</definedName>
    <definedName name="Tra04_10">Poeng!$AE$107</definedName>
    <definedName name="Tra04_credits">Poeng!$AB$107</definedName>
    <definedName name="Tra04_minstd">Poeng!$BE$107</definedName>
    <definedName name="Tra04_tot">Poeng!$BR$107</definedName>
    <definedName name="Tra04_user">Poeng!$AI$107</definedName>
    <definedName name="Tra05_04">Poeng!$AD$108</definedName>
    <definedName name="Tra05_05">Poeng!$AE$108</definedName>
    <definedName name="Tra05_credits">Poeng!$AB$108</definedName>
    <definedName name="Tra05_minstd">Poeng!$BE$108</definedName>
    <definedName name="Tra05_tot">Poeng!$BR$108</definedName>
    <definedName name="Tra05_user">Poeng!$AI$108</definedName>
    <definedName name="Tra06_04">Poeng!$AD$109</definedName>
    <definedName name="Tra06_05">Poeng!$AE$109</definedName>
    <definedName name="Tra06_credits">Poeng!$AB$109</definedName>
    <definedName name="Tra06_minstd">Poeng!$BE$109</definedName>
    <definedName name="Tra06_user">Poeng!$AI$109</definedName>
    <definedName name="TVC_current_date">'Version Control'!$C$5</definedName>
    <definedName name="TVC_current_version">'Version Control'!$B$5</definedName>
    <definedName name="WAT">'Assessment Issue Scoring'!$B$607</definedName>
    <definedName name="Wat__Credits">Poeng!$AB$123</definedName>
    <definedName name="Wat_01">Poeng!$E$113</definedName>
    <definedName name="Wat_02">Poeng!$E$115</definedName>
    <definedName name="Wat_03">Poeng!$E$117</definedName>
    <definedName name="Wat_04">Poeng!$E$121</definedName>
    <definedName name="Wat_c_user">Poeng!$AK$123</definedName>
    <definedName name="Wat_cont_tot">Poeng!$AE$123</definedName>
    <definedName name="Wat_Credits">Poeng!$AB$123</definedName>
    <definedName name="Wat_d_user">Poeng!$AJ$123</definedName>
    <definedName name="Wat_tot_user">Poeng!$AI$123</definedName>
    <definedName name="Wat_Weight">'Assessment Rating'!$F$38</definedName>
    <definedName name="Wat01_08">Poeng!$BS$113</definedName>
    <definedName name="Wat01_09">Poeng!$BE$113</definedName>
    <definedName name="Wat01_14">Poeng!$AD$113</definedName>
    <definedName name="Wat01_15">Poeng!$AE$113</definedName>
    <definedName name="Wat01_credits">Poeng!$AB$113</definedName>
    <definedName name="Wat01_minstd">Poeng!$BE$113</definedName>
    <definedName name="Wat01_tot">Poeng!$BR$113</definedName>
    <definedName name="Wat01_user">Poeng!$AI$113</definedName>
    <definedName name="Wat02_10">Poeng!$BS$115</definedName>
    <definedName name="Wat02_11">Poeng!$BE$115</definedName>
    <definedName name="Wat02_12">Poeng!$AD$115</definedName>
    <definedName name="Wat02_13">Poeng!$AE$115</definedName>
    <definedName name="Wat02_credits">Poeng!$AB$115</definedName>
    <definedName name="Wat02_tot">Poeng!$BR$115</definedName>
    <definedName name="Wat02_user">Poeng!$AI$115</definedName>
    <definedName name="Wat03_09">Poeng!$AD$117</definedName>
    <definedName name="Wat03_10">Poeng!$AE$117</definedName>
    <definedName name="Wat03_credits">Poeng!$AB$117</definedName>
    <definedName name="Wat03_minstd">Poeng!$BE$117</definedName>
    <definedName name="Wat03_tot">Poeng!$BR$117</definedName>
    <definedName name="Wat03_user">Poeng!$AI$117</definedName>
    <definedName name="Wat04_05">Poeng!$AD$121</definedName>
    <definedName name="Wat04_06">Poeng!$AE$121</definedName>
    <definedName name="Wat04_credits">Poeng!$AB$121</definedName>
    <definedName name="Wat04_minstd">Poeng!$BE$121</definedName>
    <definedName name="Wat04_tot">Poeng!$BR$121</definedName>
    <definedName name="Wat04_user">Poeng!$AI$121</definedName>
    <definedName name="WST">'Assessment Issue Scoring'!$B$903</definedName>
    <definedName name="Wst_01">Poeng!$E$155</definedName>
    <definedName name="Wst_02">Poeng!$E$159</definedName>
    <definedName name="Wst_03">Poeng!$E$160</definedName>
    <definedName name="Wst_04">Poeng!$E$164</definedName>
    <definedName name="Wst_c_user">Poeng!$AK$166</definedName>
    <definedName name="Wst_cont_tot">Poeng!$AE$166</definedName>
    <definedName name="Wst_Credits">Poeng!$AB$166</definedName>
    <definedName name="Wst_d_user">Poeng!$AJ$166</definedName>
    <definedName name="Wst_tot_user">Poeng!$AI$166</definedName>
    <definedName name="Wst_Weight">'Assessment Rating'!$F$40</definedName>
    <definedName name="Wst01_17">Poeng!$BS$155</definedName>
    <definedName name="Wst01_18">Poeng!$BE$155</definedName>
    <definedName name="Wst01_27">Poeng!$AD$155</definedName>
    <definedName name="Wst01_28">Poeng!$AE$155</definedName>
    <definedName name="Wst01_credits">Poeng!$AB$155</definedName>
    <definedName name="Wst01_Crit1">Poeng!$E$248</definedName>
    <definedName name="Wst01_Crit1_credits">Poeng!$AB$248</definedName>
    <definedName name="Wst01_minstd">Poeng!$BE$248</definedName>
    <definedName name="Wst01_tot">Poeng!$BR$155</definedName>
    <definedName name="Wst01_user">Poeng!$AI$155</definedName>
    <definedName name="Wst02_11">Poeng!$BS$159</definedName>
    <definedName name="Wst02_14">Poeng!$AD$159</definedName>
    <definedName name="Wst02_15">Poeng!$AE$159</definedName>
    <definedName name="Wst02_credits">Poeng!$AB$159</definedName>
    <definedName name="Wst02_minstd">Poeng!$BE$159</definedName>
    <definedName name="Wst02_tot">Poeng!$BR$159</definedName>
    <definedName name="Wst02_user">Poeng!$AI$159</definedName>
    <definedName name="Wst03_09">Poeng!$BS$160</definedName>
    <definedName name="Wst03_10">Poeng!$BE$160</definedName>
    <definedName name="Wst03_12">Poeng!$AD$160</definedName>
    <definedName name="Wst03_13">Poeng!$AE$160</definedName>
    <definedName name="Wst03_credits">Poeng!$AB$160</definedName>
    <definedName name="Wst03_tot">Poeng!$BR$160</definedName>
    <definedName name="Wst03_user">Poeng!$AI$160</definedName>
    <definedName name="Wst04_08">Poeng!$AD$164</definedName>
    <definedName name="Wst04_09">Poeng!$AE$164</definedName>
    <definedName name="Wst04_credits">Poeng!$AB$164</definedName>
    <definedName name="Wst04_minstd">Poeng!$BE$164</definedName>
    <definedName name="Wst04_tot">Poeng!$BR$164</definedName>
    <definedName name="Wst04_user">Poeng!$AI$164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3" i="23" l="1"/>
  <c r="D10" i="11"/>
  <c r="H6" i="23"/>
  <c r="Z6" i="5"/>
  <c r="S6" i="5"/>
  <c r="L6" i="5"/>
  <c r="L4" i="5"/>
  <c r="Q17" i="3" l="1"/>
  <c r="Q16" i="3"/>
  <c r="Q15" i="3"/>
  <c r="Q12" i="3"/>
  <c r="BQ250" i="13" l="1"/>
  <c r="C63" i="11"/>
  <c r="C55" i="11"/>
  <c r="BQ256" i="13"/>
  <c r="G14" i="5"/>
  <c r="D19" i="23"/>
  <c r="D18" i="23"/>
  <c r="G191" i="23" l="1"/>
  <c r="I15" i="3"/>
  <c r="U119" i="13" s="1"/>
  <c r="K915" i="23" l="1"/>
  <c r="C64" i="11"/>
  <c r="G73" i="5"/>
  <c r="D350" i="23"/>
  <c r="BQ257" i="13"/>
  <c r="G224" i="23"/>
  <c r="M6" i="11" l="1"/>
  <c r="D6" i="23"/>
  <c r="F1175" i="23"/>
  <c r="F1174" i="23"/>
  <c r="F1150" i="23"/>
  <c r="I190" i="23"/>
  <c r="I189" i="23"/>
  <c r="K1176" i="23"/>
  <c r="AT1174" i="23" l="1"/>
  <c r="AU189" i="23"/>
  <c r="L223" i="23"/>
  <c r="T9" i="23" l="1"/>
  <c r="F188" i="28"/>
  <c r="H71" i="28"/>
  <c r="H72" i="28"/>
  <c r="H73" i="28"/>
  <c r="H75" i="28"/>
  <c r="H65" i="28"/>
  <c r="G66" i="28"/>
  <c r="G67" i="28"/>
  <c r="G68" i="28"/>
  <c r="G69" i="28"/>
  <c r="G70" i="28"/>
  <c r="G71" i="28"/>
  <c r="G72" i="28"/>
  <c r="G74" i="28"/>
  <c r="G75" i="28"/>
  <c r="G65" i="28"/>
  <c r="B66" i="28"/>
  <c r="B67" i="28"/>
  <c r="B68" i="28"/>
  <c r="B69" i="28"/>
  <c r="B70" i="28"/>
  <c r="B71" i="28"/>
  <c r="B72" i="28"/>
  <c r="B73" i="28"/>
  <c r="B74" i="28"/>
  <c r="B75" i="28"/>
  <c r="B65" i="28"/>
  <c r="H155" i="28"/>
  <c r="B10" i="28"/>
  <c r="H21" i="3"/>
  <c r="H16" i="3"/>
  <c r="G205" i="28" l="1"/>
  <c r="B4" i="24"/>
  <c r="I31" i="29"/>
  <c r="I32" i="29"/>
  <c r="G194" i="28"/>
  <c r="AM389" i="23"/>
  <c r="AM388" i="23"/>
  <c r="D5" i="23"/>
  <c r="F1412" i="23"/>
  <c r="K1325" i="23"/>
  <c r="F1011" i="23"/>
  <c r="I846" i="23"/>
  <c r="I822" i="23"/>
  <c r="F763" i="23"/>
  <c r="F715" i="23"/>
  <c r="F474" i="23"/>
  <c r="F367" i="23"/>
  <c r="H74" i="28" s="1"/>
  <c r="F360" i="23"/>
  <c r="H67" i="28" s="1"/>
  <c r="F276" i="23"/>
  <c r="G190" i="5" l="1"/>
  <c r="G181" i="5"/>
  <c r="G177" i="5"/>
  <c r="G71" i="5"/>
  <c r="G155" i="5"/>
  <c r="K991" i="23"/>
  <c r="G167" i="5" s="1"/>
  <c r="G113" i="28"/>
  <c r="B113" i="28"/>
  <c r="G199" i="5" l="1"/>
  <c r="G152" i="5"/>
  <c r="D911" i="23"/>
  <c r="D910" i="23"/>
  <c r="Z1" i="5"/>
  <c r="AK3" i="5"/>
  <c r="N4" i="5"/>
  <c r="U4" i="5"/>
  <c r="E5" i="5"/>
  <c r="S5" i="5"/>
  <c r="Z5" i="5"/>
  <c r="AK5" i="5"/>
  <c r="E6" i="5"/>
  <c r="E7" i="5"/>
  <c r="N7" i="5"/>
  <c r="U7" i="5"/>
  <c r="AJ8" i="5"/>
  <c r="AR39" i="5" s="1"/>
  <c r="AC10" i="5"/>
  <c r="AD11" i="5"/>
  <c r="AE11" i="5"/>
  <c r="AF11" i="5"/>
  <c r="AD12" i="5"/>
  <c r="AE12" i="5"/>
  <c r="AF12" i="5"/>
  <c r="AD13" i="5"/>
  <c r="AE13" i="5"/>
  <c r="AF13" i="5"/>
  <c r="AD15" i="5"/>
  <c r="AE15" i="5"/>
  <c r="AF15" i="5"/>
  <c r="AD16" i="5"/>
  <c r="AE16" i="5"/>
  <c r="AF16" i="5"/>
  <c r="AD17" i="5"/>
  <c r="AE17" i="5"/>
  <c r="AF17" i="5"/>
  <c r="AD18" i="5"/>
  <c r="AE18" i="5"/>
  <c r="AF18" i="5"/>
  <c r="AD19" i="5"/>
  <c r="AE19" i="5"/>
  <c r="AF19" i="5"/>
  <c r="AD20" i="5"/>
  <c r="AE20" i="5"/>
  <c r="AF20" i="5"/>
  <c r="AD21" i="5"/>
  <c r="AE21" i="5"/>
  <c r="AF21" i="5"/>
  <c r="AD22" i="5"/>
  <c r="AE22" i="5"/>
  <c r="AF22" i="5"/>
  <c r="AD23" i="5"/>
  <c r="AE23" i="5"/>
  <c r="AF23" i="5"/>
  <c r="AD24" i="5"/>
  <c r="AE24" i="5"/>
  <c r="AF24" i="5"/>
  <c r="AD25" i="5"/>
  <c r="AE25" i="5"/>
  <c r="AF25" i="5"/>
  <c r="AD26" i="5"/>
  <c r="AE26" i="5"/>
  <c r="AF26" i="5"/>
  <c r="AD27" i="5"/>
  <c r="AE27" i="5"/>
  <c r="AF27" i="5"/>
  <c r="AD28" i="5"/>
  <c r="AE28" i="5"/>
  <c r="AF28" i="5"/>
  <c r="AD29" i="5"/>
  <c r="AE29" i="5"/>
  <c r="AF29" i="5"/>
  <c r="AD30" i="5"/>
  <c r="AE30" i="5"/>
  <c r="AF30" i="5"/>
  <c r="AD31" i="5"/>
  <c r="AE31" i="5"/>
  <c r="AF31" i="5"/>
  <c r="AD32" i="5"/>
  <c r="AE32" i="5"/>
  <c r="AF32" i="5"/>
  <c r="AD33" i="5"/>
  <c r="AE33" i="5"/>
  <c r="AF33" i="5"/>
  <c r="AD34" i="5"/>
  <c r="AE34" i="5"/>
  <c r="AF34" i="5"/>
  <c r="AD35" i="5"/>
  <c r="AE35" i="5"/>
  <c r="AF35" i="5"/>
  <c r="AC37" i="5"/>
  <c r="AC38" i="5"/>
  <c r="AD39" i="5"/>
  <c r="AE39" i="5"/>
  <c r="AF39" i="5"/>
  <c r="AI39" i="5"/>
  <c r="C40" i="5"/>
  <c r="G40" i="5"/>
  <c r="AD40" i="5"/>
  <c r="AE40" i="5"/>
  <c r="AF40" i="5"/>
  <c r="C41" i="5"/>
  <c r="G41" i="5"/>
  <c r="C42" i="5"/>
  <c r="C43" i="5" s="1"/>
  <c r="C44" i="5" s="1"/>
  <c r="C45" i="5" s="1"/>
  <c r="C46" i="5" s="1"/>
  <c r="AD42" i="5"/>
  <c r="AE42" i="5"/>
  <c r="AF42" i="5"/>
  <c r="AD43" i="5"/>
  <c r="AE43" i="5"/>
  <c r="AF43" i="5"/>
  <c r="AD44" i="5"/>
  <c r="AE44" i="5"/>
  <c r="AF44" i="5"/>
  <c r="AD45" i="5"/>
  <c r="AE45" i="5"/>
  <c r="AF45" i="5"/>
  <c r="AD46" i="5"/>
  <c r="AE46" i="5"/>
  <c r="AF46" i="5"/>
  <c r="AD47" i="5"/>
  <c r="AE47" i="5"/>
  <c r="AF47" i="5"/>
  <c r="AI47" i="5"/>
  <c r="C48" i="5"/>
  <c r="C49" i="5" s="1"/>
  <c r="C50" i="5" s="1"/>
  <c r="C51" i="5" s="1"/>
  <c r="G48" i="5"/>
  <c r="AD48" i="5"/>
  <c r="AE48" i="5"/>
  <c r="AF48" i="5"/>
  <c r="AD49" i="5"/>
  <c r="AE49" i="5"/>
  <c r="AF49" i="5"/>
  <c r="AD50" i="5"/>
  <c r="AE50" i="5"/>
  <c r="AF50" i="5"/>
  <c r="AD51" i="5"/>
  <c r="AE51" i="5"/>
  <c r="AF51" i="5"/>
  <c r="AD52" i="5"/>
  <c r="AE52" i="5"/>
  <c r="AF52" i="5"/>
  <c r="AI52" i="5"/>
  <c r="C53" i="5"/>
  <c r="C54" i="5" s="1"/>
  <c r="C55" i="5" s="1"/>
  <c r="AD53" i="5"/>
  <c r="AE53" i="5"/>
  <c r="AF53" i="5"/>
  <c r="AD54" i="5"/>
  <c r="AE54" i="5"/>
  <c r="AF54" i="5"/>
  <c r="AD55" i="5"/>
  <c r="AE55" i="5"/>
  <c r="AF55" i="5"/>
  <c r="AD56" i="5"/>
  <c r="AE56" i="5"/>
  <c r="AF56" i="5"/>
  <c r="C57" i="5"/>
  <c r="C58" i="5" s="1"/>
  <c r="G57" i="5"/>
  <c r="AD57" i="5"/>
  <c r="AE57" i="5"/>
  <c r="AF57" i="5"/>
  <c r="AD58" i="5"/>
  <c r="AE58" i="5"/>
  <c r="AF58" i="5"/>
  <c r="AD59" i="5"/>
  <c r="AE59" i="5"/>
  <c r="AF59" i="5"/>
  <c r="C60" i="5"/>
  <c r="C61" i="5" s="1"/>
  <c r="AD60" i="5"/>
  <c r="AE60" i="5"/>
  <c r="AF60" i="5"/>
  <c r="AD61" i="5"/>
  <c r="AE61" i="5"/>
  <c r="AF61" i="5"/>
  <c r="AD62" i="5"/>
  <c r="AE62" i="5"/>
  <c r="AF62" i="5"/>
  <c r="C63" i="5"/>
  <c r="AD63" i="5"/>
  <c r="AE63" i="5"/>
  <c r="AF63" i="5"/>
  <c r="AC65" i="5"/>
  <c r="AC66" i="5"/>
  <c r="AD67" i="5"/>
  <c r="AE67" i="5"/>
  <c r="AF67" i="5"/>
  <c r="C68" i="5"/>
  <c r="C69" i="5" s="1"/>
  <c r="AD68" i="5"/>
  <c r="AE68" i="5"/>
  <c r="AF68" i="5"/>
  <c r="AD69" i="5"/>
  <c r="AE69" i="5"/>
  <c r="AF69" i="5"/>
  <c r="AD70" i="5"/>
  <c r="AE70" i="5"/>
  <c r="AF70" i="5"/>
  <c r="AD71" i="5"/>
  <c r="AE71" i="5"/>
  <c r="AF71" i="5"/>
  <c r="AD72" i="5"/>
  <c r="AE72" i="5"/>
  <c r="AF72" i="5"/>
  <c r="AD74" i="5"/>
  <c r="AE74" i="5"/>
  <c r="AF74" i="5"/>
  <c r="AD75" i="5"/>
  <c r="AE75" i="5"/>
  <c r="AF75" i="5"/>
  <c r="AI75" i="5"/>
  <c r="C76" i="5"/>
  <c r="C77" i="5" s="1"/>
  <c r="C78" i="5" s="1"/>
  <c r="AD76" i="5"/>
  <c r="AE76" i="5"/>
  <c r="AF76" i="5"/>
  <c r="AD77" i="5"/>
  <c r="AE77" i="5"/>
  <c r="AF77" i="5"/>
  <c r="AD78" i="5"/>
  <c r="AE78" i="5"/>
  <c r="AF78" i="5"/>
  <c r="AD79" i="5"/>
  <c r="AE79" i="5"/>
  <c r="AF79" i="5"/>
  <c r="AI79" i="5"/>
  <c r="C80" i="5"/>
  <c r="C81" i="5" s="1"/>
  <c r="AD80" i="5"/>
  <c r="AE80" i="5"/>
  <c r="AF80" i="5"/>
  <c r="AD81" i="5"/>
  <c r="AE81" i="5"/>
  <c r="AF81" i="5"/>
  <c r="AD82" i="5"/>
  <c r="AE82" i="5"/>
  <c r="AF82" i="5"/>
  <c r="AI82" i="5"/>
  <c r="C83" i="5"/>
  <c r="C84" i="5" s="1"/>
  <c r="AD83" i="5"/>
  <c r="AE83" i="5"/>
  <c r="AF83" i="5"/>
  <c r="AD84" i="5"/>
  <c r="AE84" i="5"/>
  <c r="AF84" i="5"/>
  <c r="AD85" i="5"/>
  <c r="AE85" i="5"/>
  <c r="AF85" i="5"/>
  <c r="C86" i="5"/>
  <c r="C88" i="5" s="1"/>
  <c r="AD86" i="5"/>
  <c r="AE86" i="5"/>
  <c r="AF86" i="5"/>
  <c r="C87" i="5"/>
  <c r="AD87" i="5"/>
  <c r="AE87" i="5"/>
  <c r="AF87" i="5"/>
  <c r="AD88" i="5"/>
  <c r="AE88" i="5"/>
  <c r="AF88" i="5"/>
  <c r="AD89" i="5"/>
  <c r="AE89" i="5"/>
  <c r="AF89" i="5"/>
  <c r="C90" i="5"/>
  <c r="C91" i="5" s="1"/>
  <c r="AD90" i="5"/>
  <c r="AE90" i="5"/>
  <c r="AF90" i="5"/>
  <c r="AD91" i="5"/>
  <c r="AE91" i="5"/>
  <c r="AF91" i="5"/>
  <c r="AD92" i="5"/>
  <c r="AE92" i="5"/>
  <c r="AF92" i="5"/>
  <c r="AI92" i="5"/>
  <c r="C93" i="5"/>
  <c r="AD93" i="5"/>
  <c r="AE93" i="5"/>
  <c r="AF93" i="5"/>
  <c r="AC95" i="5"/>
  <c r="AC96" i="5"/>
  <c r="AD97" i="5"/>
  <c r="AE97" i="5"/>
  <c r="AF97" i="5"/>
  <c r="C98" i="5"/>
  <c r="C99" i="5" s="1"/>
  <c r="AD98" i="5"/>
  <c r="AE98" i="5"/>
  <c r="AF98" i="5"/>
  <c r="AD99" i="5"/>
  <c r="AE99" i="5"/>
  <c r="AF99" i="5"/>
  <c r="AD100" i="5"/>
  <c r="AE100" i="5"/>
  <c r="AF100" i="5"/>
  <c r="C101" i="5"/>
  <c r="C102" i="5" s="1"/>
  <c r="G101" i="5"/>
  <c r="AD101" i="5"/>
  <c r="AE101" i="5"/>
  <c r="AF101" i="5"/>
  <c r="AD102" i="5"/>
  <c r="AE102" i="5"/>
  <c r="AF102" i="5"/>
  <c r="AC104" i="5"/>
  <c r="AC105" i="5"/>
  <c r="AD106" i="5"/>
  <c r="AE106" i="5"/>
  <c r="AF106" i="5"/>
  <c r="C107" i="5"/>
  <c r="AD107" i="5"/>
  <c r="AE107" i="5"/>
  <c r="AF107" i="5"/>
  <c r="C108" i="5"/>
  <c r="G108" i="5"/>
  <c r="AD108" i="5"/>
  <c r="AE108" i="5"/>
  <c r="AF108" i="5"/>
  <c r="AD109" i="5"/>
  <c r="AE109" i="5"/>
  <c r="AF109" i="5"/>
  <c r="AI109" i="5"/>
  <c r="C110" i="5"/>
  <c r="AD110" i="5"/>
  <c r="AE110" i="5"/>
  <c r="AF110" i="5"/>
  <c r="AD111" i="5"/>
  <c r="AE111" i="5"/>
  <c r="AF111" i="5"/>
  <c r="AI111" i="5"/>
  <c r="C112" i="5"/>
  <c r="C113" i="5" s="1"/>
  <c r="C114" i="5" s="1"/>
  <c r="AD112" i="5"/>
  <c r="AE112" i="5"/>
  <c r="AF112" i="5"/>
  <c r="AD113" i="5"/>
  <c r="AE113" i="5"/>
  <c r="AF113" i="5"/>
  <c r="AD114" i="5"/>
  <c r="AE114" i="5"/>
  <c r="AF114" i="5"/>
  <c r="AD115" i="5"/>
  <c r="AE115" i="5"/>
  <c r="AF115" i="5"/>
  <c r="C116" i="5"/>
  <c r="AD116" i="5"/>
  <c r="AE116" i="5"/>
  <c r="AF116" i="5"/>
  <c r="AC118" i="5"/>
  <c r="AC119" i="5"/>
  <c r="AD120" i="5"/>
  <c r="AE120" i="5"/>
  <c r="AF120" i="5"/>
  <c r="C121" i="5"/>
  <c r="C122" i="5" s="1"/>
  <c r="C123" i="5" s="1"/>
  <c r="G121" i="5"/>
  <c r="AD121" i="5"/>
  <c r="AE121" i="5"/>
  <c r="AF121" i="5"/>
  <c r="AD122" i="5"/>
  <c r="AE122" i="5"/>
  <c r="AF122" i="5"/>
  <c r="AD123" i="5"/>
  <c r="AE123" i="5"/>
  <c r="AF123" i="5"/>
  <c r="AD124" i="5"/>
  <c r="AE124" i="5"/>
  <c r="AF124" i="5"/>
  <c r="C125" i="5"/>
  <c r="C126" i="5" s="1"/>
  <c r="C127" i="5" s="1"/>
  <c r="G125" i="5"/>
  <c r="AD125" i="5"/>
  <c r="AE125" i="5"/>
  <c r="AF125" i="5"/>
  <c r="AD126" i="5"/>
  <c r="AE126" i="5"/>
  <c r="AF126" i="5"/>
  <c r="AD127" i="5"/>
  <c r="AE127" i="5"/>
  <c r="AF127" i="5"/>
  <c r="AD128" i="5"/>
  <c r="AE128" i="5"/>
  <c r="AF128" i="5"/>
  <c r="C129" i="5"/>
  <c r="C130" i="5" s="1"/>
  <c r="C131" i="5" s="1"/>
  <c r="G129" i="5"/>
  <c r="AD129" i="5"/>
  <c r="AE129" i="5"/>
  <c r="AF129" i="5"/>
  <c r="AD130" i="5"/>
  <c r="AE130" i="5"/>
  <c r="AF130" i="5"/>
  <c r="AD131" i="5"/>
  <c r="AE131" i="5"/>
  <c r="AF131" i="5"/>
  <c r="AD132" i="5"/>
  <c r="AE132" i="5"/>
  <c r="AF132" i="5"/>
  <c r="AI132" i="5"/>
  <c r="C133" i="5"/>
  <c r="C134" i="5" s="1"/>
  <c r="C135" i="5" s="1"/>
  <c r="C136" i="5" s="1"/>
  <c r="C137" i="5" s="1"/>
  <c r="G133" i="5"/>
  <c r="AD133" i="5"/>
  <c r="AE133" i="5"/>
  <c r="AF133" i="5"/>
  <c r="AD134" i="5"/>
  <c r="AE134" i="5"/>
  <c r="AF134" i="5"/>
  <c r="AD135" i="5"/>
  <c r="AE135" i="5"/>
  <c r="AF135" i="5"/>
  <c r="AD136" i="5"/>
  <c r="AE136" i="5"/>
  <c r="AF136" i="5"/>
  <c r="AD137" i="5"/>
  <c r="AE137" i="5"/>
  <c r="AF137" i="5"/>
  <c r="AD138" i="5"/>
  <c r="AE138" i="5"/>
  <c r="AF138" i="5"/>
  <c r="C139" i="5"/>
  <c r="G139" i="5"/>
  <c r="AD139" i="5"/>
  <c r="AE139" i="5"/>
  <c r="AF139" i="5"/>
  <c r="C140" i="5"/>
  <c r="C141" i="5" s="1"/>
  <c r="C142" i="5" s="1"/>
  <c r="AD140" i="5"/>
  <c r="AE140" i="5"/>
  <c r="AF140" i="5"/>
  <c r="AD141" i="5"/>
  <c r="AE141" i="5"/>
  <c r="AF141" i="5"/>
  <c r="AD142" i="5"/>
  <c r="AE142" i="5"/>
  <c r="AF142" i="5"/>
  <c r="AD143" i="5"/>
  <c r="AE143" i="5"/>
  <c r="AF143" i="5"/>
  <c r="C144" i="5"/>
  <c r="AD144" i="5"/>
  <c r="AE144" i="5"/>
  <c r="AF144" i="5"/>
  <c r="C145" i="5"/>
  <c r="C146" i="5" s="1"/>
  <c r="AD145" i="5"/>
  <c r="AE145" i="5"/>
  <c r="AF145" i="5"/>
  <c r="AD146" i="5"/>
  <c r="AE146" i="5"/>
  <c r="AF146" i="5"/>
  <c r="AC148" i="5"/>
  <c r="AC149" i="5"/>
  <c r="AD150" i="5"/>
  <c r="AE150" i="5"/>
  <c r="AF150" i="5"/>
  <c r="C151" i="5"/>
  <c r="AD151" i="5"/>
  <c r="AE151" i="5"/>
  <c r="AF151" i="5"/>
  <c r="C152" i="5"/>
  <c r="C153" i="5" s="1"/>
  <c r="C154" i="5" s="1"/>
  <c r="C155" i="5" s="1"/>
  <c r="AD152" i="5"/>
  <c r="AE152" i="5"/>
  <c r="AF152" i="5"/>
  <c r="AD153" i="5"/>
  <c r="AE153" i="5"/>
  <c r="AF153" i="5"/>
  <c r="AD154" i="5"/>
  <c r="AE154" i="5"/>
  <c r="AF154" i="5"/>
  <c r="AD155" i="5"/>
  <c r="AE155" i="5"/>
  <c r="AF155" i="5"/>
  <c r="AD156" i="5"/>
  <c r="AE156" i="5"/>
  <c r="AF156" i="5"/>
  <c r="C157" i="5"/>
  <c r="AD157" i="5"/>
  <c r="AE157" i="5"/>
  <c r="AF157" i="5"/>
  <c r="AD158" i="5"/>
  <c r="AE158" i="5"/>
  <c r="AF158" i="5"/>
  <c r="C159" i="5"/>
  <c r="AD159" i="5"/>
  <c r="AE159" i="5"/>
  <c r="AF159" i="5"/>
  <c r="AD160" i="5"/>
  <c r="AE160" i="5"/>
  <c r="AF160" i="5"/>
  <c r="C161" i="5"/>
  <c r="AD161" i="5"/>
  <c r="AE161" i="5"/>
  <c r="AF161" i="5"/>
  <c r="AC163" i="5"/>
  <c r="AC164" i="5"/>
  <c r="AD165" i="5"/>
  <c r="AE165" i="5"/>
  <c r="AF165" i="5"/>
  <c r="C166" i="5"/>
  <c r="C167" i="5" s="1"/>
  <c r="AD166" i="5"/>
  <c r="AE166" i="5"/>
  <c r="AF166" i="5"/>
  <c r="AD167" i="5"/>
  <c r="AE167" i="5"/>
  <c r="AF167" i="5"/>
  <c r="AD168" i="5"/>
  <c r="AE168" i="5"/>
  <c r="AF168" i="5"/>
  <c r="C169" i="5"/>
  <c r="G169" i="5"/>
  <c r="AD169" i="5"/>
  <c r="AE169" i="5"/>
  <c r="AF169" i="5"/>
  <c r="C170" i="5"/>
  <c r="C171" i="5" s="1"/>
  <c r="AD170" i="5"/>
  <c r="AE170" i="5"/>
  <c r="AF170" i="5"/>
  <c r="AD171" i="5"/>
  <c r="AE171" i="5"/>
  <c r="AF171" i="5"/>
  <c r="AD172" i="5"/>
  <c r="AE172" i="5"/>
  <c r="AF172" i="5"/>
  <c r="AD174" i="5"/>
  <c r="AE174" i="5"/>
  <c r="AF174" i="5"/>
  <c r="AD175" i="5"/>
  <c r="AE175" i="5"/>
  <c r="AF175" i="5"/>
  <c r="AD176" i="5"/>
  <c r="AE176" i="5"/>
  <c r="AF176" i="5"/>
  <c r="C177" i="5"/>
  <c r="C178" i="5" s="1"/>
  <c r="C179" i="5" s="1"/>
  <c r="AD177" i="5"/>
  <c r="AE177" i="5"/>
  <c r="AF177" i="5"/>
  <c r="AD178" i="5"/>
  <c r="AE178" i="5"/>
  <c r="AF178" i="5"/>
  <c r="AD179" i="5"/>
  <c r="AE179" i="5"/>
  <c r="AF179" i="5"/>
  <c r="AD180" i="5"/>
  <c r="AE180" i="5"/>
  <c r="AF180" i="5"/>
  <c r="C181" i="5"/>
  <c r="C182" i="5" s="1"/>
  <c r="C183" i="5" s="1"/>
  <c r="AD181" i="5"/>
  <c r="AE181" i="5"/>
  <c r="AF181" i="5"/>
  <c r="AD182" i="5"/>
  <c r="AE182" i="5"/>
  <c r="AF182" i="5"/>
  <c r="AD183" i="5"/>
  <c r="AE183" i="5"/>
  <c r="AF183" i="5"/>
  <c r="AD184" i="5"/>
  <c r="AE184" i="5"/>
  <c r="AF184" i="5"/>
  <c r="C185" i="5"/>
  <c r="AD185" i="5"/>
  <c r="AE185" i="5"/>
  <c r="AF185" i="5"/>
  <c r="AD186" i="5"/>
  <c r="AE186" i="5"/>
  <c r="AF186" i="5"/>
  <c r="C187" i="5"/>
  <c r="C188" i="5" s="1"/>
  <c r="G187" i="5"/>
  <c r="AD187" i="5"/>
  <c r="AE187" i="5"/>
  <c r="AF187" i="5"/>
  <c r="AD188" i="5"/>
  <c r="AE188" i="5"/>
  <c r="AF188" i="5"/>
  <c r="AD189" i="5"/>
  <c r="AE189" i="5"/>
  <c r="AF189" i="5"/>
  <c r="C190" i="5"/>
  <c r="C192" i="5" s="1"/>
  <c r="AD190" i="5"/>
  <c r="AE190" i="5"/>
  <c r="AF190" i="5"/>
  <c r="C191" i="5"/>
  <c r="C193" i="5" s="1"/>
  <c r="AD191" i="5"/>
  <c r="AE191" i="5"/>
  <c r="AF191" i="5"/>
  <c r="AD192" i="5"/>
  <c r="AE192" i="5"/>
  <c r="AF192" i="5"/>
  <c r="AD193" i="5"/>
  <c r="AE193" i="5"/>
  <c r="AF193" i="5"/>
  <c r="AC195" i="5"/>
  <c r="AC196" i="5"/>
  <c r="AD197" i="5"/>
  <c r="AE197" i="5"/>
  <c r="AF197" i="5"/>
  <c r="AI197" i="5"/>
  <c r="C198" i="5"/>
  <c r="C199" i="5" s="1"/>
  <c r="AD198" i="5"/>
  <c r="AE198" i="5"/>
  <c r="AF198" i="5"/>
  <c r="AD199" i="5"/>
  <c r="AE199" i="5"/>
  <c r="AF199" i="5"/>
  <c r="AD200" i="5"/>
  <c r="AE200" i="5"/>
  <c r="AF200" i="5"/>
  <c r="AD201" i="5"/>
  <c r="AE201" i="5"/>
  <c r="AF201" i="5"/>
  <c r="AD202" i="5"/>
  <c r="AE202" i="5"/>
  <c r="AF202" i="5"/>
  <c r="AI202" i="5"/>
  <c r="C203" i="5"/>
  <c r="C204" i="5" s="1"/>
  <c r="AD203" i="5"/>
  <c r="AE203" i="5"/>
  <c r="AF203" i="5"/>
  <c r="AD204" i="5"/>
  <c r="AE204" i="5"/>
  <c r="AF204" i="5"/>
  <c r="AD205" i="5"/>
  <c r="AE205" i="5"/>
  <c r="AF205" i="5"/>
  <c r="AI205" i="5"/>
  <c r="C206" i="5"/>
  <c r="C207" i="5" s="1"/>
  <c r="AD206" i="5"/>
  <c r="AE206" i="5"/>
  <c r="AF206" i="5"/>
  <c r="AD207" i="5"/>
  <c r="AE207" i="5"/>
  <c r="AF207" i="5"/>
  <c r="AD208" i="5"/>
  <c r="AE208" i="5"/>
  <c r="AF208" i="5"/>
  <c r="AI208" i="5"/>
  <c r="C209" i="5"/>
  <c r="C210" i="5" s="1"/>
  <c r="AD209" i="5"/>
  <c r="AE209" i="5"/>
  <c r="AF209" i="5"/>
  <c r="AD210" i="5"/>
  <c r="AE210" i="5"/>
  <c r="AF210" i="5"/>
  <c r="AC212" i="5"/>
  <c r="AC213" i="5"/>
  <c r="AD214" i="5"/>
  <c r="AE214" i="5"/>
  <c r="AF214" i="5"/>
  <c r="AD215" i="5"/>
  <c r="AE215" i="5"/>
  <c r="AF215" i="5"/>
  <c r="AD216" i="5"/>
  <c r="AE216" i="5"/>
  <c r="AF216" i="5"/>
  <c r="AD217" i="5"/>
  <c r="AE217" i="5"/>
  <c r="AF217" i="5"/>
  <c r="AD218" i="5"/>
  <c r="AE218" i="5"/>
  <c r="AF218" i="5"/>
  <c r="AD219" i="5"/>
  <c r="AE219" i="5"/>
  <c r="AF219" i="5"/>
  <c r="AD220" i="5"/>
  <c r="AE220" i="5"/>
  <c r="AF220" i="5"/>
  <c r="AD221" i="5"/>
  <c r="AE221" i="5"/>
  <c r="AF221" i="5"/>
  <c r="AD222" i="5"/>
  <c r="AE222" i="5"/>
  <c r="AF222" i="5"/>
  <c r="AD223" i="5"/>
  <c r="AE223" i="5"/>
  <c r="AF223" i="5"/>
  <c r="AD224" i="5"/>
  <c r="AE224" i="5"/>
  <c r="AF224" i="5"/>
  <c r="AD225" i="5"/>
  <c r="AE225" i="5"/>
  <c r="AF225" i="5"/>
  <c r="AD226" i="5"/>
  <c r="AE226" i="5"/>
  <c r="AF226" i="5"/>
  <c r="AD227" i="5"/>
  <c r="AE227" i="5"/>
  <c r="AF227" i="5"/>
  <c r="D846" i="23"/>
  <c r="D847" i="23"/>
  <c r="BR235" i="13"/>
  <c r="BS235" i="13"/>
  <c r="BT235" i="13"/>
  <c r="AR75" i="5" l="1"/>
  <c r="C200" i="5"/>
  <c r="C201" i="5"/>
  <c r="C70" i="5"/>
  <c r="C72" i="5" s="1"/>
  <c r="C74" i="5" s="1"/>
  <c r="C71" i="5"/>
  <c r="C73" i="5" s="1"/>
  <c r="F740" i="23" l="1"/>
  <c r="F359" i="23" l="1"/>
  <c r="H186" i="28"/>
  <c r="G186" i="28"/>
  <c r="H181" i="28"/>
  <c r="G181" i="28"/>
  <c r="H172" i="28"/>
  <c r="G172" i="28"/>
  <c r="H168" i="28"/>
  <c r="G168" i="28"/>
  <c r="H164" i="28"/>
  <c r="G164" i="28"/>
  <c r="H160" i="28"/>
  <c r="G160" i="28"/>
  <c r="H151" i="28"/>
  <c r="G151" i="28"/>
  <c r="H147" i="28"/>
  <c r="G147" i="28"/>
  <c r="H135" i="28"/>
  <c r="G135" i="28"/>
  <c r="H131" i="28"/>
  <c r="G131" i="28"/>
  <c r="H125" i="28"/>
  <c r="G125" i="28"/>
  <c r="H110" i="28"/>
  <c r="G110" i="28"/>
  <c r="H105" i="28"/>
  <c r="G105" i="28"/>
  <c r="H88" i="28"/>
  <c r="G88" i="28"/>
  <c r="H81" i="28"/>
  <c r="G81" i="28"/>
  <c r="H77" i="28"/>
  <c r="G77" i="28"/>
  <c r="H63" i="28"/>
  <c r="G63" i="28"/>
  <c r="H59" i="28"/>
  <c r="G59" i="28"/>
  <c r="H52" i="28"/>
  <c r="G52" i="28"/>
  <c r="H47" i="28"/>
  <c r="G47" i="28"/>
  <c r="H43" i="28"/>
  <c r="G43" i="28"/>
  <c r="H26" i="28"/>
  <c r="G26" i="28"/>
  <c r="H21" i="28"/>
  <c r="G21" i="28"/>
  <c r="A5" i="3" l="1"/>
  <c r="A6" i="3"/>
  <c r="A9" i="3"/>
  <c r="A10" i="3"/>
  <c r="A14" i="3"/>
  <c r="A15" i="3"/>
  <c r="A16" i="3"/>
  <c r="A4" i="3" l="1"/>
  <c r="C4" i="3" s="1"/>
  <c r="G188" i="28" l="1"/>
  <c r="H188" i="28"/>
  <c r="G189" i="28"/>
  <c r="H189" i="28"/>
  <c r="G190" i="28"/>
  <c r="H190" i="28"/>
  <c r="G191" i="28"/>
  <c r="H191" i="28"/>
  <c r="G192" i="28"/>
  <c r="H192" i="28"/>
  <c r="G193" i="28"/>
  <c r="H193" i="28"/>
  <c r="H194" i="28"/>
  <c r="G195" i="28"/>
  <c r="H195" i="28"/>
  <c r="B188" i="28"/>
  <c r="B189" i="28"/>
  <c r="B190" i="28"/>
  <c r="B191" i="28"/>
  <c r="B192" i="28"/>
  <c r="B193" i="28"/>
  <c r="B194" i="28"/>
  <c r="B195" i="28"/>
  <c r="F189" i="28"/>
  <c r="F190" i="28" s="1"/>
  <c r="F191" i="28" s="1"/>
  <c r="F192" i="28" s="1"/>
  <c r="F193" i="28" s="1"/>
  <c r="F194" i="28" s="1"/>
  <c r="F195" i="28" s="1"/>
  <c r="G184" i="28"/>
  <c r="H184" i="28"/>
  <c r="H183" i="28"/>
  <c r="G183" i="28"/>
  <c r="B184" i="28"/>
  <c r="B183" i="28"/>
  <c r="F183" i="28"/>
  <c r="F184" i="28" s="1"/>
  <c r="G175" i="28"/>
  <c r="H175" i="28"/>
  <c r="G176" i="28"/>
  <c r="H176" i="28"/>
  <c r="G177" i="28"/>
  <c r="G178" i="28"/>
  <c r="G179" i="28"/>
  <c r="H174" i="28"/>
  <c r="G174" i="28"/>
  <c r="B175" i="28"/>
  <c r="B176" i="28"/>
  <c r="B177" i="28"/>
  <c r="B178" i="28"/>
  <c r="B179" i="28"/>
  <c r="B174" i="28"/>
  <c r="F174" i="28"/>
  <c r="F175" i="28" s="1"/>
  <c r="F176" i="28" s="1"/>
  <c r="F177" i="28" s="1"/>
  <c r="F178" i="28" s="1"/>
  <c r="F179" i="28" s="1"/>
  <c r="H170" i="28"/>
  <c r="G170" i="28"/>
  <c r="B170" i="28"/>
  <c r="F170" i="28"/>
  <c r="G166" i="28"/>
  <c r="F166" i="28"/>
  <c r="G162" i="28"/>
  <c r="B162" i="28"/>
  <c r="F162" i="28"/>
  <c r="G154" i="28"/>
  <c r="H154" i="28"/>
  <c r="G155" i="28"/>
  <c r="G156" i="28"/>
  <c r="H156" i="28"/>
  <c r="G157" i="28"/>
  <c r="H157" i="28"/>
  <c r="G158" i="28"/>
  <c r="H158" i="28"/>
  <c r="H153" i="28"/>
  <c r="G153" i="28"/>
  <c r="B154" i="28"/>
  <c r="B155" i="28"/>
  <c r="B156" i="28"/>
  <c r="B157" i="28"/>
  <c r="B158" i="28"/>
  <c r="B153" i="28"/>
  <c r="F153" i="28"/>
  <c r="F154" i="28" s="1"/>
  <c r="F155" i="28" s="1"/>
  <c r="F156" i="28" s="1"/>
  <c r="F157" i="28" s="1"/>
  <c r="F158" i="28" s="1"/>
  <c r="G149" i="28"/>
  <c r="B149" i="28"/>
  <c r="F149" i="28"/>
  <c r="G139" i="28"/>
  <c r="G140" i="28"/>
  <c r="G141" i="28"/>
  <c r="G142" i="28"/>
  <c r="G144" i="28"/>
  <c r="G145" i="28"/>
  <c r="G138" i="28"/>
  <c r="B139" i="28"/>
  <c r="B140" i="28"/>
  <c r="B141" i="28"/>
  <c r="B142" i="28"/>
  <c r="B144" i="28"/>
  <c r="B145" i="28"/>
  <c r="B138" i="28"/>
  <c r="F138" i="28"/>
  <c r="F139" i="28" s="1"/>
  <c r="F140" i="28" s="1"/>
  <c r="F141" i="28" s="1"/>
  <c r="G133" i="28"/>
  <c r="B133" i="28"/>
  <c r="F133" i="28"/>
  <c r="G129" i="28"/>
  <c r="G128" i="28"/>
  <c r="G127" i="28"/>
  <c r="B129" i="28"/>
  <c r="B128" i="28"/>
  <c r="B127" i="28"/>
  <c r="F127" i="28"/>
  <c r="F128" i="28" s="1"/>
  <c r="F129" i="28" s="1"/>
  <c r="G114" i="28"/>
  <c r="H114" i="28"/>
  <c r="G115" i="28"/>
  <c r="H115" i="28"/>
  <c r="G116" i="28"/>
  <c r="H116" i="28"/>
  <c r="H117" i="28"/>
  <c r="H118" i="28"/>
  <c r="G119" i="28"/>
  <c r="G120" i="28"/>
  <c r="G121" i="28"/>
  <c r="G122" i="28"/>
  <c r="G123" i="28"/>
  <c r="H112" i="28"/>
  <c r="G112" i="28"/>
  <c r="B121" i="28"/>
  <c r="B122" i="28"/>
  <c r="B123" i="28"/>
  <c r="B114" i="28"/>
  <c r="B119" i="28"/>
  <c r="B120" i="28"/>
  <c r="F112" i="28"/>
  <c r="F113" i="28" s="1"/>
  <c r="G108" i="28"/>
  <c r="H108" i="28"/>
  <c r="H107" i="28"/>
  <c r="G107" i="28"/>
  <c r="B108" i="28"/>
  <c r="B107" i="28"/>
  <c r="F107" i="28"/>
  <c r="F108" i="28" s="1"/>
  <c r="G91" i="28"/>
  <c r="G92" i="28"/>
  <c r="G93" i="28"/>
  <c r="G94" i="28"/>
  <c r="G95" i="28"/>
  <c r="G96" i="28"/>
  <c r="G97" i="28"/>
  <c r="G98" i="28"/>
  <c r="G99" i="28"/>
  <c r="G100" i="28"/>
  <c r="G101" i="28"/>
  <c r="G102" i="28"/>
  <c r="G103" i="28"/>
  <c r="G90" i="28"/>
  <c r="B91" i="28"/>
  <c r="B92" i="28"/>
  <c r="B93" i="28"/>
  <c r="B94" i="28"/>
  <c r="B95" i="28"/>
  <c r="B96" i="28"/>
  <c r="B97" i="28"/>
  <c r="B98" i="28"/>
  <c r="B99" i="28"/>
  <c r="B100" i="28"/>
  <c r="B101" i="28"/>
  <c r="B102" i="28"/>
  <c r="B103" i="28"/>
  <c r="B90" i="28"/>
  <c r="F90" i="28"/>
  <c r="F91" i="28" s="1"/>
  <c r="F92" i="28" s="1"/>
  <c r="F93" i="28" s="1"/>
  <c r="F94" i="28" s="1"/>
  <c r="F95" i="28" s="1"/>
  <c r="F96" i="28" s="1"/>
  <c r="F97" i="28" s="1"/>
  <c r="F98" i="28" s="1"/>
  <c r="F99" i="28" s="1"/>
  <c r="F100" i="28" s="1"/>
  <c r="F101" i="28" s="1"/>
  <c r="F102" i="28" s="1"/>
  <c r="F103" i="28" s="1"/>
  <c r="G84" i="28"/>
  <c r="H84" i="28"/>
  <c r="H85" i="28"/>
  <c r="G86" i="28"/>
  <c r="H86" i="28"/>
  <c r="H83" i="28"/>
  <c r="G83" i="28"/>
  <c r="B84" i="28"/>
  <c r="B85" i="28"/>
  <c r="B86" i="28"/>
  <c r="B83" i="28"/>
  <c r="F83" i="28"/>
  <c r="F84" i="28" s="1"/>
  <c r="F85" i="28" s="1"/>
  <c r="F86" i="28" s="1"/>
  <c r="H79" i="28"/>
  <c r="G79" i="28"/>
  <c r="B79" i="28"/>
  <c r="F79" i="28"/>
  <c r="F65" i="28"/>
  <c r="F66" i="28" s="1"/>
  <c r="F67" i="28" s="1"/>
  <c r="F68" i="28" s="1"/>
  <c r="F69" i="28" s="1"/>
  <c r="F70" i="28" s="1"/>
  <c r="F71" i="28" s="1"/>
  <c r="F72" i="28" s="1"/>
  <c r="F73" i="28" s="1"/>
  <c r="F74" i="28" s="1"/>
  <c r="F75" i="28" s="1"/>
  <c r="G61" i="28"/>
  <c r="F61" i="28"/>
  <c r="G57" i="28"/>
  <c r="G56" i="28"/>
  <c r="G55" i="28"/>
  <c r="G54" i="28"/>
  <c r="G50" i="28"/>
  <c r="F54" i="28"/>
  <c r="F55" i="28" s="1"/>
  <c r="F56" i="28" s="1"/>
  <c r="F57" i="28" s="1"/>
  <c r="H55" i="28"/>
  <c r="H56" i="28"/>
  <c r="H57" i="28"/>
  <c r="H54" i="28"/>
  <c r="B55" i="28"/>
  <c r="B56" i="28"/>
  <c r="B57" i="28"/>
  <c r="B54" i="28"/>
  <c r="H50" i="28"/>
  <c r="H49" i="28"/>
  <c r="G49" i="28"/>
  <c r="G45" i="28"/>
  <c r="B50" i="28"/>
  <c r="B49" i="28"/>
  <c r="G40" i="28"/>
  <c r="G39" i="28"/>
  <c r="G38" i="28"/>
  <c r="G37" i="28"/>
  <c r="G36" i="28"/>
  <c r="G34" i="28"/>
  <c r="G33" i="28"/>
  <c r="G32" i="28"/>
  <c r="G31" i="28"/>
  <c r="G30" i="28"/>
  <c r="G29" i="28"/>
  <c r="G28" i="28"/>
  <c r="G24" i="28"/>
  <c r="G23" i="28"/>
  <c r="G19" i="28"/>
  <c r="F142" i="28" l="1"/>
  <c r="F144" i="28" s="1"/>
  <c r="F145" i="28" s="1"/>
  <c r="F114" i="28"/>
  <c r="F115" i="28" s="1"/>
  <c r="F116" i="28" s="1"/>
  <c r="G18" i="28"/>
  <c r="G17" i="28"/>
  <c r="G16" i="28"/>
  <c r="G14" i="28"/>
  <c r="G13" i="28"/>
  <c r="G12" i="28"/>
  <c r="G11" i="28"/>
  <c r="G10" i="28"/>
  <c r="G15" i="28"/>
  <c r="F117" i="28" l="1"/>
  <c r="F118" i="28" s="1"/>
  <c r="F119" i="28" s="1"/>
  <c r="F120" i="28" s="1"/>
  <c r="F121" i="28" s="1"/>
  <c r="F122" i="28" s="1"/>
  <c r="F123" i="28" s="1"/>
  <c r="C304" i="28"/>
  <c r="C301" i="28"/>
  <c r="C300" i="28"/>
  <c r="C280" i="28"/>
  <c r="C279" i="28"/>
  <c r="C278" i="28"/>
  <c r="C277" i="28"/>
  <c r="N245" i="28"/>
  <c r="N242" i="28"/>
  <c r="N241" i="28"/>
  <c r="N238" i="28"/>
  <c r="N237" i="28"/>
  <c r="N234" i="28"/>
  <c r="N233" i="28"/>
  <c r="N232" i="28"/>
  <c r="N231" i="28"/>
  <c r="N228" i="28"/>
  <c r="O227" i="28"/>
  <c r="N227" i="28"/>
  <c r="G227" i="28" s="1"/>
  <c r="O226" i="28"/>
  <c r="N226" i="28"/>
  <c r="G226" i="28" s="1"/>
  <c r="G223" i="28"/>
  <c r="N222" i="28"/>
  <c r="G222" i="28" s="1"/>
  <c r="N219" i="28"/>
  <c r="N218" i="28"/>
  <c r="N217" i="28"/>
  <c r="N214" i="28"/>
  <c r="G214" i="28" s="1"/>
  <c r="G213" i="28"/>
  <c r="N213" i="28" s="1"/>
  <c r="G212" i="28"/>
  <c r="N210" i="28"/>
  <c r="G210" i="28" s="1"/>
  <c r="N209" i="28"/>
  <c r="G209" i="28" s="1"/>
  <c r="N205" i="28"/>
  <c r="G204" i="28"/>
  <c r="N202" i="28"/>
  <c r="B202" i="28"/>
  <c r="N201" i="28"/>
  <c r="G202" i="28" s="1"/>
  <c r="B201" i="28"/>
  <c r="N200" i="28"/>
  <c r="G201" i="28" s="1"/>
  <c r="B200" i="28"/>
  <c r="N199" i="28"/>
  <c r="G200" i="28" s="1"/>
  <c r="B199" i="28"/>
  <c r="N198" i="28"/>
  <c r="B198" i="28"/>
  <c r="H2" i="28"/>
  <c r="G198" i="28" l="1"/>
  <c r="G199" i="28"/>
  <c r="G219" i="28"/>
  <c r="G217" i="28"/>
  <c r="G218" i="28"/>
  <c r="E735" i="23" l="1"/>
  <c r="G718" i="23"/>
  <c r="G122" i="5" s="1"/>
  <c r="G85" i="28"/>
  <c r="E366" i="23"/>
  <c r="G73" i="28" s="1"/>
  <c r="K96" i="23"/>
  <c r="Y1222" i="23"/>
  <c r="AK1222" i="23" s="1"/>
  <c r="AD673" i="23"/>
  <c r="AD648" i="23"/>
  <c r="AD614" i="23"/>
  <c r="AD522" i="23"/>
  <c r="AD454" i="23"/>
  <c r="AD452" i="23"/>
  <c r="AD432" i="23"/>
  <c r="AD431" i="23"/>
  <c r="AD410" i="23"/>
  <c r="AD250" i="23"/>
  <c r="AD248" i="23"/>
  <c r="AD219" i="23"/>
  <c r="W9" i="23"/>
  <c r="E4" i="24"/>
  <c r="G117" i="28" l="1"/>
  <c r="E736" i="23"/>
  <c r="G118" i="28" s="1"/>
  <c r="AE1222" i="23"/>
  <c r="AF1222" i="23"/>
  <c r="AG1222" i="23"/>
  <c r="D1338" i="23"/>
  <c r="D1337" i="23"/>
  <c r="D1326" i="23"/>
  <c r="D1327" i="23"/>
  <c r="D1328" i="23"/>
  <c r="D1329" i="23"/>
  <c r="D1330" i="23"/>
  <c r="D1331" i="23"/>
  <c r="D1332" i="23"/>
  <c r="D1333" i="23"/>
  <c r="D1334" i="23"/>
  <c r="D1335" i="23"/>
  <c r="D1336" i="23"/>
  <c r="D1325" i="23"/>
  <c r="D1324" i="23"/>
  <c r="E1301" i="23"/>
  <c r="E1280" i="23"/>
  <c r="G1280" i="23" s="1"/>
  <c r="G206" i="5" s="1"/>
  <c r="E1249" i="23"/>
  <c r="E1214" i="23"/>
  <c r="H1228" i="23" s="1"/>
  <c r="K939" i="23"/>
  <c r="G913" i="23" l="1"/>
  <c r="G154" i="5" s="1"/>
  <c r="G912" i="23"/>
  <c r="G153" i="5" s="1"/>
  <c r="D885" i="23"/>
  <c r="D884" i="23"/>
  <c r="D883" i="23"/>
  <c r="D849" i="23"/>
  <c r="D848" i="23"/>
  <c r="D823" i="23"/>
  <c r="D824" i="23"/>
  <c r="D825" i="23"/>
  <c r="D826" i="23"/>
  <c r="D822" i="23"/>
  <c r="D615" i="23"/>
  <c r="D348" i="23"/>
  <c r="D349" i="23"/>
  <c r="F793" i="23" l="1"/>
  <c r="K718" i="23"/>
  <c r="K613" i="23"/>
  <c r="G575" i="23"/>
  <c r="I574" i="23"/>
  <c r="E594" i="23" l="1"/>
  <c r="G102" i="5"/>
  <c r="L483" i="23"/>
  <c r="L485" i="23"/>
  <c r="L486" i="23"/>
  <c r="L487" i="23"/>
  <c r="K484" i="23"/>
  <c r="K483" i="23"/>
  <c r="K482" i="23"/>
  <c r="D454" i="23"/>
  <c r="D453" i="23"/>
  <c r="D452" i="23"/>
  <c r="K341" i="23"/>
  <c r="D250" i="23"/>
  <c r="D249" i="23"/>
  <c r="D248" i="23"/>
  <c r="I218" i="23"/>
  <c r="D195" i="23"/>
  <c r="D194" i="23"/>
  <c r="D193" i="23"/>
  <c r="D192" i="23"/>
  <c r="D191" i="23"/>
  <c r="D166" i="23"/>
  <c r="D165" i="23"/>
  <c r="D142" i="23"/>
  <c r="D141" i="23"/>
  <c r="D140" i="23"/>
  <c r="E120" i="23"/>
  <c r="G41" i="28" s="1"/>
  <c r="E113" i="23"/>
  <c r="G35" i="28" s="1"/>
  <c r="D92" i="23"/>
  <c r="D91" i="23"/>
  <c r="G116" i="23"/>
  <c r="G21" i="26"/>
  <c r="J39" i="26" l="1"/>
  <c r="I39" i="26"/>
  <c r="H39" i="26"/>
  <c r="G39" i="26"/>
  <c r="F39" i="26"/>
  <c r="E39" i="26"/>
  <c r="D39" i="26"/>
  <c r="C39" i="26"/>
  <c r="J36" i="26"/>
  <c r="I36" i="26"/>
  <c r="H36" i="26"/>
  <c r="G36" i="26"/>
  <c r="F36" i="26"/>
  <c r="E36" i="26"/>
  <c r="D36" i="26"/>
  <c r="C36" i="26"/>
  <c r="O24" i="26"/>
  <c r="O23" i="26"/>
  <c r="O22" i="26"/>
  <c r="O21" i="26"/>
  <c r="O19" i="26"/>
  <c r="O18" i="26"/>
  <c r="O17" i="26"/>
  <c r="O16" i="26"/>
  <c r="O14" i="26"/>
  <c r="O13" i="26"/>
  <c r="O12" i="26"/>
  <c r="O11" i="26"/>
  <c r="O10" i="26"/>
  <c r="O8" i="26"/>
  <c r="O7" i="26"/>
  <c r="O6" i="26"/>
  <c r="O5" i="26"/>
  <c r="O4" i="26"/>
  <c r="D22" i="23"/>
  <c r="D20" i="23"/>
  <c r="D21" i="23"/>
  <c r="D17" i="23"/>
  <c r="BG512" i="24"/>
  <c r="BF512" i="24"/>
  <c r="BE512" i="24"/>
  <c r="BD512" i="24"/>
  <c r="BC512" i="24"/>
  <c r="BB512" i="24"/>
  <c r="BA512" i="24"/>
  <c r="AZ512" i="24"/>
  <c r="AY512" i="24"/>
  <c r="AX512" i="24"/>
  <c r="AW512" i="24"/>
  <c r="AV512" i="24"/>
  <c r="AU512" i="24"/>
  <c r="AT512" i="24"/>
  <c r="AS512" i="24"/>
  <c r="AR512" i="24"/>
  <c r="AQ512" i="24"/>
  <c r="AP512" i="24"/>
  <c r="AO512" i="24"/>
  <c r="AN512" i="24"/>
  <c r="AM512" i="24"/>
  <c r="AL512" i="24"/>
  <c r="AK512" i="24"/>
  <c r="AJ512" i="24"/>
  <c r="AI512" i="24"/>
  <c r="AH512" i="24"/>
  <c r="AG512" i="24"/>
  <c r="AF512" i="24"/>
  <c r="AE512" i="24"/>
  <c r="AD512" i="24"/>
  <c r="AC512" i="24"/>
  <c r="AB512" i="24"/>
  <c r="AA512" i="24"/>
  <c r="Z512" i="24"/>
  <c r="Y512" i="24"/>
  <c r="X512" i="24"/>
  <c r="W512" i="24"/>
  <c r="V512" i="24"/>
  <c r="U512" i="24"/>
  <c r="T512" i="24"/>
  <c r="S512" i="24"/>
  <c r="R512" i="24"/>
  <c r="Q512" i="24"/>
  <c r="P512" i="24"/>
  <c r="O512" i="24"/>
  <c r="N512" i="24"/>
  <c r="M512" i="24"/>
  <c r="L512" i="24"/>
  <c r="K512" i="24"/>
  <c r="J512" i="24"/>
  <c r="I512" i="24"/>
  <c r="H512" i="24"/>
  <c r="BA506" i="24"/>
  <c r="AZ506" i="24"/>
  <c r="AY506" i="24"/>
  <c r="AX506" i="24"/>
  <c r="AW506" i="24"/>
  <c r="AV506" i="24"/>
  <c r="AU506" i="24"/>
  <c r="AT506" i="24"/>
  <c r="AS506" i="24"/>
  <c r="AR506" i="24"/>
  <c r="AQ506" i="24"/>
  <c r="AP506" i="24"/>
  <c r="AO506" i="24"/>
  <c r="AN506" i="24"/>
  <c r="AM506" i="24"/>
  <c r="AL506" i="24"/>
  <c r="AK506" i="24"/>
  <c r="AJ506" i="24"/>
  <c r="AI506" i="24"/>
  <c r="AH506" i="24"/>
  <c r="AG506" i="24"/>
  <c r="AF506" i="24"/>
  <c r="AE506" i="24"/>
  <c r="AD506" i="24"/>
  <c r="AC506" i="24"/>
  <c r="AB506" i="24"/>
  <c r="AA506" i="24"/>
  <c r="Z506" i="24"/>
  <c r="Y506" i="24"/>
  <c r="X506" i="24"/>
  <c r="W506" i="24"/>
  <c r="V506" i="24"/>
  <c r="U506" i="24"/>
  <c r="T506" i="24"/>
  <c r="S506" i="24"/>
  <c r="R506" i="24"/>
  <c r="Q506" i="24"/>
  <c r="P506" i="24"/>
  <c r="O506" i="24"/>
  <c r="N506" i="24"/>
  <c r="M506" i="24"/>
  <c r="L506" i="24"/>
  <c r="K506" i="24"/>
  <c r="J506" i="24"/>
  <c r="I506" i="24"/>
  <c r="H506" i="24"/>
  <c r="BA505" i="24"/>
  <c r="AZ505" i="24"/>
  <c r="AY505" i="24"/>
  <c r="AX505" i="24"/>
  <c r="AW505" i="24"/>
  <c r="AV505" i="24"/>
  <c r="AU505" i="24"/>
  <c r="AT505" i="24"/>
  <c r="AS505" i="24"/>
  <c r="AR505" i="24"/>
  <c r="AQ505" i="24"/>
  <c r="AP505" i="24"/>
  <c r="AO505" i="24"/>
  <c r="AN505" i="24"/>
  <c r="AM505" i="24"/>
  <c r="AL505" i="24"/>
  <c r="AK505" i="24"/>
  <c r="AJ505" i="24"/>
  <c r="AI505" i="24"/>
  <c r="AH505" i="24"/>
  <c r="AG505" i="24"/>
  <c r="AF505" i="24"/>
  <c r="AE505" i="24"/>
  <c r="AD505" i="24"/>
  <c r="AC505" i="24"/>
  <c r="AB505" i="24"/>
  <c r="AA505" i="24"/>
  <c r="Z505" i="24"/>
  <c r="Y505" i="24"/>
  <c r="X505" i="24"/>
  <c r="W505" i="24"/>
  <c r="V505" i="24"/>
  <c r="U505" i="24"/>
  <c r="T505" i="24"/>
  <c r="S505" i="24"/>
  <c r="R505" i="24"/>
  <c r="Q505" i="24"/>
  <c r="P505" i="24"/>
  <c r="O505" i="24"/>
  <c r="N505" i="24"/>
  <c r="M505" i="24"/>
  <c r="L505" i="24"/>
  <c r="K505" i="24"/>
  <c r="J505" i="24"/>
  <c r="I505" i="24"/>
  <c r="H505" i="24"/>
  <c r="BA504" i="24"/>
  <c r="AZ504" i="24"/>
  <c r="AY504" i="24"/>
  <c r="AX504" i="24"/>
  <c r="AW504" i="24"/>
  <c r="AV504" i="24"/>
  <c r="AU504" i="24"/>
  <c r="AT504" i="24"/>
  <c r="AS504" i="24"/>
  <c r="AR504" i="24"/>
  <c r="AQ504" i="24"/>
  <c r="AP504" i="24"/>
  <c r="AO504" i="24"/>
  <c r="AN504" i="24"/>
  <c r="AM504" i="24"/>
  <c r="AL504" i="24"/>
  <c r="AK504" i="24"/>
  <c r="AJ504" i="24"/>
  <c r="AI504" i="24"/>
  <c r="AH504" i="24"/>
  <c r="AG504" i="24"/>
  <c r="AF504" i="24"/>
  <c r="AE504" i="24"/>
  <c r="AD504" i="24"/>
  <c r="AC504" i="24"/>
  <c r="AB504" i="24"/>
  <c r="AA504" i="24"/>
  <c r="Z504" i="24"/>
  <c r="Y504" i="24"/>
  <c r="X504" i="24"/>
  <c r="W504" i="24"/>
  <c r="V504" i="24"/>
  <c r="U504" i="24"/>
  <c r="T504" i="24"/>
  <c r="S504" i="24"/>
  <c r="R504" i="24"/>
  <c r="Q504" i="24"/>
  <c r="P504" i="24"/>
  <c r="O504" i="24"/>
  <c r="N504" i="24"/>
  <c r="M504" i="24"/>
  <c r="L504" i="24"/>
  <c r="K504" i="24"/>
  <c r="J504" i="24"/>
  <c r="I504" i="24"/>
  <c r="H504" i="24"/>
  <c r="BA503" i="24"/>
  <c r="AZ503" i="24"/>
  <c r="AY503" i="24"/>
  <c r="AX503" i="24"/>
  <c r="AW503" i="24"/>
  <c r="AV503" i="24"/>
  <c r="AU503" i="24"/>
  <c r="AT503" i="24"/>
  <c r="AS503" i="24"/>
  <c r="AR503" i="24"/>
  <c r="AQ503" i="24"/>
  <c r="AP503" i="24"/>
  <c r="AO503" i="24"/>
  <c r="AN503" i="24"/>
  <c r="AM503" i="24"/>
  <c r="AL503" i="24"/>
  <c r="AK503" i="24"/>
  <c r="AJ503" i="24"/>
  <c r="AI503" i="24"/>
  <c r="AH503" i="24"/>
  <c r="AG503" i="24"/>
  <c r="AF503" i="24"/>
  <c r="AE503" i="24"/>
  <c r="AD503" i="24"/>
  <c r="AC503" i="24"/>
  <c r="AB503" i="24"/>
  <c r="AA503" i="24"/>
  <c r="Z503" i="24"/>
  <c r="Y503" i="24"/>
  <c r="X503" i="24"/>
  <c r="W503" i="24"/>
  <c r="V503" i="24"/>
  <c r="U503" i="24"/>
  <c r="T503" i="24"/>
  <c r="S503" i="24"/>
  <c r="R503" i="24"/>
  <c r="Q503" i="24"/>
  <c r="P503" i="24"/>
  <c r="O503" i="24"/>
  <c r="N503" i="24"/>
  <c r="M503" i="24"/>
  <c r="L503" i="24"/>
  <c r="K503" i="24"/>
  <c r="J503" i="24"/>
  <c r="I503" i="24"/>
  <c r="H503" i="24"/>
  <c r="BA502" i="24"/>
  <c r="AZ502" i="24"/>
  <c r="AY502" i="24"/>
  <c r="AX502" i="24"/>
  <c r="AW502" i="24"/>
  <c r="AV502" i="24"/>
  <c r="AU502" i="24"/>
  <c r="AT502" i="24"/>
  <c r="AS502" i="24"/>
  <c r="AR502" i="24"/>
  <c r="AQ502" i="24"/>
  <c r="AP502" i="24"/>
  <c r="AO502" i="24"/>
  <c r="AN502" i="24"/>
  <c r="AM502" i="24"/>
  <c r="AL502" i="24"/>
  <c r="AK502" i="24"/>
  <c r="AJ502" i="24"/>
  <c r="AI502" i="24"/>
  <c r="AH502" i="24"/>
  <c r="AG502" i="24"/>
  <c r="AF502" i="24"/>
  <c r="AE502" i="24"/>
  <c r="AD502" i="24"/>
  <c r="AC502" i="24"/>
  <c r="AB502" i="24"/>
  <c r="AA502" i="24"/>
  <c r="Z502" i="24"/>
  <c r="Y502" i="24"/>
  <c r="X502" i="24"/>
  <c r="W502" i="24"/>
  <c r="V502" i="24"/>
  <c r="U502" i="24"/>
  <c r="T502" i="24"/>
  <c r="S502" i="24"/>
  <c r="R502" i="24"/>
  <c r="Q502" i="24"/>
  <c r="P502" i="24"/>
  <c r="O502" i="24"/>
  <c r="N502" i="24"/>
  <c r="M502" i="24"/>
  <c r="L502" i="24"/>
  <c r="K502" i="24"/>
  <c r="J502" i="24"/>
  <c r="I502" i="24"/>
  <c r="H502" i="24"/>
  <c r="BA501" i="24"/>
  <c r="AZ501" i="24"/>
  <c r="AY501" i="24"/>
  <c r="AX501" i="24"/>
  <c r="AW501" i="24"/>
  <c r="AV501" i="24"/>
  <c r="AU501" i="24"/>
  <c r="AT501" i="24"/>
  <c r="AS501" i="24"/>
  <c r="AR501" i="24"/>
  <c r="AQ501" i="24"/>
  <c r="AP501" i="24"/>
  <c r="AO501" i="24"/>
  <c r="AN501" i="24"/>
  <c r="AM501" i="24"/>
  <c r="AL501" i="24"/>
  <c r="AK501" i="24"/>
  <c r="AJ501" i="24"/>
  <c r="AI501" i="24"/>
  <c r="AH501" i="24"/>
  <c r="AG501" i="24"/>
  <c r="AF501" i="24"/>
  <c r="AE501" i="24"/>
  <c r="AD501" i="24"/>
  <c r="AC501" i="24"/>
  <c r="AB501" i="24"/>
  <c r="AA501" i="24"/>
  <c r="Z501" i="24"/>
  <c r="Y501" i="24"/>
  <c r="X501" i="24"/>
  <c r="W501" i="24"/>
  <c r="V501" i="24"/>
  <c r="U501" i="24"/>
  <c r="T501" i="24"/>
  <c r="S501" i="24"/>
  <c r="R501" i="24"/>
  <c r="Q501" i="24"/>
  <c r="P501" i="24"/>
  <c r="O501" i="24"/>
  <c r="N501" i="24"/>
  <c r="M501" i="24"/>
  <c r="L501" i="24"/>
  <c r="K501" i="24"/>
  <c r="J501" i="24"/>
  <c r="I501" i="24"/>
  <c r="H501" i="24"/>
  <c r="BA500" i="24"/>
  <c r="AZ500" i="24"/>
  <c r="AY500" i="24"/>
  <c r="AX500" i="24"/>
  <c r="AW500" i="24"/>
  <c r="AV500" i="24"/>
  <c r="AU500" i="24"/>
  <c r="AT500" i="24"/>
  <c r="AS500" i="24"/>
  <c r="AR500" i="24"/>
  <c r="AQ500" i="24"/>
  <c r="AP500" i="24"/>
  <c r="AO500" i="24"/>
  <c r="AN500" i="24"/>
  <c r="AM500" i="24"/>
  <c r="AL500" i="24"/>
  <c r="AK500" i="24"/>
  <c r="AJ500" i="24"/>
  <c r="AI500" i="24"/>
  <c r="AH500" i="24"/>
  <c r="AG500" i="24"/>
  <c r="AF500" i="24"/>
  <c r="AE500" i="24"/>
  <c r="AD500" i="24"/>
  <c r="AC500" i="24"/>
  <c r="AB500" i="24"/>
  <c r="AA500" i="24"/>
  <c r="Z500" i="24"/>
  <c r="Y500" i="24"/>
  <c r="X500" i="24"/>
  <c r="W500" i="24"/>
  <c r="V500" i="24"/>
  <c r="U500" i="24"/>
  <c r="T500" i="24"/>
  <c r="S500" i="24"/>
  <c r="R500" i="24"/>
  <c r="Q500" i="24"/>
  <c r="P500" i="24"/>
  <c r="O500" i="24"/>
  <c r="N500" i="24"/>
  <c r="M500" i="24"/>
  <c r="L500" i="24"/>
  <c r="K500" i="24"/>
  <c r="J500" i="24"/>
  <c r="I500" i="24"/>
  <c r="H500" i="24"/>
  <c r="BA499" i="24"/>
  <c r="AZ499" i="24"/>
  <c r="AY499" i="24"/>
  <c r="AX499" i="24"/>
  <c r="AW499" i="24"/>
  <c r="AV499" i="24"/>
  <c r="AU499" i="24"/>
  <c r="AT499" i="24"/>
  <c r="AS499" i="24"/>
  <c r="AR499" i="24"/>
  <c r="AQ499" i="24"/>
  <c r="AP499" i="24"/>
  <c r="AO499" i="24"/>
  <c r="AN499" i="24"/>
  <c r="AM499" i="24"/>
  <c r="AL499" i="24"/>
  <c r="AK499" i="24"/>
  <c r="AJ499" i="24"/>
  <c r="AI499" i="24"/>
  <c r="AH499" i="24"/>
  <c r="AG499" i="24"/>
  <c r="AF499" i="24"/>
  <c r="AE499" i="24"/>
  <c r="AD499" i="24"/>
  <c r="AC499" i="24"/>
  <c r="AB499" i="24"/>
  <c r="AA499" i="24"/>
  <c r="Z499" i="24"/>
  <c r="Y499" i="24"/>
  <c r="X499" i="24"/>
  <c r="W499" i="24"/>
  <c r="V499" i="24"/>
  <c r="U499" i="24"/>
  <c r="T499" i="24"/>
  <c r="S499" i="24"/>
  <c r="R499" i="24"/>
  <c r="Q499" i="24"/>
  <c r="P499" i="24"/>
  <c r="O499" i="24"/>
  <c r="N499" i="24"/>
  <c r="M499" i="24"/>
  <c r="L499" i="24"/>
  <c r="K499" i="24"/>
  <c r="J499" i="24"/>
  <c r="I499" i="24"/>
  <c r="H499" i="24"/>
  <c r="BA498" i="24"/>
  <c r="AZ498" i="24"/>
  <c r="AY498" i="24"/>
  <c r="AX498" i="24"/>
  <c r="AW498" i="24"/>
  <c r="AV498" i="24"/>
  <c r="AU498" i="24"/>
  <c r="AT498" i="24"/>
  <c r="AS498" i="24"/>
  <c r="AR498" i="24"/>
  <c r="AQ498" i="24"/>
  <c r="AP498" i="24"/>
  <c r="AO498" i="24"/>
  <c r="AN498" i="24"/>
  <c r="AM498" i="24"/>
  <c r="AL498" i="24"/>
  <c r="AK498" i="24"/>
  <c r="AJ498" i="24"/>
  <c r="AI498" i="24"/>
  <c r="AH498" i="24"/>
  <c r="AG498" i="24"/>
  <c r="AF498" i="24"/>
  <c r="AE498" i="24"/>
  <c r="AD498" i="24"/>
  <c r="AC498" i="24"/>
  <c r="AB498" i="24"/>
  <c r="AA498" i="24"/>
  <c r="Z498" i="24"/>
  <c r="Y498" i="24"/>
  <c r="X498" i="24"/>
  <c r="W498" i="24"/>
  <c r="V498" i="24"/>
  <c r="U498" i="24"/>
  <c r="T498" i="24"/>
  <c r="S498" i="24"/>
  <c r="R498" i="24"/>
  <c r="Q498" i="24"/>
  <c r="P498" i="24"/>
  <c r="O498" i="24"/>
  <c r="N498" i="24"/>
  <c r="M498" i="24"/>
  <c r="L498" i="24"/>
  <c r="K498" i="24"/>
  <c r="J498" i="24"/>
  <c r="I498" i="24"/>
  <c r="H498" i="24"/>
  <c r="BA497" i="24"/>
  <c r="AZ497" i="24"/>
  <c r="AY497" i="24"/>
  <c r="AX497" i="24"/>
  <c r="AW497" i="24"/>
  <c r="AV497" i="24"/>
  <c r="AU497" i="24"/>
  <c r="AT497" i="24"/>
  <c r="AS497" i="24"/>
  <c r="AR497" i="24"/>
  <c r="AQ497" i="24"/>
  <c r="AP497" i="24"/>
  <c r="AO497" i="24"/>
  <c r="AN497" i="24"/>
  <c r="AM497" i="24"/>
  <c r="AL497" i="24"/>
  <c r="AK497" i="24"/>
  <c r="AJ497" i="24"/>
  <c r="AI497" i="24"/>
  <c r="AH497" i="24"/>
  <c r="AG497" i="24"/>
  <c r="AF497" i="24"/>
  <c r="AE497" i="24"/>
  <c r="AD497" i="24"/>
  <c r="AC497" i="24"/>
  <c r="AB497" i="24"/>
  <c r="AA497" i="24"/>
  <c r="Z497" i="24"/>
  <c r="Y497" i="24"/>
  <c r="X497" i="24"/>
  <c r="W497" i="24"/>
  <c r="V497" i="24"/>
  <c r="U497" i="24"/>
  <c r="T497" i="24"/>
  <c r="S497" i="24"/>
  <c r="R497" i="24"/>
  <c r="Q497" i="24"/>
  <c r="P497" i="24"/>
  <c r="O497" i="24"/>
  <c r="N497" i="24"/>
  <c r="M497" i="24"/>
  <c r="L497" i="24"/>
  <c r="K497" i="24"/>
  <c r="J497" i="24"/>
  <c r="I497" i="24"/>
  <c r="H497" i="24"/>
  <c r="BA496" i="24"/>
  <c r="AZ496" i="24"/>
  <c r="AY496" i="24"/>
  <c r="AX496" i="24"/>
  <c r="AW496" i="24"/>
  <c r="AV496" i="24"/>
  <c r="AU496" i="24"/>
  <c r="AT496" i="24"/>
  <c r="AS496" i="24"/>
  <c r="AR496" i="24"/>
  <c r="AQ496" i="24"/>
  <c r="AP496" i="24"/>
  <c r="AO496" i="24"/>
  <c r="AN496" i="24"/>
  <c r="AM496" i="24"/>
  <c r="AL496" i="24"/>
  <c r="AK496" i="24"/>
  <c r="AJ496" i="24"/>
  <c r="AI496" i="24"/>
  <c r="AH496" i="24"/>
  <c r="AG496" i="24"/>
  <c r="AF496" i="24"/>
  <c r="AE496" i="24"/>
  <c r="AD496" i="24"/>
  <c r="AC496" i="24"/>
  <c r="AB496" i="24"/>
  <c r="AA496" i="24"/>
  <c r="Z496" i="24"/>
  <c r="Y496" i="24"/>
  <c r="X496" i="24"/>
  <c r="W496" i="24"/>
  <c r="V496" i="24"/>
  <c r="U496" i="24"/>
  <c r="T496" i="24"/>
  <c r="S496" i="24"/>
  <c r="R496" i="24"/>
  <c r="Q496" i="24"/>
  <c r="P496" i="24"/>
  <c r="O496" i="24"/>
  <c r="N496" i="24"/>
  <c r="M496" i="24"/>
  <c r="L496" i="24"/>
  <c r="K496" i="24"/>
  <c r="J496" i="24"/>
  <c r="I496" i="24"/>
  <c r="H496" i="24"/>
  <c r="BA495" i="24"/>
  <c r="AZ495" i="24"/>
  <c r="AY495" i="24"/>
  <c r="AX495" i="24"/>
  <c r="AW495" i="24"/>
  <c r="AV495" i="24"/>
  <c r="AU495" i="24"/>
  <c r="AT495" i="24"/>
  <c r="AS495" i="24"/>
  <c r="AR495" i="24"/>
  <c r="AQ495" i="24"/>
  <c r="AP495" i="24"/>
  <c r="AO495" i="24"/>
  <c r="AN495" i="24"/>
  <c r="AM495" i="24"/>
  <c r="AL495" i="24"/>
  <c r="AK495" i="24"/>
  <c r="AJ495" i="24"/>
  <c r="AI495" i="24"/>
  <c r="AH495" i="24"/>
  <c r="AG495" i="24"/>
  <c r="AF495" i="24"/>
  <c r="AE495" i="24"/>
  <c r="AD495" i="24"/>
  <c r="AC495" i="24"/>
  <c r="AB495" i="24"/>
  <c r="AA495" i="24"/>
  <c r="Z495" i="24"/>
  <c r="Y495" i="24"/>
  <c r="X495" i="24"/>
  <c r="W495" i="24"/>
  <c r="V495" i="24"/>
  <c r="U495" i="24"/>
  <c r="T495" i="24"/>
  <c r="S495" i="24"/>
  <c r="R495" i="24"/>
  <c r="Q495" i="24"/>
  <c r="P495" i="24"/>
  <c r="O495" i="24"/>
  <c r="N495" i="24"/>
  <c r="M495" i="24"/>
  <c r="L495" i="24"/>
  <c r="K495" i="24"/>
  <c r="J495" i="24"/>
  <c r="I495" i="24"/>
  <c r="H495" i="24"/>
  <c r="BA494" i="24"/>
  <c r="AZ494" i="24"/>
  <c r="AY494" i="24"/>
  <c r="AX494" i="24"/>
  <c r="AW494" i="24"/>
  <c r="AV494" i="24"/>
  <c r="AU494" i="24"/>
  <c r="AT494" i="24"/>
  <c r="AS494" i="24"/>
  <c r="AR494" i="24"/>
  <c r="AQ494" i="24"/>
  <c r="AP494" i="24"/>
  <c r="AO494" i="24"/>
  <c r="AN494" i="24"/>
  <c r="AM494" i="24"/>
  <c r="AL494" i="24"/>
  <c r="AK494" i="24"/>
  <c r="AJ494" i="24"/>
  <c r="AI494" i="24"/>
  <c r="AH494" i="24"/>
  <c r="AG494" i="24"/>
  <c r="AF494" i="24"/>
  <c r="AE494" i="24"/>
  <c r="AD494" i="24"/>
  <c r="AC494" i="24"/>
  <c r="AB494" i="24"/>
  <c r="AA494" i="24"/>
  <c r="Z494" i="24"/>
  <c r="Y494" i="24"/>
  <c r="X494" i="24"/>
  <c r="W494" i="24"/>
  <c r="V494" i="24"/>
  <c r="U494" i="24"/>
  <c r="T494" i="24"/>
  <c r="S494" i="24"/>
  <c r="R494" i="24"/>
  <c r="Q494" i="24"/>
  <c r="P494" i="24"/>
  <c r="O494" i="24"/>
  <c r="N494" i="24"/>
  <c r="M494" i="24"/>
  <c r="L494" i="24"/>
  <c r="K494" i="24"/>
  <c r="J494" i="24"/>
  <c r="I494" i="24"/>
  <c r="H494" i="24"/>
  <c r="BA493" i="24"/>
  <c r="AZ493" i="24"/>
  <c r="AY493" i="24"/>
  <c r="AX493" i="24"/>
  <c r="AW493" i="24"/>
  <c r="AV493" i="24"/>
  <c r="AU493" i="24"/>
  <c r="AT493" i="24"/>
  <c r="AS493" i="24"/>
  <c r="AR493" i="24"/>
  <c r="AQ493" i="24"/>
  <c r="AP493" i="24"/>
  <c r="AO493" i="24"/>
  <c r="AN493" i="24"/>
  <c r="AM493" i="24"/>
  <c r="AL493" i="24"/>
  <c r="AK493" i="24"/>
  <c r="AJ493" i="24"/>
  <c r="AI493" i="24"/>
  <c r="AH493" i="24"/>
  <c r="AG493" i="24"/>
  <c r="AF493" i="24"/>
  <c r="AE493" i="24"/>
  <c r="AD493" i="24"/>
  <c r="AC493" i="24"/>
  <c r="AB493" i="24"/>
  <c r="AA493" i="24"/>
  <c r="Z493" i="24"/>
  <c r="Y493" i="24"/>
  <c r="X493" i="24"/>
  <c r="W493" i="24"/>
  <c r="V493" i="24"/>
  <c r="U493" i="24"/>
  <c r="T493" i="24"/>
  <c r="S493" i="24"/>
  <c r="R493" i="24"/>
  <c r="Q493" i="24"/>
  <c r="P493" i="24"/>
  <c r="O493" i="24"/>
  <c r="N493" i="24"/>
  <c r="M493" i="24"/>
  <c r="L493" i="24"/>
  <c r="K493" i="24"/>
  <c r="J493" i="24"/>
  <c r="I493" i="24"/>
  <c r="H493" i="24"/>
  <c r="BA492" i="24"/>
  <c r="AZ492" i="24"/>
  <c r="AY492" i="24"/>
  <c r="AX492" i="24"/>
  <c r="AW492" i="24"/>
  <c r="AV492" i="24"/>
  <c r="AU492" i="24"/>
  <c r="AT492" i="24"/>
  <c r="AS492" i="24"/>
  <c r="AR492" i="24"/>
  <c r="AQ492" i="24"/>
  <c r="AP492" i="24"/>
  <c r="AO492" i="24"/>
  <c r="AN492" i="24"/>
  <c r="AM492" i="24"/>
  <c r="AL492" i="24"/>
  <c r="AK492" i="24"/>
  <c r="AJ492" i="24"/>
  <c r="AI492" i="24"/>
  <c r="AH492" i="24"/>
  <c r="AG492" i="24"/>
  <c r="AF492" i="24"/>
  <c r="AE492" i="24"/>
  <c r="AD492" i="24"/>
  <c r="AC492" i="24"/>
  <c r="AB492" i="24"/>
  <c r="AA492" i="24"/>
  <c r="Z492" i="24"/>
  <c r="Y492" i="24"/>
  <c r="X492" i="24"/>
  <c r="W492" i="24"/>
  <c r="V492" i="24"/>
  <c r="U492" i="24"/>
  <c r="T492" i="24"/>
  <c r="S492" i="24"/>
  <c r="R492" i="24"/>
  <c r="Q492" i="24"/>
  <c r="P492" i="24"/>
  <c r="O492" i="24"/>
  <c r="N492" i="24"/>
  <c r="M492" i="24"/>
  <c r="L492" i="24"/>
  <c r="K492" i="24"/>
  <c r="J492" i="24"/>
  <c r="I492" i="24"/>
  <c r="H492" i="24"/>
  <c r="BA491" i="24"/>
  <c r="AZ491" i="24"/>
  <c r="AY491" i="24"/>
  <c r="AX491" i="24"/>
  <c r="AW491" i="24"/>
  <c r="AV491" i="24"/>
  <c r="AU491" i="24"/>
  <c r="AT491" i="24"/>
  <c r="AS491" i="24"/>
  <c r="AR491" i="24"/>
  <c r="AQ491" i="24"/>
  <c r="AP491" i="24"/>
  <c r="AO491" i="24"/>
  <c r="AN491" i="24"/>
  <c r="AM491" i="24"/>
  <c r="AL491" i="24"/>
  <c r="AK491" i="24"/>
  <c r="AJ491" i="24"/>
  <c r="AI491" i="24"/>
  <c r="AH491" i="24"/>
  <c r="AG491" i="24"/>
  <c r="AF491" i="24"/>
  <c r="AE491" i="24"/>
  <c r="AD491" i="24"/>
  <c r="AC491" i="24"/>
  <c r="AB491" i="24"/>
  <c r="AA491" i="24"/>
  <c r="Z491" i="24"/>
  <c r="Y491" i="24"/>
  <c r="X491" i="24"/>
  <c r="W491" i="24"/>
  <c r="V491" i="24"/>
  <c r="U491" i="24"/>
  <c r="T491" i="24"/>
  <c r="S491" i="24"/>
  <c r="R491" i="24"/>
  <c r="Q491" i="24"/>
  <c r="P491" i="24"/>
  <c r="O491" i="24"/>
  <c r="N491" i="24"/>
  <c r="M491" i="24"/>
  <c r="L491" i="24"/>
  <c r="K491" i="24"/>
  <c r="J491" i="24"/>
  <c r="I491" i="24"/>
  <c r="H491" i="24"/>
  <c r="BA490" i="24"/>
  <c r="AZ490" i="24"/>
  <c r="AY490" i="24"/>
  <c r="AX490" i="24"/>
  <c r="AW490" i="24"/>
  <c r="AV490" i="24"/>
  <c r="AU490" i="24"/>
  <c r="AT490" i="24"/>
  <c r="AS490" i="24"/>
  <c r="AR490" i="24"/>
  <c r="AQ490" i="24"/>
  <c r="AP490" i="24"/>
  <c r="AO490" i="24"/>
  <c r="AN490" i="24"/>
  <c r="AM490" i="24"/>
  <c r="AL490" i="24"/>
  <c r="AK490" i="24"/>
  <c r="AJ490" i="24"/>
  <c r="AI490" i="24"/>
  <c r="AH490" i="24"/>
  <c r="AG490" i="24"/>
  <c r="AF490" i="24"/>
  <c r="AE490" i="24"/>
  <c r="AD490" i="24"/>
  <c r="AC490" i="24"/>
  <c r="AB490" i="24"/>
  <c r="AA490" i="24"/>
  <c r="Z490" i="24"/>
  <c r="Y490" i="24"/>
  <c r="X490" i="24"/>
  <c r="W490" i="24"/>
  <c r="V490" i="24"/>
  <c r="U490" i="24"/>
  <c r="T490" i="24"/>
  <c r="S490" i="24"/>
  <c r="R490" i="24"/>
  <c r="Q490" i="24"/>
  <c r="P490" i="24"/>
  <c r="O490" i="24"/>
  <c r="N490" i="24"/>
  <c r="M490" i="24"/>
  <c r="L490" i="24"/>
  <c r="K490" i="24"/>
  <c r="J490" i="24"/>
  <c r="I490" i="24"/>
  <c r="H490" i="24"/>
  <c r="BA489" i="24"/>
  <c r="AZ489" i="24"/>
  <c r="AY489" i="24"/>
  <c r="AX489" i="24"/>
  <c r="AW489" i="24"/>
  <c r="AV489" i="24"/>
  <c r="AU489" i="24"/>
  <c r="AT489" i="24"/>
  <c r="AS489" i="24"/>
  <c r="AR489" i="24"/>
  <c r="AQ489" i="24"/>
  <c r="AP489" i="24"/>
  <c r="AO489" i="24"/>
  <c r="AN489" i="24"/>
  <c r="AM489" i="24"/>
  <c r="AL489" i="24"/>
  <c r="AK489" i="24"/>
  <c r="AJ489" i="24"/>
  <c r="AI489" i="24"/>
  <c r="AH489" i="24"/>
  <c r="AG489" i="24"/>
  <c r="AF489" i="24"/>
  <c r="AE489" i="24"/>
  <c r="AD489" i="24"/>
  <c r="AC489" i="24"/>
  <c r="AB489" i="24"/>
  <c r="AA489" i="24"/>
  <c r="Z489" i="24"/>
  <c r="Y489" i="24"/>
  <c r="X489" i="24"/>
  <c r="W489" i="24"/>
  <c r="V489" i="24"/>
  <c r="U489" i="24"/>
  <c r="T489" i="24"/>
  <c r="S489" i="24"/>
  <c r="R489" i="24"/>
  <c r="Q489" i="24"/>
  <c r="P489" i="24"/>
  <c r="O489" i="24"/>
  <c r="N489" i="24"/>
  <c r="M489" i="24"/>
  <c r="L489" i="24"/>
  <c r="K489" i="24"/>
  <c r="J489" i="24"/>
  <c r="I489" i="24"/>
  <c r="H489" i="24"/>
  <c r="BA488" i="24"/>
  <c r="AZ488" i="24"/>
  <c r="AY488" i="24"/>
  <c r="AX488" i="24"/>
  <c r="AW488" i="24"/>
  <c r="AV488" i="24"/>
  <c r="AU488" i="24"/>
  <c r="AT488" i="24"/>
  <c r="AS488" i="24"/>
  <c r="AR488" i="24"/>
  <c r="AQ488" i="24"/>
  <c r="AP488" i="24"/>
  <c r="AO488" i="24"/>
  <c r="AN488" i="24"/>
  <c r="AM488" i="24"/>
  <c r="AL488" i="24"/>
  <c r="AK488" i="24"/>
  <c r="AJ488" i="24"/>
  <c r="AI488" i="24"/>
  <c r="AH488" i="24"/>
  <c r="AG488" i="24"/>
  <c r="AF488" i="24"/>
  <c r="AE488" i="24"/>
  <c r="AD488" i="24"/>
  <c r="AC488" i="24"/>
  <c r="AB488" i="24"/>
  <c r="AA488" i="24"/>
  <c r="Z488" i="24"/>
  <c r="Y488" i="24"/>
  <c r="X488" i="24"/>
  <c r="W488" i="24"/>
  <c r="V488" i="24"/>
  <c r="U488" i="24"/>
  <c r="T488" i="24"/>
  <c r="S488" i="24"/>
  <c r="R488" i="24"/>
  <c r="Q488" i="24"/>
  <c r="P488" i="24"/>
  <c r="O488" i="24"/>
  <c r="N488" i="24"/>
  <c r="M488" i="24"/>
  <c r="L488" i="24"/>
  <c r="K488" i="24"/>
  <c r="J488" i="24"/>
  <c r="I488" i="24"/>
  <c r="H488" i="24"/>
  <c r="BA487" i="24"/>
  <c r="AZ487" i="24"/>
  <c r="AY487" i="24"/>
  <c r="AX487" i="24"/>
  <c r="AW487" i="24"/>
  <c r="AV487" i="24"/>
  <c r="AU487" i="24"/>
  <c r="AT487" i="24"/>
  <c r="AS487" i="24"/>
  <c r="AR487" i="24"/>
  <c r="AQ487" i="24"/>
  <c r="AP487" i="24"/>
  <c r="AO487" i="24"/>
  <c r="AN487" i="24"/>
  <c r="AM487" i="24"/>
  <c r="AL487" i="24"/>
  <c r="AK487" i="24"/>
  <c r="AJ487" i="24"/>
  <c r="AI487" i="24"/>
  <c r="AH487" i="24"/>
  <c r="AG487" i="24"/>
  <c r="AF487" i="24"/>
  <c r="AE487" i="24"/>
  <c r="AD487" i="24"/>
  <c r="AC487" i="24"/>
  <c r="AB487" i="24"/>
  <c r="AA487" i="24"/>
  <c r="Z487" i="24"/>
  <c r="Y487" i="24"/>
  <c r="X487" i="24"/>
  <c r="W487" i="24"/>
  <c r="V487" i="24"/>
  <c r="U487" i="24"/>
  <c r="T487" i="24"/>
  <c r="S487" i="24"/>
  <c r="R487" i="24"/>
  <c r="Q487" i="24"/>
  <c r="P487" i="24"/>
  <c r="O487" i="24"/>
  <c r="N487" i="24"/>
  <c r="M487" i="24"/>
  <c r="L487" i="24"/>
  <c r="K487" i="24"/>
  <c r="J487" i="24"/>
  <c r="I487" i="24"/>
  <c r="H487" i="24"/>
  <c r="BA486" i="24"/>
  <c r="AZ486" i="24"/>
  <c r="AY486" i="24"/>
  <c r="AX486" i="24"/>
  <c r="AW486" i="24"/>
  <c r="AV486" i="24"/>
  <c r="AU486" i="24"/>
  <c r="AT486" i="24"/>
  <c r="AS486" i="24"/>
  <c r="AR486" i="24"/>
  <c r="AQ486" i="24"/>
  <c r="AP486" i="24"/>
  <c r="AO486" i="24"/>
  <c r="AN486" i="24"/>
  <c r="AM486" i="24"/>
  <c r="AL486" i="24"/>
  <c r="AK486" i="24"/>
  <c r="AJ486" i="24"/>
  <c r="AI486" i="24"/>
  <c r="AH486" i="24"/>
  <c r="AG486" i="24"/>
  <c r="AF486" i="24"/>
  <c r="AE486" i="24"/>
  <c r="AD486" i="24"/>
  <c r="AC486" i="24"/>
  <c r="AB486" i="24"/>
  <c r="AA486" i="24"/>
  <c r="Z486" i="24"/>
  <c r="Y486" i="24"/>
  <c r="X486" i="24"/>
  <c r="W486" i="24"/>
  <c r="V486" i="24"/>
  <c r="U486" i="24"/>
  <c r="T486" i="24"/>
  <c r="S486" i="24"/>
  <c r="R486" i="24"/>
  <c r="Q486" i="24"/>
  <c r="P486" i="24"/>
  <c r="O486" i="24"/>
  <c r="N486" i="24"/>
  <c r="M486" i="24"/>
  <c r="L486" i="24"/>
  <c r="K486" i="24"/>
  <c r="J486" i="24"/>
  <c r="I486" i="24"/>
  <c r="H486" i="24"/>
  <c r="BA485" i="24"/>
  <c r="AZ485" i="24"/>
  <c r="AY485" i="24"/>
  <c r="AX485" i="24"/>
  <c r="AW485" i="24"/>
  <c r="AV485" i="24"/>
  <c r="AU485" i="24"/>
  <c r="AT485" i="24"/>
  <c r="AS485" i="24"/>
  <c r="AR485" i="24"/>
  <c r="AQ485" i="24"/>
  <c r="AP485" i="24"/>
  <c r="AO485" i="24"/>
  <c r="AN485" i="24"/>
  <c r="AM485" i="24"/>
  <c r="AL485" i="24"/>
  <c r="AK485" i="24"/>
  <c r="AJ485" i="24"/>
  <c r="AI485" i="24"/>
  <c r="AH485" i="24"/>
  <c r="AG485" i="24"/>
  <c r="AF485" i="24"/>
  <c r="AE485" i="24"/>
  <c r="AD485" i="24"/>
  <c r="AC485" i="24"/>
  <c r="AB485" i="24"/>
  <c r="AA485" i="24"/>
  <c r="Z485" i="24"/>
  <c r="Y485" i="24"/>
  <c r="X485" i="24"/>
  <c r="W485" i="24"/>
  <c r="V485" i="24"/>
  <c r="U485" i="24"/>
  <c r="T485" i="24"/>
  <c r="S485" i="24"/>
  <c r="R485" i="24"/>
  <c r="Q485" i="24"/>
  <c r="P485" i="24"/>
  <c r="O485" i="24"/>
  <c r="N485" i="24"/>
  <c r="M485" i="24"/>
  <c r="L485" i="24"/>
  <c r="K485" i="24"/>
  <c r="J485" i="24"/>
  <c r="I485" i="24"/>
  <c r="H485" i="24"/>
  <c r="BA484" i="24"/>
  <c r="AZ484" i="24"/>
  <c r="AY484" i="24"/>
  <c r="AX484" i="24"/>
  <c r="AW484" i="24"/>
  <c r="AV484" i="24"/>
  <c r="AU484" i="24"/>
  <c r="AT484" i="24"/>
  <c r="AS484" i="24"/>
  <c r="AR484" i="24"/>
  <c r="AQ484" i="24"/>
  <c r="AP484" i="24"/>
  <c r="AO484" i="24"/>
  <c r="AN484" i="24"/>
  <c r="AM484" i="24"/>
  <c r="AL484" i="24"/>
  <c r="AK484" i="24"/>
  <c r="AJ484" i="24"/>
  <c r="AI484" i="24"/>
  <c r="AH484" i="24"/>
  <c r="AG484" i="24"/>
  <c r="AF484" i="24"/>
  <c r="AE484" i="24"/>
  <c r="AD484" i="24"/>
  <c r="AC484" i="24"/>
  <c r="AB484" i="24"/>
  <c r="AA484" i="24"/>
  <c r="Z484" i="24"/>
  <c r="Y484" i="24"/>
  <c r="X484" i="24"/>
  <c r="W484" i="24"/>
  <c r="V484" i="24"/>
  <c r="U484" i="24"/>
  <c r="T484" i="24"/>
  <c r="S484" i="24"/>
  <c r="R484" i="24"/>
  <c r="Q484" i="24"/>
  <c r="P484" i="24"/>
  <c r="O484" i="24"/>
  <c r="N484" i="24"/>
  <c r="M484" i="24"/>
  <c r="L484" i="24"/>
  <c r="K484" i="24"/>
  <c r="J484" i="24"/>
  <c r="I484" i="24"/>
  <c r="H484" i="24"/>
  <c r="BA483" i="24"/>
  <c r="AZ483" i="24"/>
  <c r="AY483" i="24"/>
  <c r="AX483" i="24"/>
  <c r="AW483" i="24"/>
  <c r="AV483" i="24"/>
  <c r="AU483" i="24"/>
  <c r="AT483" i="24"/>
  <c r="AS483" i="24"/>
  <c r="AR483" i="24"/>
  <c r="AQ483" i="24"/>
  <c r="AP483" i="24"/>
  <c r="AO483" i="24"/>
  <c r="AN483" i="24"/>
  <c r="AM483" i="24"/>
  <c r="AL483" i="24"/>
  <c r="AK483" i="24"/>
  <c r="AJ483" i="24"/>
  <c r="AI483" i="24"/>
  <c r="AH483" i="24"/>
  <c r="AG483" i="24"/>
  <c r="AF483" i="24"/>
  <c r="AE483" i="24"/>
  <c r="AD483" i="24"/>
  <c r="AC483" i="24"/>
  <c r="AB483" i="24"/>
  <c r="AA483" i="24"/>
  <c r="Z483" i="24"/>
  <c r="Y483" i="24"/>
  <c r="X483" i="24"/>
  <c r="W483" i="24"/>
  <c r="V483" i="24"/>
  <c r="U483" i="24"/>
  <c r="T483" i="24"/>
  <c r="S483" i="24"/>
  <c r="R483" i="24"/>
  <c r="Q483" i="24"/>
  <c r="P483" i="24"/>
  <c r="O483" i="24"/>
  <c r="N483" i="24"/>
  <c r="M483" i="24"/>
  <c r="L483" i="24"/>
  <c r="K483" i="24"/>
  <c r="J483" i="24"/>
  <c r="I483" i="24"/>
  <c r="H483" i="24"/>
  <c r="BA482" i="24"/>
  <c r="AZ482" i="24"/>
  <c r="AY482" i="24"/>
  <c r="AX482" i="24"/>
  <c r="AW482" i="24"/>
  <c r="AV482" i="24"/>
  <c r="AU482" i="24"/>
  <c r="AT482" i="24"/>
  <c r="AS482" i="24"/>
  <c r="AR482" i="24"/>
  <c r="AQ482" i="24"/>
  <c r="AP482" i="24"/>
  <c r="AO482" i="24"/>
  <c r="AN482" i="24"/>
  <c r="AM482" i="24"/>
  <c r="AL482" i="24"/>
  <c r="AK482" i="24"/>
  <c r="AJ482" i="24"/>
  <c r="AI482" i="24"/>
  <c r="AH482" i="24"/>
  <c r="AG482" i="24"/>
  <c r="AF482" i="24"/>
  <c r="AE482" i="24"/>
  <c r="AD482" i="24"/>
  <c r="AC482" i="24"/>
  <c r="AB482" i="24"/>
  <c r="AA482" i="24"/>
  <c r="Z482" i="24"/>
  <c r="Y482" i="24"/>
  <c r="X482" i="24"/>
  <c r="W482" i="24"/>
  <c r="V482" i="24"/>
  <c r="U482" i="24"/>
  <c r="T482" i="24"/>
  <c r="S482" i="24"/>
  <c r="R482" i="24"/>
  <c r="Q482" i="24"/>
  <c r="P482" i="24"/>
  <c r="O482" i="24"/>
  <c r="N482" i="24"/>
  <c r="M482" i="24"/>
  <c r="L482" i="24"/>
  <c r="K482" i="24"/>
  <c r="J482" i="24"/>
  <c r="I482" i="24"/>
  <c r="H482" i="24"/>
  <c r="BA481" i="24"/>
  <c r="AZ481" i="24"/>
  <c r="AY481" i="24"/>
  <c r="AX481" i="24"/>
  <c r="AW481" i="24"/>
  <c r="AV481" i="24"/>
  <c r="AU481" i="24"/>
  <c r="AT481" i="24"/>
  <c r="AS481" i="24"/>
  <c r="AR481" i="24"/>
  <c r="AQ481" i="24"/>
  <c r="AP481" i="24"/>
  <c r="AO481" i="24"/>
  <c r="AN481" i="24"/>
  <c r="AM481" i="24"/>
  <c r="AL481" i="24"/>
  <c r="AK481" i="24"/>
  <c r="AJ481" i="24"/>
  <c r="AI481" i="24"/>
  <c r="AH481" i="24"/>
  <c r="AG481" i="24"/>
  <c r="AF481" i="24"/>
  <c r="AE481" i="24"/>
  <c r="AD481" i="24"/>
  <c r="AC481" i="24"/>
  <c r="AB481" i="24"/>
  <c r="AA481" i="24"/>
  <c r="Z481" i="24"/>
  <c r="Y481" i="24"/>
  <c r="X481" i="24"/>
  <c r="W481" i="24"/>
  <c r="V481" i="24"/>
  <c r="U481" i="24"/>
  <c r="T481" i="24"/>
  <c r="S481" i="24"/>
  <c r="R481" i="24"/>
  <c r="Q481" i="24"/>
  <c r="P481" i="24"/>
  <c r="O481" i="24"/>
  <c r="N481" i="24"/>
  <c r="M481" i="24"/>
  <c r="L481" i="24"/>
  <c r="K481" i="24"/>
  <c r="J481" i="24"/>
  <c r="I481" i="24"/>
  <c r="H481" i="24"/>
  <c r="BA480" i="24"/>
  <c r="AZ480" i="24"/>
  <c r="AY480" i="24"/>
  <c r="AX480" i="24"/>
  <c r="AW480" i="24"/>
  <c r="AV480" i="24"/>
  <c r="AU480" i="24"/>
  <c r="AT480" i="24"/>
  <c r="AS480" i="24"/>
  <c r="AR480" i="24"/>
  <c r="AQ480" i="24"/>
  <c r="AP480" i="24"/>
  <c r="AO480" i="24"/>
  <c r="AN480" i="24"/>
  <c r="AM480" i="24"/>
  <c r="AL480" i="24"/>
  <c r="AK480" i="24"/>
  <c r="AJ480" i="24"/>
  <c r="AI480" i="24"/>
  <c r="AH480" i="24"/>
  <c r="AG480" i="24"/>
  <c r="AF480" i="24"/>
  <c r="AE480" i="24"/>
  <c r="AD480" i="24"/>
  <c r="AC480" i="24"/>
  <c r="AB480" i="24"/>
  <c r="AA480" i="24"/>
  <c r="Z480" i="24"/>
  <c r="Y480" i="24"/>
  <c r="X480" i="24"/>
  <c r="W480" i="24"/>
  <c r="V480" i="24"/>
  <c r="U480" i="24"/>
  <c r="T480" i="24"/>
  <c r="S480" i="24"/>
  <c r="R480" i="24"/>
  <c r="Q480" i="24"/>
  <c r="P480" i="24"/>
  <c r="O480" i="24"/>
  <c r="N480" i="24"/>
  <c r="M480" i="24"/>
  <c r="L480" i="24"/>
  <c r="K480" i="24"/>
  <c r="J480" i="24"/>
  <c r="I480" i="24"/>
  <c r="H480" i="24"/>
  <c r="BA479" i="24"/>
  <c r="AZ479" i="24"/>
  <c r="AY479" i="24"/>
  <c r="AX479" i="24"/>
  <c r="AW479" i="24"/>
  <c r="AV479" i="24"/>
  <c r="AU479" i="24"/>
  <c r="AT479" i="24"/>
  <c r="AS479" i="24"/>
  <c r="AR479" i="24"/>
  <c r="AQ479" i="24"/>
  <c r="AP479" i="24"/>
  <c r="AO479" i="24"/>
  <c r="AN479" i="24"/>
  <c r="AM479" i="24"/>
  <c r="AL479" i="24"/>
  <c r="AK479" i="24"/>
  <c r="AJ479" i="24"/>
  <c r="AI479" i="24"/>
  <c r="AH479" i="24"/>
  <c r="AG479" i="24"/>
  <c r="AF479" i="24"/>
  <c r="AE479" i="24"/>
  <c r="AD479" i="24"/>
  <c r="AC479" i="24"/>
  <c r="AB479" i="24"/>
  <c r="AA479" i="24"/>
  <c r="Z479" i="24"/>
  <c r="Y479" i="24"/>
  <c r="X479" i="24"/>
  <c r="W479" i="24"/>
  <c r="V479" i="24"/>
  <c r="U479" i="24"/>
  <c r="T479" i="24"/>
  <c r="S479" i="24"/>
  <c r="R479" i="24"/>
  <c r="Q479" i="24"/>
  <c r="P479" i="24"/>
  <c r="O479" i="24"/>
  <c r="N479" i="24"/>
  <c r="M479" i="24"/>
  <c r="L479" i="24"/>
  <c r="K479" i="24"/>
  <c r="J479" i="24"/>
  <c r="I479" i="24"/>
  <c r="H479" i="24"/>
  <c r="BA478" i="24"/>
  <c r="AZ478" i="24"/>
  <c r="AY478" i="24"/>
  <c r="AX478" i="24"/>
  <c r="AW478" i="24"/>
  <c r="AV478" i="24"/>
  <c r="AU478" i="24"/>
  <c r="AT478" i="24"/>
  <c r="AS478" i="24"/>
  <c r="AR478" i="24"/>
  <c r="AQ478" i="24"/>
  <c r="AP478" i="24"/>
  <c r="AO478" i="24"/>
  <c r="AN478" i="24"/>
  <c r="AM478" i="24"/>
  <c r="AL478" i="24"/>
  <c r="AK478" i="24"/>
  <c r="AJ478" i="24"/>
  <c r="AI478" i="24"/>
  <c r="AH478" i="24"/>
  <c r="AG478" i="24"/>
  <c r="AF478" i="24"/>
  <c r="AE478" i="24"/>
  <c r="AD478" i="24"/>
  <c r="AC478" i="24"/>
  <c r="AB478" i="24"/>
  <c r="AA478" i="24"/>
  <c r="Z478" i="24"/>
  <c r="Y478" i="24"/>
  <c r="X478" i="24"/>
  <c r="W478" i="24"/>
  <c r="V478" i="24"/>
  <c r="U478" i="24"/>
  <c r="T478" i="24"/>
  <c r="S478" i="24"/>
  <c r="R478" i="24"/>
  <c r="Q478" i="24"/>
  <c r="P478" i="24"/>
  <c r="O478" i="24"/>
  <c r="N478" i="24"/>
  <c r="M478" i="24"/>
  <c r="L478" i="24"/>
  <c r="K478" i="24"/>
  <c r="J478" i="24"/>
  <c r="I478" i="24"/>
  <c r="H478" i="24"/>
  <c r="BA477" i="24"/>
  <c r="AZ477" i="24"/>
  <c r="AY477" i="24"/>
  <c r="AX477" i="24"/>
  <c r="AW477" i="24"/>
  <c r="AV477" i="24"/>
  <c r="AU477" i="24"/>
  <c r="AT477" i="24"/>
  <c r="AS477" i="24"/>
  <c r="AR477" i="24"/>
  <c r="AQ477" i="24"/>
  <c r="AP477" i="24"/>
  <c r="AO477" i="24"/>
  <c r="AN477" i="24"/>
  <c r="AM477" i="24"/>
  <c r="AL477" i="24"/>
  <c r="AK477" i="24"/>
  <c r="AJ477" i="24"/>
  <c r="AI477" i="24"/>
  <c r="AH477" i="24"/>
  <c r="AG477" i="24"/>
  <c r="AF477" i="24"/>
  <c r="AE477" i="24"/>
  <c r="AD477" i="24"/>
  <c r="AC477" i="24"/>
  <c r="AB477" i="24"/>
  <c r="AA477" i="24"/>
  <c r="Z477" i="24"/>
  <c r="Y477" i="24"/>
  <c r="X477" i="24"/>
  <c r="W477" i="24"/>
  <c r="V477" i="24"/>
  <c r="U477" i="24"/>
  <c r="T477" i="24"/>
  <c r="S477" i="24"/>
  <c r="R477" i="24"/>
  <c r="Q477" i="24"/>
  <c r="P477" i="24"/>
  <c r="O477" i="24"/>
  <c r="N477" i="24"/>
  <c r="M477" i="24"/>
  <c r="L477" i="24"/>
  <c r="K477" i="24"/>
  <c r="J477" i="24"/>
  <c r="I477" i="24"/>
  <c r="H477" i="24"/>
  <c r="BA476" i="24"/>
  <c r="AZ476" i="24"/>
  <c r="AY476" i="24"/>
  <c r="AX476" i="24"/>
  <c r="AW476" i="24"/>
  <c r="AV476" i="24"/>
  <c r="AU476" i="24"/>
  <c r="AT476" i="24"/>
  <c r="AS476" i="24"/>
  <c r="AR476" i="24"/>
  <c r="AQ476" i="24"/>
  <c r="AP476" i="24"/>
  <c r="AO476" i="24"/>
  <c r="AN476" i="24"/>
  <c r="AM476" i="24"/>
  <c r="AL476" i="24"/>
  <c r="AK476" i="24"/>
  <c r="AJ476" i="24"/>
  <c r="AI476" i="24"/>
  <c r="AH476" i="24"/>
  <c r="AG476" i="24"/>
  <c r="AF476" i="24"/>
  <c r="AE476" i="24"/>
  <c r="AD476" i="24"/>
  <c r="AC476" i="24"/>
  <c r="AB476" i="24"/>
  <c r="AA476" i="24"/>
  <c r="Z476" i="24"/>
  <c r="Y476" i="24"/>
  <c r="X476" i="24"/>
  <c r="W476" i="24"/>
  <c r="V476" i="24"/>
  <c r="U476" i="24"/>
  <c r="T476" i="24"/>
  <c r="S476" i="24"/>
  <c r="R476" i="24"/>
  <c r="Q476" i="24"/>
  <c r="P476" i="24"/>
  <c r="O476" i="24"/>
  <c r="N476" i="24"/>
  <c r="M476" i="24"/>
  <c r="L476" i="24"/>
  <c r="K476" i="24"/>
  <c r="J476" i="24"/>
  <c r="I476" i="24"/>
  <c r="H476" i="24"/>
  <c r="BA475" i="24"/>
  <c r="AZ475" i="24"/>
  <c r="AY475" i="24"/>
  <c r="AX475" i="24"/>
  <c r="AW475" i="24"/>
  <c r="AV475" i="24"/>
  <c r="AU475" i="24"/>
  <c r="AT475" i="24"/>
  <c r="AS475" i="24"/>
  <c r="AR475" i="24"/>
  <c r="AQ475" i="24"/>
  <c r="AP475" i="24"/>
  <c r="AO475" i="24"/>
  <c r="AN475" i="24"/>
  <c r="AM475" i="24"/>
  <c r="AL475" i="24"/>
  <c r="AK475" i="24"/>
  <c r="AJ475" i="24"/>
  <c r="AI475" i="24"/>
  <c r="AH475" i="24"/>
  <c r="AG475" i="24"/>
  <c r="AF475" i="24"/>
  <c r="AE475" i="24"/>
  <c r="AD475" i="24"/>
  <c r="AC475" i="24"/>
  <c r="AB475" i="24"/>
  <c r="AA475" i="24"/>
  <c r="Z475" i="24"/>
  <c r="Y475" i="24"/>
  <c r="X475" i="24"/>
  <c r="W475" i="24"/>
  <c r="V475" i="24"/>
  <c r="U475" i="24"/>
  <c r="T475" i="24"/>
  <c r="S475" i="24"/>
  <c r="R475" i="24"/>
  <c r="Q475" i="24"/>
  <c r="P475" i="24"/>
  <c r="O475" i="24"/>
  <c r="N475" i="24"/>
  <c r="M475" i="24"/>
  <c r="L475" i="24"/>
  <c r="K475" i="24"/>
  <c r="J475" i="24"/>
  <c r="I475" i="24"/>
  <c r="H475" i="24"/>
  <c r="BA474" i="24"/>
  <c r="AZ474" i="24"/>
  <c r="AY474" i="24"/>
  <c r="AX474" i="24"/>
  <c r="AW474" i="24"/>
  <c r="AV474" i="24"/>
  <c r="AU474" i="24"/>
  <c r="AT474" i="24"/>
  <c r="AS474" i="24"/>
  <c r="AR474" i="24"/>
  <c r="AQ474" i="24"/>
  <c r="AP474" i="24"/>
  <c r="AO474" i="24"/>
  <c r="AN474" i="24"/>
  <c r="AM474" i="24"/>
  <c r="AL474" i="24"/>
  <c r="AK474" i="24"/>
  <c r="AJ474" i="24"/>
  <c r="AI474" i="24"/>
  <c r="AH474" i="24"/>
  <c r="AG474" i="24"/>
  <c r="AF474" i="24"/>
  <c r="AE474" i="24"/>
  <c r="AD474" i="24"/>
  <c r="AC474" i="24"/>
  <c r="AB474" i="24"/>
  <c r="AA474" i="24"/>
  <c r="Z474" i="24"/>
  <c r="Y474" i="24"/>
  <c r="X474" i="24"/>
  <c r="W474" i="24"/>
  <c r="V474" i="24"/>
  <c r="U474" i="24"/>
  <c r="T474" i="24"/>
  <c r="S474" i="24"/>
  <c r="R474" i="24"/>
  <c r="Q474" i="24"/>
  <c r="P474" i="24"/>
  <c r="O474" i="24"/>
  <c r="N474" i="24"/>
  <c r="M474" i="24"/>
  <c r="L474" i="24"/>
  <c r="K474" i="24"/>
  <c r="J474" i="24"/>
  <c r="I474" i="24"/>
  <c r="H474" i="24"/>
  <c r="BA473" i="24"/>
  <c r="AZ473" i="24"/>
  <c r="AY473" i="24"/>
  <c r="AX473" i="24"/>
  <c r="AW473" i="24"/>
  <c r="AV473" i="24"/>
  <c r="AU473" i="24"/>
  <c r="AT473" i="24"/>
  <c r="AS473" i="24"/>
  <c r="AR473" i="24"/>
  <c r="AQ473" i="24"/>
  <c r="AP473" i="24"/>
  <c r="AO473" i="24"/>
  <c r="AN473" i="24"/>
  <c r="AM473" i="24"/>
  <c r="AL473" i="24"/>
  <c r="AK473" i="24"/>
  <c r="AJ473" i="24"/>
  <c r="AI473" i="24"/>
  <c r="AH473" i="24"/>
  <c r="AG473" i="24"/>
  <c r="AF473" i="24"/>
  <c r="AE473" i="24"/>
  <c r="AD473" i="24"/>
  <c r="AC473" i="24"/>
  <c r="AB473" i="24"/>
  <c r="AA473" i="24"/>
  <c r="Z473" i="24"/>
  <c r="Y473" i="24"/>
  <c r="X473" i="24"/>
  <c r="W473" i="24"/>
  <c r="V473" i="24"/>
  <c r="U473" i="24"/>
  <c r="T473" i="24"/>
  <c r="S473" i="24"/>
  <c r="R473" i="24"/>
  <c r="Q473" i="24"/>
  <c r="P473" i="24"/>
  <c r="O473" i="24"/>
  <c r="N473" i="24"/>
  <c r="M473" i="24"/>
  <c r="L473" i="24"/>
  <c r="K473" i="24"/>
  <c r="J473" i="24"/>
  <c r="I473" i="24"/>
  <c r="H473" i="24"/>
  <c r="BA472" i="24"/>
  <c r="AZ472" i="24"/>
  <c r="AY472" i="24"/>
  <c r="AX472" i="24"/>
  <c r="AW472" i="24"/>
  <c r="AV472" i="24"/>
  <c r="AU472" i="24"/>
  <c r="AT472" i="24"/>
  <c r="AS472" i="24"/>
  <c r="AR472" i="24"/>
  <c r="AQ472" i="24"/>
  <c r="AP472" i="24"/>
  <c r="AO472" i="24"/>
  <c r="AN472" i="24"/>
  <c r="AM472" i="24"/>
  <c r="AL472" i="24"/>
  <c r="AK472" i="24"/>
  <c r="AJ472" i="24"/>
  <c r="AI472" i="24"/>
  <c r="AH472" i="24"/>
  <c r="AG472" i="24"/>
  <c r="AF472" i="24"/>
  <c r="AE472" i="24"/>
  <c r="AD472" i="24"/>
  <c r="AC472" i="24"/>
  <c r="AB472" i="24"/>
  <c r="AA472" i="24"/>
  <c r="Z472" i="24"/>
  <c r="Y472" i="24"/>
  <c r="X472" i="24"/>
  <c r="W472" i="24"/>
  <c r="V472" i="24"/>
  <c r="U472" i="24"/>
  <c r="T472" i="24"/>
  <c r="S472" i="24"/>
  <c r="R472" i="24"/>
  <c r="Q472" i="24"/>
  <c r="P472" i="24"/>
  <c r="O472" i="24"/>
  <c r="N472" i="24"/>
  <c r="M472" i="24"/>
  <c r="L472" i="24"/>
  <c r="K472" i="24"/>
  <c r="J472" i="24"/>
  <c r="I472" i="24"/>
  <c r="H472" i="24"/>
  <c r="BA471" i="24"/>
  <c r="AZ471" i="24"/>
  <c r="AY471" i="24"/>
  <c r="AX471" i="24"/>
  <c r="AW471" i="24"/>
  <c r="AV471" i="24"/>
  <c r="AU471" i="24"/>
  <c r="AT471" i="24"/>
  <c r="AS471" i="24"/>
  <c r="AR471" i="24"/>
  <c r="AQ471" i="24"/>
  <c r="AP471" i="24"/>
  <c r="AO471" i="24"/>
  <c r="AN471" i="24"/>
  <c r="AM471" i="24"/>
  <c r="AL471" i="24"/>
  <c r="AK471" i="24"/>
  <c r="AJ471" i="24"/>
  <c r="AI471" i="24"/>
  <c r="AH471" i="24"/>
  <c r="AG471" i="24"/>
  <c r="AF471" i="24"/>
  <c r="AE471" i="24"/>
  <c r="AD471" i="24"/>
  <c r="AC471" i="24"/>
  <c r="AB471" i="24"/>
  <c r="AA471" i="24"/>
  <c r="Z471" i="24"/>
  <c r="Y471" i="24"/>
  <c r="X471" i="24"/>
  <c r="W471" i="24"/>
  <c r="V471" i="24"/>
  <c r="U471" i="24"/>
  <c r="T471" i="24"/>
  <c r="S471" i="24"/>
  <c r="R471" i="24"/>
  <c r="Q471" i="24"/>
  <c r="P471" i="24"/>
  <c r="O471" i="24"/>
  <c r="N471" i="24"/>
  <c r="M471" i="24"/>
  <c r="L471" i="24"/>
  <c r="K471" i="24"/>
  <c r="J471" i="24"/>
  <c r="I471" i="24"/>
  <c r="H471" i="24"/>
  <c r="BA470" i="24"/>
  <c r="AZ470" i="24"/>
  <c r="AY470" i="24"/>
  <c r="AX470" i="24"/>
  <c r="AW470" i="24"/>
  <c r="AV470" i="24"/>
  <c r="AU470" i="24"/>
  <c r="AT470" i="24"/>
  <c r="AS470" i="24"/>
  <c r="AR470" i="24"/>
  <c r="AQ470" i="24"/>
  <c r="AP470" i="24"/>
  <c r="AO470" i="24"/>
  <c r="AN470" i="24"/>
  <c r="AM470" i="24"/>
  <c r="AL470" i="24"/>
  <c r="AK470" i="24"/>
  <c r="AJ470" i="24"/>
  <c r="AI470" i="24"/>
  <c r="AH470" i="24"/>
  <c r="AG470" i="24"/>
  <c r="AF470" i="24"/>
  <c r="AE470" i="24"/>
  <c r="AD470" i="24"/>
  <c r="AC470" i="24"/>
  <c r="AB470" i="24"/>
  <c r="AA470" i="24"/>
  <c r="Z470" i="24"/>
  <c r="Y470" i="24"/>
  <c r="X470" i="24"/>
  <c r="W470" i="24"/>
  <c r="V470" i="24"/>
  <c r="U470" i="24"/>
  <c r="T470" i="24"/>
  <c r="S470" i="24"/>
  <c r="R470" i="24"/>
  <c r="Q470" i="24"/>
  <c r="P470" i="24"/>
  <c r="O470" i="24"/>
  <c r="N470" i="24"/>
  <c r="M470" i="24"/>
  <c r="L470" i="24"/>
  <c r="K470" i="24"/>
  <c r="J470" i="24"/>
  <c r="I470" i="24"/>
  <c r="H470" i="24"/>
  <c r="BA469" i="24"/>
  <c r="AZ469" i="24"/>
  <c r="AY469" i="24"/>
  <c r="AX469" i="24"/>
  <c r="AW469" i="24"/>
  <c r="AV469" i="24"/>
  <c r="AU469" i="24"/>
  <c r="AT469" i="24"/>
  <c r="AS469" i="24"/>
  <c r="AR469" i="24"/>
  <c r="AQ469" i="24"/>
  <c r="AP469" i="24"/>
  <c r="AO469" i="24"/>
  <c r="AN469" i="24"/>
  <c r="AM469" i="24"/>
  <c r="AL469" i="24"/>
  <c r="AK469" i="24"/>
  <c r="AJ469" i="24"/>
  <c r="AI469" i="24"/>
  <c r="AH469" i="24"/>
  <c r="AG469" i="24"/>
  <c r="AF469" i="24"/>
  <c r="AE469" i="24"/>
  <c r="AD469" i="24"/>
  <c r="AC469" i="24"/>
  <c r="AB469" i="24"/>
  <c r="AA469" i="24"/>
  <c r="Z469" i="24"/>
  <c r="Y469" i="24"/>
  <c r="X469" i="24"/>
  <c r="W469" i="24"/>
  <c r="V469" i="24"/>
  <c r="U469" i="24"/>
  <c r="T469" i="24"/>
  <c r="S469" i="24"/>
  <c r="R469" i="24"/>
  <c r="Q469" i="24"/>
  <c r="P469" i="24"/>
  <c r="O469" i="24"/>
  <c r="N469" i="24"/>
  <c r="M469" i="24"/>
  <c r="L469" i="24"/>
  <c r="K469" i="24"/>
  <c r="J469" i="24"/>
  <c r="I469" i="24"/>
  <c r="H469" i="24"/>
  <c r="BA468" i="24"/>
  <c r="AZ468" i="24"/>
  <c r="AY468" i="24"/>
  <c r="AX468" i="24"/>
  <c r="AW468" i="24"/>
  <c r="AV468" i="24"/>
  <c r="AU468" i="24"/>
  <c r="AT468" i="24"/>
  <c r="AS468" i="24"/>
  <c r="AR468" i="24"/>
  <c r="AQ468" i="24"/>
  <c r="AP468" i="24"/>
  <c r="AO468" i="24"/>
  <c r="AN468" i="24"/>
  <c r="AM468" i="24"/>
  <c r="AL468" i="24"/>
  <c r="AK468" i="24"/>
  <c r="AJ468" i="24"/>
  <c r="AI468" i="24"/>
  <c r="AH468" i="24"/>
  <c r="AG468" i="24"/>
  <c r="AF468" i="24"/>
  <c r="AE468" i="24"/>
  <c r="AD468" i="24"/>
  <c r="AC468" i="24"/>
  <c r="AB468" i="24"/>
  <c r="AA468" i="24"/>
  <c r="Z468" i="24"/>
  <c r="Y468" i="24"/>
  <c r="X468" i="24"/>
  <c r="W468" i="24"/>
  <c r="V468" i="24"/>
  <c r="U468" i="24"/>
  <c r="T468" i="24"/>
  <c r="S468" i="24"/>
  <c r="R468" i="24"/>
  <c r="Q468" i="24"/>
  <c r="P468" i="24"/>
  <c r="O468" i="24"/>
  <c r="N468" i="24"/>
  <c r="M468" i="24"/>
  <c r="L468" i="24"/>
  <c r="K468" i="24"/>
  <c r="J468" i="24"/>
  <c r="I468" i="24"/>
  <c r="H468" i="24"/>
  <c r="BA467" i="24"/>
  <c r="AZ467" i="24"/>
  <c r="AY467" i="24"/>
  <c r="AX467" i="24"/>
  <c r="AW467" i="24"/>
  <c r="AV467" i="24"/>
  <c r="AU467" i="24"/>
  <c r="AT467" i="24"/>
  <c r="AS467" i="24"/>
  <c r="AR467" i="24"/>
  <c r="AQ467" i="24"/>
  <c r="AP467" i="24"/>
  <c r="AO467" i="24"/>
  <c r="AN467" i="24"/>
  <c r="AM467" i="24"/>
  <c r="AL467" i="24"/>
  <c r="AK467" i="24"/>
  <c r="AJ467" i="24"/>
  <c r="AI467" i="24"/>
  <c r="AH467" i="24"/>
  <c r="AG467" i="24"/>
  <c r="AF467" i="24"/>
  <c r="AE467" i="24"/>
  <c r="AD467" i="24"/>
  <c r="AC467" i="24"/>
  <c r="AB467" i="24"/>
  <c r="AA467" i="24"/>
  <c r="Z467" i="24"/>
  <c r="Y467" i="24"/>
  <c r="X467" i="24"/>
  <c r="W467" i="24"/>
  <c r="V467" i="24"/>
  <c r="U467" i="24"/>
  <c r="T467" i="24"/>
  <c r="S467" i="24"/>
  <c r="R467" i="24"/>
  <c r="Q467" i="24"/>
  <c r="P467" i="24"/>
  <c r="O467" i="24"/>
  <c r="N467" i="24"/>
  <c r="M467" i="24"/>
  <c r="L467" i="24"/>
  <c r="K467" i="24"/>
  <c r="J467" i="24"/>
  <c r="I467" i="24"/>
  <c r="H467" i="24"/>
  <c r="BA466" i="24"/>
  <c r="AZ466" i="24"/>
  <c r="AY466" i="24"/>
  <c r="AX466" i="24"/>
  <c r="AW466" i="24"/>
  <c r="AV466" i="24"/>
  <c r="AU466" i="24"/>
  <c r="AT466" i="24"/>
  <c r="AS466" i="24"/>
  <c r="AR466" i="24"/>
  <c r="AQ466" i="24"/>
  <c r="AP466" i="24"/>
  <c r="AO466" i="24"/>
  <c r="AN466" i="24"/>
  <c r="AM466" i="24"/>
  <c r="AL466" i="24"/>
  <c r="AK466" i="24"/>
  <c r="AJ466" i="24"/>
  <c r="AI466" i="24"/>
  <c r="AH466" i="24"/>
  <c r="AG466" i="24"/>
  <c r="AF466" i="24"/>
  <c r="AE466" i="24"/>
  <c r="AD466" i="24"/>
  <c r="AC466" i="24"/>
  <c r="AB466" i="24"/>
  <c r="AA466" i="24"/>
  <c r="Z466" i="24"/>
  <c r="Y466" i="24"/>
  <c r="X466" i="24"/>
  <c r="W466" i="24"/>
  <c r="V466" i="24"/>
  <c r="U466" i="24"/>
  <c r="T466" i="24"/>
  <c r="S466" i="24"/>
  <c r="R466" i="24"/>
  <c r="Q466" i="24"/>
  <c r="P466" i="24"/>
  <c r="O466" i="24"/>
  <c r="N466" i="24"/>
  <c r="M466" i="24"/>
  <c r="L466" i="24"/>
  <c r="K466" i="24"/>
  <c r="J466" i="24"/>
  <c r="I466" i="24"/>
  <c r="H466" i="24"/>
  <c r="BA465" i="24"/>
  <c r="AZ465" i="24"/>
  <c r="AY465" i="24"/>
  <c r="AX465" i="24"/>
  <c r="AW465" i="24"/>
  <c r="AV465" i="24"/>
  <c r="AU465" i="24"/>
  <c r="AT465" i="24"/>
  <c r="AS465" i="24"/>
  <c r="AR465" i="24"/>
  <c r="AQ465" i="24"/>
  <c r="AP465" i="24"/>
  <c r="AO465" i="24"/>
  <c r="AN465" i="24"/>
  <c r="AM465" i="24"/>
  <c r="AL465" i="24"/>
  <c r="AK465" i="24"/>
  <c r="AJ465" i="24"/>
  <c r="AI465" i="24"/>
  <c r="AH465" i="24"/>
  <c r="AG465" i="24"/>
  <c r="AF465" i="24"/>
  <c r="AE465" i="24"/>
  <c r="AD465" i="24"/>
  <c r="AC465" i="24"/>
  <c r="AB465" i="24"/>
  <c r="AA465" i="24"/>
  <c r="Z465" i="24"/>
  <c r="Y465" i="24"/>
  <c r="X465" i="24"/>
  <c r="W465" i="24"/>
  <c r="V465" i="24"/>
  <c r="U465" i="24"/>
  <c r="T465" i="24"/>
  <c r="S465" i="24"/>
  <c r="R465" i="24"/>
  <c r="Q465" i="24"/>
  <c r="P465" i="24"/>
  <c r="O465" i="24"/>
  <c r="N465" i="24"/>
  <c r="M465" i="24"/>
  <c r="L465" i="24"/>
  <c r="K465" i="24"/>
  <c r="J465" i="24"/>
  <c r="I465" i="24"/>
  <c r="H465" i="24"/>
  <c r="BA464" i="24"/>
  <c r="AZ464" i="24"/>
  <c r="AY464" i="24"/>
  <c r="AX464" i="24"/>
  <c r="AW464" i="24"/>
  <c r="AV464" i="24"/>
  <c r="AU464" i="24"/>
  <c r="AT464" i="24"/>
  <c r="AS464" i="24"/>
  <c r="AR464" i="24"/>
  <c r="AQ464" i="24"/>
  <c r="AP464" i="24"/>
  <c r="AO464" i="24"/>
  <c r="AN464" i="24"/>
  <c r="AM464" i="24"/>
  <c r="AL464" i="24"/>
  <c r="AK464" i="24"/>
  <c r="AJ464" i="24"/>
  <c r="AI464" i="24"/>
  <c r="AH464" i="24"/>
  <c r="AG464" i="24"/>
  <c r="AF464" i="24"/>
  <c r="AE464" i="24"/>
  <c r="AD464" i="24"/>
  <c r="AC464" i="24"/>
  <c r="AB464" i="24"/>
  <c r="AA464" i="24"/>
  <c r="Z464" i="24"/>
  <c r="Y464" i="24"/>
  <c r="X464" i="24"/>
  <c r="W464" i="24"/>
  <c r="V464" i="24"/>
  <c r="U464" i="24"/>
  <c r="T464" i="24"/>
  <c r="S464" i="24"/>
  <c r="R464" i="24"/>
  <c r="Q464" i="24"/>
  <c r="P464" i="24"/>
  <c r="O464" i="24"/>
  <c r="N464" i="24"/>
  <c r="M464" i="24"/>
  <c r="L464" i="24"/>
  <c r="K464" i="24"/>
  <c r="J464" i="24"/>
  <c r="I464" i="24"/>
  <c r="H464" i="24"/>
  <c r="BA463" i="24"/>
  <c r="AZ463" i="24"/>
  <c r="AY463" i="24"/>
  <c r="AX463" i="24"/>
  <c r="AW463" i="24"/>
  <c r="AV463" i="24"/>
  <c r="AU463" i="24"/>
  <c r="AT463" i="24"/>
  <c r="AS463" i="24"/>
  <c r="AR463" i="24"/>
  <c r="AQ463" i="24"/>
  <c r="AP463" i="24"/>
  <c r="AO463" i="24"/>
  <c r="AN463" i="24"/>
  <c r="AM463" i="24"/>
  <c r="AL463" i="24"/>
  <c r="AK463" i="24"/>
  <c r="AJ463" i="24"/>
  <c r="AI463" i="24"/>
  <c r="AH463" i="24"/>
  <c r="AG463" i="24"/>
  <c r="AF463" i="24"/>
  <c r="AE463" i="24"/>
  <c r="AD463" i="24"/>
  <c r="AC463" i="24"/>
  <c r="AB463" i="24"/>
  <c r="AA463" i="24"/>
  <c r="Z463" i="24"/>
  <c r="Y463" i="24"/>
  <c r="X463" i="24"/>
  <c r="W463" i="24"/>
  <c r="V463" i="24"/>
  <c r="U463" i="24"/>
  <c r="T463" i="24"/>
  <c r="S463" i="24"/>
  <c r="R463" i="24"/>
  <c r="Q463" i="24"/>
  <c r="P463" i="24"/>
  <c r="O463" i="24"/>
  <c r="N463" i="24"/>
  <c r="M463" i="24"/>
  <c r="L463" i="24"/>
  <c r="K463" i="24"/>
  <c r="J463" i="24"/>
  <c r="I463" i="24"/>
  <c r="H463" i="24"/>
  <c r="BA462" i="24"/>
  <c r="AZ462" i="24"/>
  <c r="AY462" i="24"/>
  <c r="AX462" i="24"/>
  <c r="AW462" i="24"/>
  <c r="AV462" i="24"/>
  <c r="AU462" i="24"/>
  <c r="AT462" i="24"/>
  <c r="AS462" i="24"/>
  <c r="AR462" i="24"/>
  <c r="AQ462" i="24"/>
  <c r="AP462" i="24"/>
  <c r="AO462" i="24"/>
  <c r="AN462" i="24"/>
  <c r="AM462" i="24"/>
  <c r="AL462" i="24"/>
  <c r="AK462" i="24"/>
  <c r="AJ462" i="24"/>
  <c r="AI462" i="24"/>
  <c r="AH462" i="24"/>
  <c r="AG462" i="24"/>
  <c r="AF462" i="24"/>
  <c r="AE462" i="24"/>
  <c r="AD462" i="24"/>
  <c r="AC462" i="24"/>
  <c r="AB462" i="24"/>
  <c r="AA462" i="24"/>
  <c r="Z462" i="24"/>
  <c r="Y462" i="24"/>
  <c r="X462" i="24"/>
  <c r="W462" i="24"/>
  <c r="V462" i="24"/>
  <c r="U462" i="24"/>
  <c r="T462" i="24"/>
  <c r="S462" i="24"/>
  <c r="R462" i="24"/>
  <c r="Q462" i="24"/>
  <c r="P462" i="24"/>
  <c r="O462" i="24"/>
  <c r="N462" i="24"/>
  <c r="M462" i="24"/>
  <c r="L462" i="24"/>
  <c r="K462" i="24"/>
  <c r="J462" i="24"/>
  <c r="I462" i="24"/>
  <c r="H462" i="24"/>
  <c r="BA461" i="24"/>
  <c r="AZ461" i="24"/>
  <c r="AY461" i="24"/>
  <c r="AX461" i="24"/>
  <c r="AW461" i="24"/>
  <c r="AV461" i="24"/>
  <c r="AU461" i="24"/>
  <c r="AT461" i="24"/>
  <c r="AS461" i="24"/>
  <c r="AR461" i="24"/>
  <c r="AQ461" i="24"/>
  <c r="AP461" i="24"/>
  <c r="AO461" i="24"/>
  <c r="AN461" i="24"/>
  <c r="AM461" i="24"/>
  <c r="AL461" i="24"/>
  <c r="AK461" i="24"/>
  <c r="AJ461" i="24"/>
  <c r="AI461" i="24"/>
  <c r="AH461" i="24"/>
  <c r="AG461" i="24"/>
  <c r="AF461" i="24"/>
  <c r="AE461" i="24"/>
  <c r="AD461" i="24"/>
  <c r="AC461" i="24"/>
  <c r="AB461" i="24"/>
  <c r="AA461" i="24"/>
  <c r="Z461" i="24"/>
  <c r="Y461" i="24"/>
  <c r="X461" i="24"/>
  <c r="W461" i="24"/>
  <c r="V461" i="24"/>
  <c r="U461" i="24"/>
  <c r="T461" i="24"/>
  <c r="S461" i="24"/>
  <c r="R461" i="24"/>
  <c r="Q461" i="24"/>
  <c r="P461" i="24"/>
  <c r="O461" i="24"/>
  <c r="N461" i="24"/>
  <c r="M461" i="24"/>
  <c r="L461" i="24"/>
  <c r="K461" i="24"/>
  <c r="J461" i="24"/>
  <c r="I461" i="24"/>
  <c r="H461" i="24"/>
  <c r="BA460" i="24"/>
  <c r="AZ460" i="24"/>
  <c r="AY460" i="24"/>
  <c r="AX460" i="24"/>
  <c r="AW460" i="24"/>
  <c r="AV460" i="24"/>
  <c r="AU460" i="24"/>
  <c r="AT460" i="24"/>
  <c r="AS460" i="24"/>
  <c r="AR460" i="24"/>
  <c r="AQ460" i="24"/>
  <c r="AP460" i="24"/>
  <c r="AO460" i="24"/>
  <c r="AN460" i="24"/>
  <c r="AM460" i="24"/>
  <c r="AL460" i="24"/>
  <c r="AK460" i="24"/>
  <c r="AJ460" i="24"/>
  <c r="AI460" i="24"/>
  <c r="AH460" i="24"/>
  <c r="AG460" i="24"/>
  <c r="AF460" i="24"/>
  <c r="AE460" i="24"/>
  <c r="AD460" i="24"/>
  <c r="AC460" i="24"/>
  <c r="AB460" i="24"/>
  <c r="AA460" i="24"/>
  <c r="Z460" i="24"/>
  <c r="Y460" i="24"/>
  <c r="X460" i="24"/>
  <c r="W460" i="24"/>
  <c r="V460" i="24"/>
  <c r="U460" i="24"/>
  <c r="T460" i="24"/>
  <c r="S460" i="24"/>
  <c r="R460" i="24"/>
  <c r="Q460" i="24"/>
  <c r="P460" i="24"/>
  <c r="O460" i="24"/>
  <c r="N460" i="24"/>
  <c r="M460" i="24"/>
  <c r="L460" i="24"/>
  <c r="K460" i="24"/>
  <c r="J460" i="24"/>
  <c r="I460" i="24"/>
  <c r="H460" i="24"/>
  <c r="BA459" i="24"/>
  <c r="AZ459" i="24"/>
  <c r="AY459" i="24"/>
  <c r="AX459" i="24"/>
  <c r="AW459" i="24"/>
  <c r="AV459" i="24"/>
  <c r="AU459" i="24"/>
  <c r="AT459" i="24"/>
  <c r="AS459" i="24"/>
  <c r="AR459" i="24"/>
  <c r="AQ459" i="24"/>
  <c r="AP459" i="24"/>
  <c r="AO459" i="24"/>
  <c r="AN459" i="24"/>
  <c r="AM459" i="24"/>
  <c r="AL459" i="24"/>
  <c r="AK459" i="24"/>
  <c r="AJ459" i="24"/>
  <c r="AI459" i="24"/>
  <c r="AH459" i="24"/>
  <c r="AG459" i="24"/>
  <c r="AF459" i="24"/>
  <c r="AE459" i="24"/>
  <c r="AD459" i="24"/>
  <c r="AC459" i="24"/>
  <c r="AB459" i="24"/>
  <c r="AA459" i="24"/>
  <c r="Z459" i="24"/>
  <c r="Y459" i="24"/>
  <c r="X459" i="24"/>
  <c r="W459" i="24"/>
  <c r="V459" i="24"/>
  <c r="U459" i="24"/>
  <c r="T459" i="24"/>
  <c r="S459" i="24"/>
  <c r="R459" i="24"/>
  <c r="Q459" i="24"/>
  <c r="P459" i="24"/>
  <c r="O459" i="24"/>
  <c r="N459" i="24"/>
  <c r="M459" i="24"/>
  <c r="L459" i="24"/>
  <c r="K459" i="24"/>
  <c r="J459" i="24"/>
  <c r="I459" i="24"/>
  <c r="H459" i="24"/>
  <c r="BA458" i="24"/>
  <c r="AZ458" i="24"/>
  <c r="AY458" i="24"/>
  <c r="AX458" i="24"/>
  <c r="AW458" i="24"/>
  <c r="AV458" i="24"/>
  <c r="AU458" i="24"/>
  <c r="AT458" i="24"/>
  <c r="AS458" i="24"/>
  <c r="AR458" i="24"/>
  <c r="AQ458" i="24"/>
  <c r="AP458" i="24"/>
  <c r="AO458" i="24"/>
  <c r="AN458" i="24"/>
  <c r="AM458" i="24"/>
  <c r="AL458" i="24"/>
  <c r="AK458" i="24"/>
  <c r="AJ458" i="24"/>
  <c r="AI458" i="24"/>
  <c r="AH458" i="24"/>
  <c r="AG458" i="24"/>
  <c r="AF458" i="24"/>
  <c r="AE458" i="24"/>
  <c r="AD458" i="24"/>
  <c r="AC458" i="24"/>
  <c r="AB458" i="24"/>
  <c r="AA458" i="24"/>
  <c r="Z458" i="24"/>
  <c r="Y458" i="24"/>
  <c r="X458" i="24"/>
  <c r="W458" i="24"/>
  <c r="V458" i="24"/>
  <c r="U458" i="24"/>
  <c r="T458" i="24"/>
  <c r="S458" i="24"/>
  <c r="R458" i="24"/>
  <c r="Q458" i="24"/>
  <c r="P458" i="24"/>
  <c r="O458" i="24"/>
  <c r="N458" i="24"/>
  <c r="M458" i="24"/>
  <c r="L458" i="24"/>
  <c r="K458" i="24"/>
  <c r="J458" i="24"/>
  <c r="I458" i="24"/>
  <c r="H458" i="24"/>
  <c r="BA457" i="24"/>
  <c r="AZ457" i="24"/>
  <c r="AY457" i="24"/>
  <c r="AX457" i="24"/>
  <c r="AW457" i="24"/>
  <c r="AV457" i="24"/>
  <c r="AU457" i="24"/>
  <c r="AT457" i="24"/>
  <c r="AS457" i="24"/>
  <c r="AR457" i="24"/>
  <c r="AQ457" i="24"/>
  <c r="AP457" i="24"/>
  <c r="AO457" i="24"/>
  <c r="AN457" i="24"/>
  <c r="AM457" i="24"/>
  <c r="AL457" i="24"/>
  <c r="AK457" i="24"/>
  <c r="AJ457" i="24"/>
  <c r="AI457" i="24"/>
  <c r="AH457" i="24"/>
  <c r="AG457" i="24"/>
  <c r="AF457" i="24"/>
  <c r="AE457" i="24"/>
  <c r="AD457" i="24"/>
  <c r="AC457" i="24"/>
  <c r="AB457" i="24"/>
  <c r="AA457" i="24"/>
  <c r="Z457" i="24"/>
  <c r="Y457" i="24"/>
  <c r="X457" i="24"/>
  <c r="W457" i="24"/>
  <c r="V457" i="24"/>
  <c r="U457" i="24"/>
  <c r="T457" i="24"/>
  <c r="S457" i="24"/>
  <c r="R457" i="24"/>
  <c r="Q457" i="24"/>
  <c r="P457" i="24"/>
  <c r="O457" i="24"/>
  <c r="N457" i="24"/>
  <c r="M457" i="24"/>
  <c r="L457" i="24"/>
  <c r="K457" i="24"/>
  <c r="J457" i="24"/>
  <c r="I457" i="24"/>
  <c r="H457" i="24"/>
  <c r="BA456" i="24"/>
  <c r="AZ456" i="24"/>
  <c r="AY456" i="24"/>
  <c r="AX456" i="24"/>
  <c r="AW456" i="24"/>
  <c r="AV456" i="24"/>
  <c r="AU456" i="24"/>
  <c r="AT456" i="24"/>
  <c r="AS456" i="24"/>
  <c r="AR456" i="24"/>
  <c r="AQ456" i="24"/>
  <c r="AP456" i="24"/>
  <c r="AO456" i="24"/>
  <c r="AN456" i="24"/>
  <c r="AM456" i="24"/>
  <c r="AL456" i="24"/>
  <c r="AK456" i="24"/>
  <c r="AJ456" i="24"/>
  <c r="AI456" i="24"/>
  <c r="AH456" i="24"/>
  <c r="AG456" i="24"/>
  <c r="AF456" i="24"/>
  <c r="AE456" i="24"/>
  <c r="AD456" i="24"/>
  <c r="AC456" i="24"/>
  <c r="AB456" i="24"/>
  <c r="AA456" i="24"/>
  <c r="Z456" i="24"/>
  <c r="Y456" i="24"/>
  <c r="X456" i="24"/>
  <c r="W456" i="24"/>
  <c r="V456" i="24"/>
  <c r="U456" i="24"/>
  <c r="T456" i="24"/>
  <c r="S456" i="24"/>
  <c r="R456" i="24"/>
  <c r="Q456" i="24"/>
  <c r="P456" i="24"/>
  <c r="O456" i="24"/>
  <c r="N456" i="24"/>
  <c r="M456" i="24"/>
  <c r="L456" i="24"/>
  <c r="K456" i="24"/>
  <c r="J456" i="24"/>
  <c r="I456" i="24"/>
  <c r="H456" i="24"/>
  <c r="BA455" i="24"/>
  <c r="AZ455" i="24"/>
  <c r="AY455" i="24"/>
  <c r="AX455" i="24"/>
  <c r="AW455" i="24"/>
  <c r="AV455" i="24"/>
  <c r="AU455" i="24"/>
  <c r="AT455" i="24"/>
  <c r="AS455" i="24"/>
  <c r="AR455" i="24"/>
  <c r="AQ455" i="24"/>
  <c r="AP455" i="24"/>
  <c r="AO455" i="24"/>
  <c r="AN455" i="24"/>
  <c r="AM455" i="24"/>
  <c r="AL455" i="24"/>
  <c r="AK455" i="24"/>
  <c r="AJ455" i="24"/>
  <c r="AI455" i="24"/>
  <c r="AH455" i="24"/>
  <c r="AG455" i="24"/>
  <c r="AF455" i="24"/>
  <c r="AE455" i="24"/>
  <c r="AD455" i="24"/>
  <c r="AC455" i="24"/>
  <c r="AB455" i="24"/>
  <c r="AA455" i="24"/>
  <c r="Z455" i="24"/>
  <c r="Y455" i="24"/>
  <c r="X455" i="24"/>
  <c r="W455" i="24"/>
  <c r="V455" i="24"/>
  <c r="U455" i="24"/>
  <c r="T455" i="24"/>
  <c r="S455" i="24"/>
  <c r="R455" i="24"/>
  <c r="Q455" i="24"/>
  <c r="P455" i="24"/>
  <c r="O455" i="24"/>
  <c r="N455" i="24"/>
  <c r="M455" i="24"/>
  <c r="L455" i="24"/>
  <c r="K455" i="24"/>
  <c r="J455" i="24"/>
  <c r="I455" i="24"/>
  <c r="H455" i="24"/>
  <c r="BA454" i="24"/>
  <c r="AZ454" i="24"/>
  <c r="AY454" i="24"/>
  <c r="AX454" i="24"/>
  <c r="AW454" i="24"/>
  <c r="AV454" i="24"/>
  <c r="AU454" i="24"/>
  <c r="AT454" i="24"/>
  <c r="AS454" i="24"/>
  <c r="AR454" i="24"/>
  <c r="AQ454" i="24"/>
  <c r="AP454" i="24"/>
  <c r="AO454" i="24"/>
  <c r="AN454" i="24"/>
  <c r="AM454" i="24"/>
  <c r="AL454" i="24"/>
  <c r="AK454" i="24"/>
  <c r="AJ454" i="24"/>
  <c r="AI454" i="24"/>
  <c r="AH454" i="24"/>
  <c r="AG454" i="24"/>
  <c r="AF454" i="24"/>
  <c r="AE454" i="24"/>
  <c r="AD454" i="24"/>
  <c r="AC454" i="24"/>
  <c r="AB454" i="24"/>
  <c r="AA454" i="24"/>
  <c r="Z454" i="24"/>
  <c r="Y454" i="24"/>
  <c r="X454" i="24"/>
  <c r="W454" i="24"/>
  <c r="V454" i="24"/>
  <c r="U454" i="24"/>
  <c r="T454" i="24"/>
  <c r="S454" i="24"/>
  <c r="R454" i="24"/>
  <c r="Q454" i="24"/>
  <c r="P454" i="24"/>
  <c r="O454" i="24"/>
  <c r="N454" i="24"/>
  <c r="M454" i="24"/>
  <c r="L454" i="24"/>
  <c r="K454" i="24"/>
  <c r="J454" i="24"/>
  <c r="I454" i="24"/>
  <c r="H454" i="24"/>
  <c r="BA453" i="24"/>
  <c r="AZ453" i="24"/>
  <c r="AY453" i="24"/>
  <c r="AX453" i="24"/>
  <c r="AW453" i="24"/>
  <c r="AV453" i="24"/>
  <c r="AU453" i="24"/>
  <c r="AT453" i="24"/>
  <c r="AS453" i="24"/>
  <c r="AR453" i="24"/>
  <c r="AQ453" i="24"/>
  <c r="AP453" i="24"/>
  <c r="AO453" i="24"/>
  <c r="AN453" i="24"/>
  <c r="AM453" i="24"/>
  <c r="AL453" i="24"/>
  <c r="AK453" i="24"/>
  <c r="AJ453" i="24"/>
  <c r="AI453" i="24"/>
  <c r="AH453" i="24"/>
  <c r="AG453" i="24"/>
  <c r="AF453" i="24"/>
  <c r="AE453" i="24"/>
  <c r="AD453" i="24"/>
  <c r="AC453" i="24"/>
  <c r="AB453" i="24"/>
  <c r="AA453" i="24"/>
  <c r="Z453" i="24"/>
  <c r="Y453" i="24"/>
  <c r="X453" i="24"/>
  <c r="W453" i="24"/>
  <c r="V453" i="24"/>
  <c r="U453" i="24"/>
  <c r="T453" i="24"/>
  <c r="S453" i="24"/>
  <c r="R453" i="24"/>
  <c r="Q453" i="24"/>
  <c r="P453" i="24"/>
  <c r="O453" i="24"/>
  <c r="N453" i="24"/>
  <c r="M453" i="24"/>
  <c r="L453" i="24"/>
  <c r="K453" i="24"/>
  <c r="J453" i="24"/>
  <c r="I453" i="24"/>
  <c r="H453" i="24"/>
  <c r="BA452" i="24"/>
  <c r="AZ452" i="24"/>
  <c r="AY452" i="24"/>
  <c r="AX452" i="24"/>
  <c r="AW452" i="24"/>
  <c r="AV452" i="24"/>
  <c r="AU452" i="24"/>
  <c r="AT452" i="24"/>
  <c r="AS452" i="24"/>
  <c r="AR452" i="24"/>
  <c r="AQ452" i="24"/>
  <c r="AP452" i="24"/>
  <c r="AO452" i="24"/>
  <c r="AN452" i="24"/>
  <c r="AM452" i="24"/>
  <c r="AL452" i="24"/>
  <c r="AK452" i="24"/>
  <c r="AJ452" i="24"/>
  <c r="AI452" i="24"/>
  <c r="AH452" i="24"/>
  <c r="AG452" i="24"/>
  <c r="AF452" i="24"/>
  <c r="AE452" i="24"/>
  <c r="AD452" i="24"/>
  <c r="AC452" i="24"/>
  <c r="AB452" i="24"/>
  <c r="AA452" i="24"/>
  <c r="Z452" i="24"/>
  <c r="Y452" i="24"/>
  <c r="X452" i="24"/>
  <c r="W452" i="24"/>
  <c r="V452" i="24"/>
  <c r="U452" i="24"/>
  <c r="T452" i="24"/>
  <c r="S452" i="24"/>
  <c r="R452" i="24"/>
  <c r="Q452" i="24"/>
  <c r="P452" i="24"/>
  <c r="O452" i="24"/>
  <c r="N452" i="24"/>
  <c r="M452" i="24"/>
  <c r="L452" i="24"/>
  <c r="K452" i="24"/>
  <c r="J452" i="24"/>
  <c r="I452" i="24"/>
  <c r="H452" i="24"/>
  <c r="BA451" i="24"/>
  <c r="AZ451" i="24"/>
  <c r="AY451" i="24"/>
  <c r="AX451" i="24"/>
  <c r="AW451" i="24"/>
  <c r="AV451" i="24"/>
  <c r="AU451" i="24"/>
  <c r="AT451" i="24"/>
  <c r="AS451" i="24"/>
  <c r="AR451" i="24"/>
  <c r="AQ451" i="24"/>
  <c r="AP451" i="24"/>
  <c r="AO451" i="24"/>
  <c r="AN451" i="24"/>
  <c r="AM451" i="24"/>
  <c r="AL451" i="24"/>
  <c r="AK451" i="24"/>
  <c r="AJ451" i="24"/>
  <c r="AI451" i="24"/>
  <c r="AH451" i="24"/>
  <c r="AG451" i="24"/>
  <c r="AF451" i="24"/>
  <c r="AE451" i="24"/>
  <c r="AD451" i="24"/>
  <c r="AC451" i="24"/>
  <c r="AB451" i="24"/>
  <c r="AA451" i="24"/>
  <c r="Z451" i="24"/>
  <c r="Y451" i="24"/>
  <c r="X451" i="24"/>
  <c r="W451" i="24"/>
  <c r="V451" i="24"/>
  <c r="U451" i="24"/>
  <c r="T451" i="24"/>
  <c r="S451" i="24"/>
  <c r="R451" i="24"/>
  <c r="Q451" i="24"/>
  <c r="P451" i="24"/>
  <c r="O451" i="24"/>
  <c r="N451" i="24"/>
  <c r="M451" i="24"/>
  <c r="L451" i="24"/>
  <c r="K451" i="24"/>
  <c r="J451" i="24"/>
  <c r="I451" i="24"/>
  <c r="H451" i="24"/>
  <c r="BA450" i="24"/>
  <c r="AZ450" i="24"/>
  <c r="AY450" i="24"/>
  <c r="AX450" i="24"/>
  <c r="AW450" i="24"/>
  <c r="AV450" i="24"/>
  <c r="AU450" i="24"/>
  <c r="AT450" i="24"/>
  <c r="AS450" i="24"/>
  <c r="AR450" i="24"/>
  <c r="AQ450" i="24"/>
  <c r="AP450" i="24"/>
  <c r="AO450" i="24"/>
  <c r="AN450" i="24"/>
  <c r="AM450" i="24"/>
  <c r="AL450" i="24"/>
  <c r="AK450" i="24"/>
  <c r="AJ450" i="24"/>
  <c r="AI450" i="24"/>
  <c r="AH450" i="24"/>
  <c r="AG450" i="24"/>
  <c r="AF450" i="24"/>
  <c r="AE450" i="24"/>
  <c r="AD450" i="24"/>
  <c r="AC450" i="24"/>
  <c r="AB450" i="24"/>
  <c r="AA450" i="24"/>
  <c r="Z450" i="24"/>
  <c r="Y450" i="24"/>
  <c r="X450" i="24"/>
  <c r="W450" i="24"/>
  <c r="V450" i="24"/>
  <c r="U450" i="24"/>
  <c r="T450" i="24"/>
  <c r="S450" i="24"/>
  <c r="R450" i="24"/>
  <c r="Q450" i="24"/>
  <c r="P450" i="24"/>
  <c r="O450" i="24"/>
  <c r="N450" i="24"/>
  <c r="M450" i="24"/>
  <c r="L450" i="24"/>
  <c r="K450" i="24"/>
  <c r="J450" i="24"/>
  <c r="I450" i="24"/>
  <c r="H450" i="24"/>
  <c r="BA449" i="24"/>
  <c r="AZ449" i="24"/>
  <c r="AY449" i="24"/>
  <c r="AX449" i="24"/>
  <c r="AW449" i="24"/>
  <c r="AV449" i="24"/>
  <c r="AU449" i="24"/>
  <c r="AT449" i="24"/>
  <c r="AS449" i="24"/>
  <c r="AR449" i="24"/>
  <c r="AQ449" i="24"/>
  <c r="AP449" i="24"/>
  <c r="AO449" i="24"/>
  <c r="AN449" i="24"/>
  <c r="AM449" i="24"/>
  <c r="AL449" i="24"/>
  <c r="AK449" i="24"/>
  <c r="AJ449" i="24"/>
  <c r="AI449" i="24"/>
  <c r="AH449" i="24"/>
  <c r="AG449" i="24"/>
  <c r="AF449" i="24"/>
  <c r="AE449" i="24"/>
  <c r="AD449" i="24"/>
  <c r="AC449" i="24"/>
  <c r="AB449" i="24"/>
  <c r="AA449" i="24"/>
  <c r="Z449" i="24"/>
  <c r="Y449" i="24"/>
  <c r="X449" i="24"/>
  <c r="W449" i="24"/>
  <c r="V449" i="24"/>
  <c r="U449" i="24"/>
  <c r="T449" i="24"/>
  <c r="S449" i="24"/>
  <c r="R449" i="24"/>
  <c r="Q449" i="24"/>
  <c r="P449" i="24"/>
  <c r="O449" i="24"/>
  <c r="N449" i="24"/>
  <c r="M449" i="24"/>
  <c r="L449" i="24"/>
  <c r="K449" i="24"/>
  <c r="J449" i="24"/>
  <c r="I449" i="24"/>
  <c r="H449" i="24"/>
  <c r="BA448" i="24"/>
  <c r="AZ448" i="24"/>
  <c r="AY448" i="24"/>
  <c r="AX448" i="24"/>
  <c r="AW448" i="24"/>
  <c r="AV448" i="24"/>
  <c r="AU448" i="24"/>
  <c r="AT448" i="24"/>
  <c r="AS448" i="24"/>
  <c r="AR448" i="24"/>
  <c r="AQ448" i="24"/>
  <c r="AP448" i="24"/>
  <c r="AO448" i="24"/>
  <c r="AN448" i="24"/>
  <c r="AM448" i="24"/>
  <c r="AL448" i="24"/>
  <c r="AK448" i="24"/>
  <c r="AJ448" i="24"/>
  <c r="AI448" i="24"/>
  <c r="AH448" i="24"/>
  <c r="AG448" i="24"/>
  <c r="AF448" i="24"/>
  <c r="AE448" i="24"/>
  <c r="AD448" i="24"/>
  <c r="AC448" i="24"/>
  <c r="AB448" i="24"/>
  <c r="AA448" i="24"/>
  <c r="Z448" i="24"/>
  <c r="Y448" i="24"/>
  <c r="X448" i="24"/>
  <c r="W448" i="24"/>
  <c r="V448" i="24"/>
  <c r="U448" i="24"/>
  <c r="T448" i="24"/>
  <c r="S448" i="24"/>
  <c r="R448" i="24"/>
  <c r="Q448" i="24"/>
  <c r="P448" i="24"/>
  <c r="O448" i="24"/>
  <c r="N448" i="24"/>
  <c r="M448" i="24"/>
  <c r="L448" i="24"/>
  <c r="K448" i="24"/>
  <c r="J448" i="24"/>
  <c r="I448" i="24"/>
  <c r="H448" i="24"/>
  <c r="BA447" i="24"/>
  <c r="AZ447" i="24"/>
  <c r="AY447" i="24"/>
  <c r="AX447" i="24"/>
  <c r="AW447" i="24"/>
  <c r="AV447" i="24"/>
  <c r="AU447" i="24"/>
  <c r="AT447" i="24"/>
  <c r="AS447" i="24"/>
  <c r="AR447" i="24"/>
  <c r="AQ447" i="24"/>
  <c r="AP447" i="24"/>
  <c r="AO447" i="24"/>
  <c r="AN447" i="24"/>
  <c r="AM447" i="24"/>
  <c r="AL447" i="24"/>
  <c r="AK447" i="24"/>
  <c r="AJ447" i="24"/>
  <c r="AI447" i="24"/>
  <c r="AH447" i="24"/>
  <c r="AG447" i="24"/>
  <c r="AF447" i="24"/>
  <c r="AE447" i="24"/>
  <c r="AD447" i="24"/>
  <c r="AC447" i="24"/>
  <c r="AB447" i="24"/>
  <c r="AA447" i="24"/>
  <c r="Z447" i="24"/>
  <c r="Y447" i="24"/>
  <c r="X447" i="24"/>
  <c r="W447" i="24"/>
  <c r="V447" i="24"/>
  <c r="U447" i="24"/>
  <c r="T447" i="24"/>
  <c r="S447" i="24"/>
  <c r="R447" i="24"/>
  <c r="Q447" i="24"/>
  <c r="P447" i="24"/>
  <c r="O447" i="24"/>
  <c r="N447" i="24"/>
  <c r="M447" i="24"/>
  <c r="L447" i="24"/>
  <c r="K447" i="24"/>
  <c r="J447" i="24"/>
  <c r="I447" i="24"/>
  <c r="H447" i="24"/>
  <c r="BA446" i="24"/>
  <c r="AZ446" i="24"/>
  <c r="AY446" i="24"/>
  <c r="AX446" i="24"/>
  <c r="AW446" i="24"/>
  <c r="AV446" i="24"/>
  <c r="AU446" i="24"/>
  <c r="AT446" i="24"/>
  <c r="AS446" i="24"/>
  <c r="AR446" i="24"/>
  <c r="AQ446" i="24"/>
  <c r="AP446" i="24"/>
  <c r="AO446" i="24"/>
  <c r="AN446" i="24"/>
  <c r="AM446" i="24"/>
  <c r="AL446" i="24"/>
  <c r="AK446" i="24"/>
  <c r="AJ446" i="24"/>
  <c r="AI446" i="24"/>
  <c r="AH446" i="24"/>
  <c r="AG446" i="24"/>
  <c r="AF446" i="24"/>
  <c r="AE446" i="24"/>
  <c r="AD446" i="24"/>
  <c r="AC446" i="24"/>
  <c r="AB446" i="24"/>
  <c r="AA446" i="24"/>
  <c r="Z446" i="24"/>
  <c r="Y446" i="24"/>
  <c r="X446" i="24"/>
  <c r="W446" i="24"/>
  <c r="V446" i="24"/>
  <c r="U446" i="24"/>
  <c r="T446" i="24"/>
  <c r="S446" i="24"/>
  <c r="R446" i="24"/>
  <c r="Q446" i="24"/>
  <c r="P446" i="24"/>
  <c r="O446" i="24"/>
  <c r="N446" i="24"/>
  <c r="M446" i="24"/>
  <c r="L446" i="24"/>
  <c r="K446" i="24"/>
  <c r="J446" i="24"/>
  <c r="I446" i="24"/>
  <c r="H446" i="24"/>
  <c r="BA445" i="24"/>
  <c r="AZ445" i="24"/>
  <c r="AY445" i="24"/>
  <c r="AX445" i="24"/>
  <c r="AW445" i="24"/>
  <c r="AV445" i="24"/>
  <c r="AU445" i="24"/>
  <c r="AT445" i="24"/>
  <c r="AS445" i="24"/>
  <c r="AR445" i="24"/>
  <c r="AQ445" i="24"/>
  <c r="AP445" i="24"/>
  <c r="AO445" i="24"/>
  <c r="AN445" i="24"/>
  <c r="AM445" i="24"/>
  <c r="AL445" i="24"/>
  <c r="AK445" i="24"/>
  <c r="AJ445" i="24"/>
  <c r="AI445" i="24"/>
  <c r="AH445" i="24"/>
  <c r="AG445" i="24"/>
  <c r="AF445" i="24"/>
  <c r="AE445" i="24"/>
  <c r="AD445" i="24"/>
  <c r="AC445" i="24"/>
  <c r="AB445" i="24"/>
  <c r="AA445" i="24"/>
  <c r="Z445" i="24"/>
  <c r="Y445" i="24"/>
  <c r="X445" i="24"/>
  <c r="W445" i="24"/>
  <c r="V445" i="24"/>
  <c r="U445" i="24"/>
  <c r="T445" i="24"/>
  <c r="S445" i="24"/>
  <c r="R445" i="24"/>
  <c r="Q445" i="24"/>
  <c r="P445" i="24"/>
  <c r="O445" i="24"/>
  <c r="N445" i="24"/>
  <c r="M445" i="24"/>
  <c r="L445" i="24"/>
  <c r="K445" i="24"/>
  <c r="J445" i="24"/>
  <c r="I445" i="24"/>
  <c r="H445" i="24"/>
  <c r="BA444" i="24"/>
  <c r="AZ444" i="24"/>
  <c r="AY444" i="24"/>
  <c r="AX444" i="24"/>
  <c r="AW444" i="24"/>
  <c r="AV444" i="24"/>
  <c r="AU444" i="24"/>
  <c r="AT444" i="24"/>
  <c r="AS444" i="24"/>
  <c r="AR444" i="24"/>
  <c r="AQ444" i="24"/>
  <c r="AP444" i="24"/>
  <c r="AO444" i="24"/>
  <c r="AN444" i="24"/>
  <c r="AM444" i="24"/>
  <c r="AL444" i="24"/>
  <c r="AK444" i="24"/>
  <c r="AJ444" i="24"/>
  <c r="AI444" i="24"/>
  <c r="AH444" i="24"/>
  <c r="AG444" i="24"/>
  <c r="AF444" i="24"/>
  <c r="AE444" i="24"/>
  <c r="AD444" i="24"/>
  <c r="AC444" i="24"/>
  <c r="AB444" i="24"/>
  <c r="AA444" i="24"/>
  <c r="Z444" i="24"/>
  <c r="Y444" i="24"/>
  <c r="X444" i="24"/>
  <c r="W444" i="24"/>
  <c r="V444" i="24"/>
  <c r="U444" i="24"/>
  <c r="T444" i="24"/>
  <c r="S444" i="24"/>
  <c r="R444" i="24"/>
  <c r="Q444" i="24"/>
  <c r="P444" i="24"/>
  <c r="O444" i="24"/>
  <c r="N444" i="24"/>
  <c r="M444" i="24"/>
  <c r="L444" i="24"/>
  <c r="K444" i="24"/>
  <c r="J444" i="24"/>
  <c r="I444" i="24"/>
  <c r="H444" i="24"/>
  <c r="BA443" i="24"/>
  <c r="AZ443" i="24"/>
  <c r="AY443" i="24"/>
  <c r="AX443" i="24"/>
  <c r="AW443" i="24"/>
  <c r="AV443" i="24"/>
  <c r="AU443" i="24"/>
  <c r="AT443" i="24"/>
  <c r="AS443" i="24"/>
  <c r="AR443" i="24"/>
  <c r="AQ443" i="24"/>
  <c r="AP443" i="24"/>
  <c r="AO443" i="24"/>
  <c r="AN443" i="24"/>
  <c r="AM443" i="24"/>
  <c r="AL443" i="24"/>
  <c r="AK443" i="24"/>
  <c r="AJ443" i="24"/>
  <c r="AI443" i="24"/>
  <c r="AH443" i="24"/>
  <c r="AG443" i="24"/>
  <c r="AF443" i="24"/>
  <c r="AE443" i="24"/>
  <c r="AD443" i="24"/>
  <c r="AC443" i="24"/>
  <c r="AB443" i="24"/>
  <c r="AA443" i="24"/>
  <c r="Z443" i="24"/>
  <c r="Y443" i="24"/>
  <c r="X443" i="24"/>
  <c r="W443" i="24"/>
  <c r="V443" i="24"/>
  <c r="U443" i="24"/>
  <c r="T443" i="24"/>
  <c r="S443" i="24"/>
  <c r="R443" i="24"/>
  <c r="Q443" i="24"/>
  <c r="P443" i="24"/>
  <c r="O443" i="24"/>
  <c r="N443" i="24"/>
  <c r="M443" i="24"/>
  <c r="L443" i="24"/>
  <c r="K443" i="24"/>
  <c r="J443" i="24"/>
  <c r="I443" i="24"/>
  <c r="H443" i="24"/>
  <c r="BA442" i="24"/>
  <c r="AZ442" i="24"/>
  <c r="AY442" i="24"/>
  <c r="AX442" i="24"/>
  <c r="AW442" i="24"/>
  <c r="AV442" i="24"/>
  <c r="AU442" i="24"/>
  <c r="AT442" i="24"/>
  <c r="AS442" i="24"/>
  <c r="AR442" i="24"/>
  <c r="AQ442" i="24"/>
  <c r="AP442" i="24"/>
  <c r="AO442" i="24"/>
  <c r="AN442" i="24"/>
  <c r="AM442" i="24"/>
  <c r="AL442" i="24"/>
  <c r="AK442" i="24"/>
  <c r="AJ442" i="24"/>
  <c r="AI442" i="24"/>
  <c r="AH442" i="24"/>
  <c r="AG442" i="24"/>
  <c r="AF442" i="24"/>
  <c r="AE442" i="24"/>
  <c r="AD442" i="24"/>
  <c r="AC442" i="24"/>
  <c r="AB442" i="24"/>
  <c r="AA442" i="24"/>
  <c r="Z442" i="24"/>
  <c r="Y442" i="24"/>
  <c r="X442" i="24"/>
  <c r="W442" i="24"/>
  <c r="V442" i="24"/>
  <c r="U442" i="24"/>
  <c r="T442" i="24"/>
  <c r="S442" i="24"/>
  <c r="R442" i="24"/>
  <c r="Q442" i="24"/>
  <c r="P442" i="24"/>
  <c r="O442" i="24"/>
  <c r="N442" i="24"/>
  <c r="M442" i="24"/>
  <c r="L442" i="24"/>
  <c r="K442" i="24"/>
  <c r="J442" i="24"/>
  <c r="I442" i="24"/>
  <c r="H442" i="24"/>
  <c r="BA441" i="24"/>
  <c r="AZ441" i="24"/>
  <c r="AY441" i="24"/>
  <c r="AX441" i="24"/>
  <c r="AW441" i="24"/>
  <c r="AV441" i="24"/>
  <c r="AU441" i="24"/>
  <c r="AT441" i="24"/>
  <c r="AS441" i="24"/>
  <c r="AR441" i="24"/>
  <c r="AQ441" i="24"/>
  <c r="AP441" i="24"/>
  <c r="AO441" i="24"/>
  <c r="AN441" i="24"/>
  <c r="AM441" i="24"/>
  <c r="AL441" i="24"/>
  <c r="AK441" i="24"/>
  <c r="AJ441" i="24"/>
  <c r="AI441" i="24"/>
  <c r="AH441" i="24"/>
  <c r="AG441" i="24"/>
  <c r="AF441" i="24"/>
  <c r="AE441" i="24"/>
  <c r="AD441" i="24"/>
  <c r="AC441" i="24"/>
  <c r="AB441" i="24"/>
  <c r="AA441" i="24"/>
  <c r="Z441" i="24"/>
  <c r="Y441" i="24"/>
  <c r="X441" i="24"/>
  <c r="W441" i="24"/>
  <c r="V441" i="24"/>
  <c r="U441" i="24"/>
  <c r="T441" i="24"/>
  <c r="S441" i="24"/>
  <c r="R441" i="24"/>
  <c r="Q441" i="24"/>
  <c r="P441" i="24"/>
  <c r="O441" i="24"/>
  <c r="N441" i="24"/>
  <c r="M441" i="24"/>
  <c r="L441" i="24"/>
  <c r="K441" i="24"/>
  <c r="J441" i="24"/>
  <c r="I441" i="24"/>
  <c r="H441" i="24"/>
  <c r="BA440" i="24"/>
  <c r="AZ440" i="24"/>
  <c r="AY440" i="24"/>
  <c r="AX440" i="24"/>
  <c r="AW440" i="24"/>
  <c r="AV440" i="24"/>
  <c r="AU440" i="24"/>
  <c r="AT440" i="24"/>
  <c r="AS440" i="24"/>
  <c r="AR440" i="24"/>
  <c r="AQ440" i="24"/>
  <c r="AP440" i="24"/>
  <c r="AO440" i="24"/>
  <c r="AN440" i="24"/>
  <c r="AM440" i="24"/>
  <c r="AL440" i="24"/>
  <c r="AK440" i="24"/>
  <c r="AJ440" i="24"/>
  <c r="AI440" i="24"/>
  <c r="AH440" i="24"/>
  <c r="AG440" i="24"/>
  <c r="AF440" i="24"/>
  <c r="AE440" i="24"/>
  <c r="AD440" i="24"/>
  <c r="AC440" i="24"/>
  <c r="AB440" i="24"/>
  <c r="AA440" i="24"/>
  <c r="Z440" i="24"/>
  <c r="Y440" i="24"/>
  <c r="X440" i="24"/>
  <c r="W440" i="24"/>
  <c r="V440" i="24"/>
  <c r="U440" i="24"/>
  <c r="T440" i="24"/>
  <c r="S440" i="24"/>
  <c r="R440" i="24"/>
  <c r="Q440" i="24"/>
  <c r="P440" i="24"/>
  <c r="O440" i="24"/>
  <c r="N440" i="24"/>
  <c r="M440" i="24"/>
  <c r="L440" i="24"/>
  <c r="K440" i="24"/>
  <c r="J440" i="24"/>
  <c r="I440" i="24"/>
  <c r="H440" i="24"/>
  <c r="BA439" i="24"/>
  <c r="AZ439" i="24"/>
  <c r="AY439" i="24"/>
  <c r="AX439" i="24"/>
  <c r="AW439" i="24"/>
  <c r="AV439" i="24"/>
  <c r="AU439" i="24"/>
  <c r="AT439" i="24"/>
  <c r="AS439" i="24"/>
  <c r="AR439" i="24"/>
  <c r="AQ439" i="24"/>
  <c r="AP439" i="24"/>
  <c r="AO439" i="24"/>
  <c r="AN439" i="24"/>
  <c r="AM439" i="24"/>
  <c r="AL439" i="24"/>
  <c r="AK439" i="24"/>
  <c r="AJ439" i="24"/>
  <c r="AI439" i="24"/>
  <c r="AH439" i="24"/>
  <c r="AG439" i="24"/>
  <c r="AF439" i="24"/>
  <c r="AE439" i="24"/>
  <c r="AD439" i="24"/>
  <c r="AC439" i="24"/>
  <c r="AB439" i="24"/>
  <c r="AA439" i="24"/>
  <c r="Z439" i="24"/>
  <c r="Y439" i="24"/>
  <c r="X439" i="24"/>
  <c r="W439" i="24"/>
  <c r="V439" i="24"/>
  <c r="U439" i="24"/>
  <c r="T439" i="24"/>
  <c r="S439" i="24"/>
  <c r="R439" i="24"/>
  <c r="Q439" i="24"/>
  <c r="P439" i="24"/>
  <c r="O439" i="24"/>
  <c r="N439" i="24"/>
  <c r="M439" i="24"/>
  <c r="L439" i="24"/>
  <c r="K439" i="24"/>
  <c r="J439" i="24"/>
  <c r="I439" i="24"/>
  <c r="H439" i="24"/>
  <c r="BA438" i="24"/>
  <c r="AZ438" i="24"/>
  <c r="AY438" i="24"/>
  <c r="AX438" i="24"/>
  <c r="AW438" i="24"/>
  <c r="AV438" i="24"/>
  <c r="AU438" i="24"/>
  <c r="AT438" i="24"/>
  <c r="AS438" i="24"/>
  <c r="AR438" i="24"/>
  <c r="AQ438" i="24"/>
  <c r="AP438" i="24"/>
  <c r="AO438" i="24"/>
  <c r="AN438" i="24"/>
  <c r="AM438" i="24"/>
  <c r="AL438" i="24"/>
  <c r="AK438" i="24"/>
  <c r="AJ438" i="24"/>
  <c r="AI438" i="24"/>
  <c r="AH438" i="24"/>
  <c r="AG438" i="24"/>
  <c r="AF438" i="24"/>
  <c r="AE438" i="24"/>
  <c r="AD438" i="24"/>
  <c r="AC438" i="24"/>
  <c r="AB438" i="24"/>
  <c r="AA438" i="24"/>
  <c r="Z438" i="24"/>
  <c r="Y438" i="24"/>
  <c r="X438" i="24"/>
  <c r="W438" i="24"/>
  <c r="V438" i="24"/>
  <c r="U438" i="24"/>
  <c r="T438" i="24"/>
  <c r="S438" i="24"/>
  <c r="R438" i="24"/>
  <c r="Q438" i="24"/>
  <c r="P438" i="24"/>
  <c r="O438" i="24"/>
  <c r="N438" i="24"/>
  <c r="M438" i="24"/>
  <c r="L438" i="24"/>
  <c r="K438" i="24"/>
  <c r="J438" i="24"/>
  <c r="I438" i="24"/>
  <c r="H438" i="24"/>
  <c r="BA437" i="24"/>
  <c r="AZ437" i="24"/>
  <c r="AY437" i="24"/>
  <c r="AX437" i="24"/>
  <c r="AW437" i="24"/>
  <c r="AV437" i="24"/>
  <c r="AU437" i="24"/>
  <c r="AT437" i="24"/>
  <c r="AS437" i="24"/>
  <c r="AR437" i="24"/>
  <c r="AQ437" i="24"/>
  <c r="AP437" i="24"/>
  <c r="AO437" i="24"/>
  <c r="AN437" i="24"/>
  <c r="AM437" i="24"/>
  <c r="AL437" i="24"/>
  <c r="AK437" i="24"/>
  <c r="AJ437" i="24"/>
  <c r="AI437" i="24"/>
  <c r="AH437" i="24"/>
  <c r="AG437" i="24"/>
  <c r="AF437" i="24"/>
  <c r="AE437" i="24"/>
  <c r="AD437" i="24"/>
  <c r="AC437" i="24"/>
  <c r="AB437" i="24"/>
  <c r="AA437" i="24"/>
  <c r="Z437" i="24"/>
  <c r="Y437" i="24"/>
  <c r="X437" i="24"/>
  <c r="W437" i="24"/>
  <c r="V437" i="24"/>
  <c r="U437" i="24"/>
  <c r="T437" i="24"/>
  <c r="S437" i="24"/>
  <c r="R437" i="24"/>
  <c r="Q437" i="24"/>
  <c r="P437" i="24"/>
  <c r="O437" i="24"/>
  <c r="N437" i="24"/>
  <c r="M437" i="24"/>
  <c r="L437" i="24"/>
  <c r="K437" i="24"/>
  <c r="J437" i="24"/>
  <c r="I437" i="24"/>
  <c r="H437" i="24"/>
  <c r="BA436" i="24"/>
  <c r="AZ436" i="24"/>
  <c r="AY436" i="24"/>
  <c r="AX436" i="24"/>
  <c r="AW436" i="24"/>
  <c r="AV436" i="24"/>
  <c r="AU436" i="24"/>
  <c r="AT436" i="24"/>
  <c r="AS436" i="24"/>
  <c r="AR436" i="24"/>
  <c r="AQ436" i="24"/>
  <c r="AP436" i="24"/>
  <c r="AO436" i="24"/>
  <c r="AN436" i="24"/>
  <c r="AM436" i="24"/>
  <c r="AL436" i="24"/>
  <c r="AK436" i="24"/>
  <c r="AJ436" i="24"/>
  <c r="AI436" i="24"/>
  <c r="AH436" i="24"/>
  <c r="AG436" i="24"/>
  <c r="AF436" i="24"/>
  <c r="AE436" i="24"/>
  <c r="AD436" i="24"/>
  <c r="AC436" i="24"/>
  <c r="AB436" i="24"/>
  <c r="AA436" i="24"/>
  <c r="Z436" i="24"/>
  <c r="Y436" i="24"/>
  <c r="X436" i="24"/>
  <c r="W436" i="24"/>
  <c r="V436" i="24"/>
  <c r="U436" i="24"/>
  <c r="T436" i="24"/>
  <c r="S436" i="24"/>
  <c r="R436" i="24"/>
  <c r="Q436" i="24"/>
  <c r="P436" i="24"/>
  <c r="O436" i="24"/>
  <c r="N436" i="24"/>
  <c r="M436" i="24"/>
  <c r="L436" i="24"/>
  <c r="K436" i="24"/>
  <c r="J436" i="24"/>
  <c r="I436" i="24"/>
  <c r="H436" i="24"/>
  <c r="BA435" i="24"/>
  <c r="AZ435" i="24"/>
  <c r="AY435" i="24"/>
  <c r="AX435" i="24"/>
  <c r="AW435" i="24"/>
  <c r="AV435" i="24"/>
  <c r="AU435" i="24"/>
  <c r="AT435" i="24"/>
  <c r="AS435" i="24"/>
  <c r="AR435" i="24"/>
  <c r="AQ435" i="24"/>
  <c r="AP435" i="24"/>
  <c r="AO435" i="24"/>
  <c r="AN435" i="24"/>
  <c r="AM435" i="24"/>
  <c r="AL435" i="24"/>
  <c r="AK435" i="24"/>
  <c r="AJ435" i="24"/>
  <c r="AI435" i="24"/>
  <c r="AH435" i="24"/>
  <c r="AG435" i="24"/>
  <c r="AF435" i="24"/>
  <c r="AE435" i="24"/>
  <c r="AD435" i="24"/>
  <c r="AC435" i="24"/>
  <c r="AB435" i="24"/>
  <c r="AA435" i="24"/>
  <c r="Z435" i="24"/>
  <c r="Y435" i="24"/>
  <c r="X435" i="24"/>
  <c r="W435" i="24"/>
  <c r="V435" i="24"/>
  <c r="U435" i="24"/>
  <c r="T435" i="24"/>
  <c r="S435" i="24"/>
  <c r="R435" i="24"/>
  <c r="Q435" i="24"/>
  <c r="P435" i="24"/>
  <c r="O435" i="24"/>
  <c r="N435" i="24"/>
  <c r="M435" i="24"/>
  <c r="L435" i="24"/>
  <c r="K435" i="24"/>
  <c r="J435" i="24"/>
  <c r="I435" i="24"/>
  <c r="H435" i="24"/>
  <c r="BA434" i="24"/>
  <c r="AZ434" i="24"/>
  <c r="AY434" i="24"/>
  <c r="AX434" i="24"/>
  <c r="AW434" i="24"/>
  <c r="AV434" i="24"/>
  <c r="AU434" i="24"/>
  <c r="AT434" i="24"/>
  <c r="AS434" i="24"/>
  <c r="AR434" i="24"/>
  <c r="AQ434" i="24"/>
  <c r="AP434" i="24"/>
  <c r="AO434" i="24"/>
  <c r="AN434" i="24"/>
  <c r="AM434" i="24"/>
  <c r="AL434" i="24"/>
  <c r="AK434" i="24"/>
  <c r="AJ434" i="24"/>
  <c r="AI434" i="24"/>
  <c r="AH434" i="24"/>
  <c r="AG434" i="24"/>
  <c r="AF434" i="24"/>
  <c r="AE434" i="24"/>
  <c r="AD434" i="24"/>
  <c r="AC434" i="24"/>
  <c r="AB434" i="24"/>
  <c r="AA434" i="24"/>
  <c r="Z434" i="24"/>
  <c r="Y434" i="24"/>
  <c r="X434" i="24"/>
  <c r="W434" i="24"/>
  <c r="V434" i="24"/>
  <c r="U434" i="24"/>
  <c r="T434" i="24"/>
  <c r="S434" i="24"/>
  <c r="R434" i="24"/>
  <c r="Q434" i="24"/>
  <c r="P434" i="24"/>
  <c r="O434" i="24"/>
  <c r="N434" i="24"/>
  <c r="M434" i="24"/>
  <c r="L434" i="24"/>
  <c r="K434" i="24"/>
  <c r="J434" i="24"/>
  <c r="I434" i="24"/>
  <c r="H434" i="24"/>
  <c r="BA433" i="24"/>
  <c r="AZ433" i="24"/>
  <c r="AY433" i="24"/>
  <c r="AX433" i="24"/>
  <c r="AW433" i="24"/>
  <c r="AV433" i="24"/>
  <c r="AU433" i="24"/>
  <c r="AT433" i="24"/>
  <c r="AS433" i="24"/>
  <c r="AR433" i="24"/>
  <c r="AQ433" i="24"/>
  <c r="AP433" i="24"/>
  <c r="AO433" i="24"/>
  <c r="AN433" i="24"/>
  <c r="AM433" i="24"/>
  <c r="AL433" i="24"/>
  <c r="AK433" i="24"/>
  <c r="AJ433" i="24"/>
  <c r="AI433" i="24"/>
  <c r="AH433" i="24"/>
  <c r="AG433" i="24"/>
  <c r="AF433" i="24"/>
  <c r="AE433" i="24"/>
  <c r="AD433" i="24"/>
  <c r="AC433" i="24"/>
  <c r="AB433" i="24"/>
  <c r="AA433" i="24"/>
  <c r="Z433" i="24"/>
  <c r="Y433" i="24"/>
  <c r="X433" i="24"/>
  <c r="W433" i="24"/>
  <c r="V433" i="24"/>
  <c r="U433" i="24"/>
  <c r="T433" i="24"/>
  <c r="S433" i="24"/>
  <c r="R433" i="24"/>
  <c r="Q433" i="24"/>
  <c r="P433" i="24"/>
  <c r="O433" i="24"/>
  <c r="N433" i="24"/>
  <c r="M433" i="24"/>
  <c r="L433" i="24"/>
  <c r="K433" i="24"/>
  <c r="J433" i="24"/>
  <c r="I433" i="24"/>
  <c r="H433" i="24"/>
  <c r="BA432" i="24"/>
  <c r="AZ432" i="24"/>
  <c r="AY432" i="24"/>
  <c r="AX432" i="24"/>
  <c r="AW432" i="24"/>
  <c r="AV432" i="24"/>
  <c r="AU432" i="24"/>
  <c r="AT432" i="24"/>
  <c r="AS432" i="24"/>
  <c r="AR432" i="24"/>
  <c r="AQ432" i="24"/>
  <c r="AP432" i="24"/>
  <c r="AO432" i="24"/>
  <c r="AN432" i="24"/>
  <c r="AM432" i="24"/>
  <c r="AL432" i="24"/>
  <c r="AK432" i="24"/>
  <c r="AJ432" i="24"/>
  <c r="AI432" i="24"/>
  <c r="AH432" i="24"/>
  <c r="AG432" i="24"/>
  <c r="AF432" i="24"/>
  <c r="AE432" i="24"/>
  <c r="AD432" i="24"/>
  <c r="AC432" i="24"/>
  <c r="AB432" i="24"/>
  <c r="AA432" i="24"/>
  <c r="Z432" i="24"/>
  <c r="Y432" i="24"/>
  <c r="X432" i="24"/>
  <c r="W432" i="24"/>
  <c r="V432" i="24"/>
  <c r="U432" i="24"/>
  <c r="T432" i="24"/>
  <c r="S432" i="24"/>
  <c r="R432" i="24"/>
  <c r="Q432" i="24"/>
  <c r="P432" i="24"/>
  <c r="O432" i="24"/>
  <c r="N432" i="24"/>
  <c r="M432" i="24"/>
  <c r="L432" i="24"/>
  <c r="K432" i="24"/>
  <c r="J432" i="24"/>
  <c r="I432" i="24"/>
  <c r="H432" i="24"/>
  <c r="BA431" i="24"/>
  <c r="AZ431" i="24"/>
  <c r="AY431" i="24"/>
  <c r="AX431" i="24"/>
  <c r="AW431" i="24"/>
  <c r="AV431" i="24"/>
  <c r="AU431" i="24"/>
  <c r="AT431" i="24"/>
  <c r="AS431" i="24"/>
  <c r="AR431" i="24"/>
  <c r="AQ431" i="24"/>
  <c r="AP431" i="24"/>
  <c r="AO431" i="24"/>
  <c r="AN431" i="24"/>
  <c r="AM431" i="24"/>
  <c r="AL431" i="24"/>
  <c r="AK431" i="24"/>
  <c r="AJ431" i="24"/>
  <c r="AI431" i="24"/>
  <c r="AH431" i="24"/>
  <c r="AG431" i="24"/>
  <c r="AF431" i="24"/>
  <c r="AE431" i="24"/>
  <c r="AD431" i="24"/>
  <c r="AC431" i="24"/>
  <c r="AB431" i="24"/>
  <c r="AA431" i="24"/>
  <c r="Z431" i="24"/>
  <c r="Y431" i="24"/>
  <c r="X431" i="24"/>
  <c r="W431" i="24"/>
  <c r="V431" i="24"/>
  <c r="U431" i="24"/>
  <c r="T431" i="24"/>
  <c r="S431" i="24"/>
  <c r="R431" i="24"/>
  <c r="Q431" i="24"/>
  <c r="P431" i="24"/>
  <c r="O431" i="24"/>
  <c r="N431" i="24"/>
  <c r="M431" i="24"/>
  <c r="L431" i="24"/>
  <c r="K431" i="24"/>
  <c r="J431" i="24"/>
  <c r="I431" i="24"/>
  <c r="H431" i="24"/>
  <c r="BA430" i="24"/>
  <c r="AZ430" i="24"/>
  <c r="AY430" i="24"/>
  <c r="AX430" i="24"/>
  <c r="AW430" i="24"/>
  <c r="AV430" i="24"/>
  <c r="AU430" i="24"/>
  <c r="AT430" i="24"/>
  <c r="AS430" i="24"/>
  <c r="AR430" i="24"/>
  <c r="AQ430" i="24"/>
  <c r="AP430" i="24"/>
  <c r="AO430" i="24"/>
  <c r="AN430" i="24"/>
  <c r="AM430" i="24"/>
  <c r="AL430" i="24"/>
  <c r="AK430" i="24"/>
  <c r="AJ430" i="24"/>
  <c r="AI430" i="24"/>
  <c r="AH430" i="24"/>
  <c r="AG430" i="24"/>
  <c r="AF430" i="24"/>
  <c r="AE430" i="24"/>
  <c r="AD430" i="24"/>
  <c r="AC430" i="24"/>
  <c r="AB430" i="24"/>
  <c r="AA430" i="24"/>
  <c r="Z430" i="24"/>
  <c r="Y430" i="24"/>
  <c r="X430" i="24"/>
  <c r="W430" i="24"/>
  <c r="V430" i="24"/>
  <c r="U430" i="24"/>
  <c r="T430" i="24"/>
  <c r="S430" i="24"/>
  <c r="R430" i="24"/>
  <c r="Q430" i="24"/>
  <c r="P430" i="24"/>
  <c r="O430" i="24"/>
  <c r="N430" i="24"/>
  <c r="M430" i="24"/>
  <c r="L430" i="24"/>
  <c r="K430" i="24"/>
  <c r="J430" i="24"/>
  <c r="I430" i="24"/>
  <c r="H430" i="24"/>
  <c r="BA429" i="24"/>
  <c r="AZ429" i="24"/>
  <c r="AY429" i="24"/>
  <c r="AX429" i="24"/>
  <c r="AW429" i="24"/>
  <c r="AV429" i="24"/>
  <c r="AU429" i="24"/>
  <c r="AT429" i="24"/>
  <c r="AS429" i="24"/>
  <c r="AR429" i="24"/>
  <c r="AQ429" i="24"/>
  <c r="AP429" i="24"/>
  <c r="AO429" i="24"/>
  <c r="AN429" i="24"/>
  <c r="AM429" i="24"/>
  <c r="AL429" i="24"/>
  <c r="AK429" i="24"/>
  <c r="AJ429" i="24"/>
  <c r="AI429" i="24"/>
  <c r="AH429" i="24"/>
  <c r="AG429" i="24"/>
  <c r="AF429" i="24"/>
  <c r="AE429" i="24"/>
  <c r="AD429" i="24"/>
  <c r="AC429" i="24"/>
  <c r="AB429" i="24"/>
  <c r="AA429" i="24"/>
  <c r="Z429" i="24"/>
  <c r="Y429" i="24"/>
  <c r="X429" i="24"/>
  <c r="W429" i="24"/>
  <c r="V429" i="24"/>
  <c r="U429" i="24"/>
  <c r="T429" i="24"/>
  <c r="S429" i="24"/>
  <c r="R429" i="24"/>
  <c r="Q429" i="24"/>
  <c r="P429" i="24"/>
  <c r="O429" i="24"/>
  <c r="N429" i="24"/>
  <c r="M429" i="24"/>
  <c r="L429" i="24"/>
  <c r="K429" i="24"/>
  <c r="J429" i="24"/>
  <c r="I429" i="24"/>
  <c r="H429" i="24"/>
  <c r="BA428" i="24"/>
  <c r="AZ428" i="24"/>
  <c r="AY428" i="24"/>
  <c r="AX428" i="24"/>
  <c r="AW428" i="24"/>
  <c r="AV428" i="24"/>
  <c r="AU428" i="24"/>
  <c r="AT428" i="24"/>
  <c r="AS428" i="24"/>
  <c r="AR428" i="24"/>
  <c r="AQ428" i="24"/>
  <c r="AP428" i="24"/>
  <c r="AO428" i="24"/>
  <c r="AN428" i="24"/>
  <c r="AM428" i="24"/>
  <c r="AL428" i="24"/>
  <c r="AK428" i="24"/>
  <c r="AJ428" i="24"/>
  <c r="AI428" i="24"/>
  <c r="AH428" i="24"/>
  <c r="AG428" i="24"/>
  <c r="AF428" i="24"/>
  <c r="AE428" i="24"/>
  <c r="AD428" i="24"/>
  <c r="AC428" i="24"/>
  <c r="AB428" i="24"/>
  <c r="AA428" i="24"/>
  <c r="Z428" i="24"/>
  <c r="Y428" i="24"/>
  <c r="X428" i="24"/>
  <c r="W428" i="24"/>
  <c r="V428" i="24"/>
  <c r="U428" i="24"/>
  <c r="T428" i="24"/>
  <c r="S428" i="24"/>
  <c r="R428" i="24"/>
  <c r="Q428" i="24"/>
  <c r="P428" i="24"/>
  <c r="O428" i="24"/>
  <c r="N428" i="24"/>
  <c r="M428" i="24"/>
  <c r="L428" i="24"/>
  <c r="K428" i="24"/>
  <c r="J428" i="24"/>
  <c r="I428" i="24"/>
  <c r="H428" i="24"/>
  <c r="BA427" i="24"/>
  <c r="AZ427" i="24"/>
  <c r="AY427" i="24"/>
  <c r="AX427" i="24"/>
  <c r="AW427" i="24"/>
  <c r="AV427" i="24"/>
  <c r="AU427" i="24"/>
  <c r="AT427" i="24"/>
  <c r="AS427" i="24"/>
  <c r="AR427" i="24"/>
  <c r="AQ427" i="24"/>
  <c r="AP427" i="24"/>
  <c r="AO427" i="24"/>
  <c r="AN427" i="24"/>
  <c r="AM427" i="24"/>
  <c r="AL427" i="24"/>
  <c r="AK427" i="24"/>
  <c r="AJ427" i="24"/>
  <c r="AI427" i="24"/>
  <c r="AH427" i="24"/>
  <c r="AG427" i="24"/>
  <c r="AF427" i="24"/>
  <c r="AE427" i="24"/>
  <c r="AD427" i="24"/>
  <c r="AC427" i="24"/>
  <c r="AB427" i="24"/>
  <c r="AA427" i="24"/>
  <c r="Z427" i="24"/>
  <c r="Y427" i="24"/>
  <c r="X427" i="24"/>
  <c r="W427" i="24"/>
  <c r="V427" i="24"/>
  <c r="U427" i="24"/>
  <c r="T427" i="24"/>
  <c r="S427" i="24"/>
  <c r="R427" i="24"/>
  <c r="Q427" i="24"/>
  <c r="P427" i="24"/>
  <c r="O427" i="24"/>
  <c r="N427" i="24"/>
  <c r="M427" i="24"/>
  <c r="L427" i="24"/>
  <c r="K427" i="24"/>
  <c r="J427" i="24"/>
  <c r="I427" i="24"/>
  <c r="H427" i="24"/>
  <c r="BA426" i="24"/>
  <c r="AZ426" i="24"/>
  <c r="AY426" i="24"/>
  <c r="AX426" i="24"/>
  <c r="AW426" i="24"/>
  <c r="AV426" i="24"/>
  <c r="AU426" i="24"/>
  <c r="AT426" i="24"/>
  <c r="AS426" i="24"/>
  <c r="AR426" i="24"/>
  <c r="AQ426" i="24"/>
  <c r="AP426" i="24"/>
  <c r="AO426" i="24"/>
  <c r="AN426" i="24"/>
  <c r="AM426" i="24"/>
  <c r="AL426" i="24"/>
  <c r="AK426" i="24"/>
  <c r="AJ426" i="24"/>
  <c r="AI426" i="24"/>
  <c r="AH426" i="24"/>
  <c r="AG426" i="24"/>
  <c r="AF426" i="24"/>
  <c r="AE426" i="24"/>
  <c r="AD426" i="24"/>
  <c r="AC426" i="24"/>
  <c r="AB426" i="24"/>
  <c r="AA426" i="24"/>
  <c r="Z426" i="24"/>
  <c r="Y426" i="24"/>
  <c r="X426" i="24"/>
  <c r="W426" i="24"/>
  <c r="V426" i="24"/>
  <c r="U426" i="24"/>
  <c r="T426" i="24"/>
  <c r="S426" i="24"/>
  <c r="R426" i="24"/>
  <c r="Q426" i="24"/>
  <c r="P426" i="24"/>
  <c r="O426" i="24"/>
  <c r="N426" i="24"/>
  <c r="M426" i="24"/>
  <c r="L426" i="24"/>
  <c r="K426" i="24"/>
  <c r="J426" i="24"/>
  <c r="I426" i="24"/>
  <c r="H426" i="24"/>
  <c r="BA425" i="24"/>
  <c r="AZ425" i="24"/>
  <c r="AY425" i="24"/>
  <c r="AX425" i="24"/>
  <c r="AW425" i="24"/>
  <c r="AV425" i="24"/>
  <c r="AU425" i="24"/>
  <c r="AT425" i="24"/>
  <c r="AS425" i="24"/>
  <c r="AR425" i="24"/>
  <c r="AQ425" i="24"/>
  <c r="AP425" i="24"/>
  <c r="AO425" i="24"/>
  <c r="AN425" i="24"/>
  <c r="AM425" i="24"/>
  <c r="AL425" i="24"/>
  <c r="AK425" i="24"/>
  <c r="AJ425" i="24"/>
  <c r="AI425" i="24"/>
  <c r="AH425" i="24"/>
  <c r="AG425" i="24"/>
  <c r="AF425" i="24"/>
  <c r="AE425" i="24"/>
  <c r="AD425" i="24"/>
  <c r="AC425" i="24"/>
  <c r="AB425" i="24"/>
  <c r="AA425" i="24"/>
  <c r="Z425" i="24"/>
  <c r="Y425" i="24"/>
  <c r="X425" i="24"/>
  <c r="W425" i="24"/>
  <c r="V425" i="24"/>
  <c r="U425" i="24"/>
  <c r="T425" i="24"/>
  <c r="S425" i="24"/>
  <c r="R425" i="24"/>
  <c r="Q425" i="24"/>
  <c r="P425" i="24"/>
  <c r="O425" i="24"/>
  <c r="N425" i="24"/>
  <c r="M425" i="24"/>
  <c r="L425" i="24"/>
  <c r="K425" i="24"/>
  <c r="J425" i="24"/>
  <c r="I425" i="24"/>
  <c r="H425" i="24"/>
  <c r="BA424" i="24"/>
  <c r="AZ424" i="24"/>
  <c r="AY424" i="24"/>
  <c r="AX424" i="24"/>
  <c r="AW424" i="24"/>
  <c r="AV424" i="24"/>
  <c r="AU424" i="24"/>
  <c r="AT424" i="24"/>
  <c r="AS424" i="24"/>
  <c r="AR424" i="24"/>
  <c r="AQ424" i="24"/>
  <c r="AP424" i="24"/>
  <c r="AO424" i="24"/>
  <c r="AN424" i="24"/>
  <c r="AM424" i="24"/>
  <c r="AL424" i="24"/>
  <c r="AK424" i="24"/>
  <c r="AJ424" i="24"/>
  <c r="AI424" i="24"/>
  <c r="AH424" i="24"/>
  <c r="AG424" i="24"/>
  <c r="AF424" i="24"/>
  <c r="AE424" i="24"/>
  <c r="AD424" i="24"/>
  <c r="AC424" i="24"/>
  <c r="AB424" i="24"/>
  <c r="AA424" i="24"/>
  <c r="Z424" i="24"/>
  <c r="Y424" i="24"/>
  <c r="X424" i="24"/>
  <c r="W424" i="24"/>
  <c r="V424" i="24"/>
  <c r="U424" i="24"/>
  <c r="T424" i="24"/>
  <c r="S424" i="24"/>
  <c r="R424" i="24"/>
  <c r="Q424" i="24"/>
  <c r="P424" i="24"/>
  <c r="O424" i="24"/>
  <c r="N424" i="24"/>
  <c r="M424" i="24"/>
  <c r="L424" i="24"/>
  <c r="K424" i="24"/>
  <c r="J424" i="24"/>
  <c r="I424" i="24"/>
  <c r="H424" i="24"/>
  <c r="BA423" i="24"/>
  <c r="AZ423" i="24"/>
  <c r="AY423" i="24"/>
  <c r="AX423" i="24"/>
  <c r="AW423" i="24"/>
  <c r="AV423" i="24"/>
  <c r="AU423" i="24"/>
  <c r="AT423" i="24"/>
  <c r="AS423" i="24"/>
  <c r="AR423" i="24"/>
  <c r="AQ423" i="24"/>
  <c r="AP423" i="24"/>
  <c r="AO423" i="24"/>
  <c r="AN423" i="24"/>
  <c r="AM423" i="24"/>
  <c r="AL423" i="24"/>
  <c r="AK423" i="24"/>
  <c r="AJ423" i="24"/>
  <c r="AI423" i="24"/>
  <c r="AH423" i="24"/>
  <c r="AG423" i="24"/>
  <c r="AF423" i="24"/>
  <c r="AE423" i="24"/>
  <c r="AD423" i="24"/>
  <c r="AC423" i="24"/>
  <c r="AB423" i="24"/>
  <c r="AA423" i="24"/>
  <c r="Z423" i="24"/>
  <c r="Y423" i="24"/>
  <c r="X423" i="24"/>
  <c r="W423" i="24"/>
  <c r="V423" i="24"/>
  <c r="U423" i="24"/>
  <c r="T423" i="24"/>
  <c r="S423" i="24"/>
  <c r="R423" i="24"/>
  <c r="Q423" i="24"/>
  <c r="P423" i="24"/>
  <c r="O423" i="24"/>
  <c r="N423" i="24"/>
  <c r="M423" i="24"/>
  <c r="L423" i="24"/>
  <c r="K423" i="24"/>
  <c r="J423" i="24"/>
  <c r="I423" i="24"/>
  <c r="H423" i="24"/>
  <c r="BA422" i="24"/>
  <c r="AZ422" i="24"/>
  <c r="AY422" i="24"/>
  <c r="AX422" i="24"/>
  <c r="AW422" i="24"/>
  <c r="AV422" i="24"/>
  <c r="AU422" i="24"/>
  <c r="AT422" i="24"/>
  <c r="AS422" i="24"/>
  <c r="AR422" i="24"/>
  <c r="AQ422" i="24"/>
  <c r="AP422" i="24"/>
  <c r="AO422" i="24"/>
  <c r="AN422" i="24"/>
  <c r="AM422" i="24"/>
  <c r="AL422" i="24"/>
  <c r="AK422" i="24"/>
  <c r="AJ422" i="24"/>
  <c r="AI422" i="24"/>
  <c r="AH422" i="24"/>
  <c r="AG422" i="24"/>
  <c r="AF422" i="24"/>
  <c r="AE422" i="24"/>
  <c r="AD422" i="24"/>
  <c r="AC422" i="24"/>
  <c r="AB422" i="24"/>
  <c r="AA422" i="24"/>
  <c r="Z422" i="24"/>
  <c r="Y422" i="24"/>
  <c r="X422" i="24"/>
  <c r="W422" i="24"/>
  <c r="V422" i="24"/>
  <c r="U422" i="24"/>
  <c r="T422" i="24"/>
  <c r="S422" i="24"/>
  <c r="R422" i="24"/>
  <c r="Q422" i="24"/>
  <c r="P422" i="24"/>
  <c r="O422" i="24"/>
  <c r="N422" i="24"/>
  <c r="M422" i="24"/>
  <c r="L422" i="24"/>
  <c r="K422" i="24"/>
  <c r="J422" i="24"/>
  <c r="I422" i="24"/>
  <c r="H422" i="24"/>
  <c r="BA421" i="24"/>
  <c r="AZ421" i="24"/>
  <c r="AY421" i="24"/>
  <c r="AX421" i="24"/>
  <c r="AW421" i="24"/>
  <c r="AV421" i="24"/>
  <c r="AU421" i="24"/>
  <c r="AT421" i="24"/>
  <c r="AS421" i="24"/>
  <c r="AR421" i="24"/>
  <c r="AQ421" i="24"/>
  <c r="AP421" i="24"/>
  <c r="AO421" i="24"/>
  <c r="AN421" i="24"/>
  <c r="AM421" i="24"/>
  <c r="AL421" i="24"/>
  <c r="AK421" i="24"/>
  <c r="AJ421" i="24"/>
  <c r="AI421" i="24"/>
  <c r="AH421" i="24"/>
  <c r="AG421" i="24"/>
  <c r="AF421" i="24"/>
  <c r="AE421" i="24"/>
  <c r="AD421" i="24"/>
  <c r="AC421" i="24"/>
  <c r="AB421" i="24"/>
  <c r="AA421" i="24"/>
  <c r="Z421" i="24"/>
  <c r="Y421" i="24"/>
  <c r="X421" i="24"/>
  <c r="W421" i="24"/>
  <c r="V421" i="24"/>
  <c r="U421" i="24"/>
  <c r="T421" i="24"/>
  <c r="S421" i="24"/>
  <c r="R421" i="24"/>
  <c r="Q421" i="24"/>
  <c r="P421" i="24"/>
  <c r="O421" i="24"/>
  <c r="N421" i="24"/>
  <c r="M421" i="24"/>
  <c r="L421" i="24"/>
  <c r="K421" i="24"/>
  <c r="J421" i="24"/>
  <c r="I421" i="24"/>
  <c r="H421" i="24"/>
  <c r="BA420" i="24"/>
  <c r="AZ420" i="24"/>
  <c r="AY420" i="24"/>
  <c r="AX420" i="24"/>
  <c r="AW420" i="24"/>
  <c r="AV420" i="24"/>
  <c r="AU420" i="24"/>
  <c r="AT420" i="24"/>
  <c r="AS420" i="24"/>
  <c r="AR420" i="24"/>
  <c r="AQ420" i="24"/>
  <c r="AP420" i="24"/>
  <c r="AO420" i="24"/>
  <c r="AN420" i="24"/>
  <c r="AM420" i="24"/>
  <c r="AL420" i="24"/>
  <c r="AK420" i="24"/>
  <c r="AJ420" i="24"/>
  <c r="AI420" i="24"/>
  <c r="AH420" i="24"/>
  <c r="AG420" i="24"/>
  <c r="AF420" i="24"/>
  <c r="AE420" i="24"/>
  <c r="AD420" i="24"/>
  <c r="AC420" i="24"/>
  <c r="AB420" i="24"/>
  <c r="AA420" i="24"/>
  <c r="Z420" i="24"/>
  <c r="Y420" i="24"/>
  <c r="X420" i="24"/>
  <c r="W420" i="24"/>
  <c r="V420" i="24"/>
  <c r="U420" i="24"/>
  <c r="T420" i="24"/>
  <c r="S420" i="24"/>
  <c r="R420" i="24"/>
  <c r="Q420" i="24"/>
  <c r="P420" i="24"/>
  <c r="O420" i="24"/>
  <c r="N420" i="24"/>
  <c r="M420" i="24"/>
  <c r="L420" i="24"/>
  <c r="K420" i="24"/>
  <c r="J420" i="24"/>
  <c r="I420" i="24"/>
  <c r="H420" i="24"/>
  <c r="BA419" i="24"/>
  <c r="AZ419" i="24"/>
  <c r="AY419" i="24"/>
  <c r="AX419" i="24"/>
  <c r="AW419" i="24"/>
  <c r="AV419" i="24"/>
  <c r="AU419" i="24"/>
  <c r="AT419" i="24"/>
  <c r="AS419" i="24"/>
  <c r="AR419" i="24"/>
  <c r="AQ419" i="24"/>
  <c r="AP419" i="24"/>
  <c r="AO419" i="24"/>
  <c r="AN419" i="24"/>
  <c r="AM419" i="24"/>
  <c r="AL419" i="24"/>
  <c r="AK419" i="24"/>
  <c r="AJ419" i="24"/>
  <c r="AI419" i="24"/>
  <c r="AH419" i="24"/>
  <c r="AG419" i="24"/>
  <c r="AF419" i="24"/>
  <c r="AE419" i="24"/>
  <c r="AD419" i="24"/>
  <c r="AC419" i="24"/>
  <c r="AB419" i="24"/>
  <c r="AA419" i="24"/>
  <c r="Z419" i="24"/>
  <c r="Y419" i="24"/>
  <c r="X419" i="24"/>
  <c r="W419" i="24"/>
  <c r="V419" i="24"/>
  <c r="U419" i="24"/>
  <c r="T419" i="24"/>
  <c r="S419" i="24"/>
  <c r="R419" i="24"/>
  <c r="Q419" i="24"/>
  <c r="P419" i="24"/>
  <c r="O419" i="24"/>
  <c r="N419" i="24"/>
  <c r="M419" i="24"/>
  <c r="L419" i="24"/>
  <c r="K419" i="24"/>
  <c r="J419" i="24"/>
  <c r="I419" i="24"/>
  <c r="H419" i="24"/>
  <c r="BA418" i="24"/>
  <c r="AZ418" i="24"/>
  <c r="AY418" i="24"/>
  <c r="AX418" i="24"/>
  <c r="AW418" i="24"/>
  <c r="AV418" i="24"/>
  <c r="AU418" i="24"/>
  <c r="AT418" i="24"/>
  <c r="AS418" i="24"/>
  <c r="AR418" i="24"/>
  <c r="AQ418" i="24"/>
  <c r="AP418" i="24"/>
  <c r="AO418" i="24"/>
  <c r="AN418" i="24"/>
  <c r="AM418" i="24"/>
  <c r="AL418" i="24"/>
  <c r="AK418" i="24"/>
  <c r="AJ418" i="24"/>
  <c r="AI418" i="24"/>
  <c r="AH418" i="24"/>
  <c r="AG418" i="24"/>
  <c r="AF418" i="24"/>
  <c r="AE418" i="24"/>
  <c r="AD418" i="24"/>
  <c r="AC418" i="24"/>
  <c r="AB418" i="24"/>
  <c r="AA418" i="24"/>
  <c r="Z418" i="24"/>
  <c r="Y418" i="24"/>
  <c r="X418" i="24"/>
  <c r="W418" i="24"/>
  <c r="V418" i="24"/>
  <c r="U418" i="24"/>
  <c r="T418" i="24"/>
  <c r="S418" i="24"/>
  <c r="R418" i="24"/>
  <c r="Q418" i="24"/>
  <c r="P418" i="24"/>
  <c r="O418" i="24"/>
  <c r="N418" i="24"/>
  <c r="M418" i="24"/>
  <c r="L418" i="24"/>
  <c r="K418" i="24"/>
  <c r="J418" i="24"/>
  <c r="I418" i="24"/>
  <c r="H418" i="24"/>
  <c r="BA417" i="24"/>
  <c r="AZ417" i="24"/>
  <c r="AY417" i="24"/>
  <c r="AX417" i="24"/>
  <c r="AW417" i="24"/>
  <c r="AV417" i="24"/>
  <c r="AU417" i="24"/>
  <c r="AT417" i="24"/>
  <c r="AS417" i="24"/>
  <c r="AR417" i="24"/>
  <c r="AQ417" i="24"/>
  <c r="AP417" i="24"/>
  <c r="AO417" i="24"/>
  <c r="AN417" i="24"/>
  <c r="AM417" i="24"/>
  <c r="AL417" i="24"/>
  <c r="AK417" i="24"/>
  <c r="AJ417" i="24"/>
  <c r="AI417" i="24"/>
  <c r="AH417" i="24"/>
  <c r="AG417" i="24"/>
  <c r="AF417" i="24"/>
  <c r="AE417" i="24"/>
  <c r="AD417" i="24"/>
  <c r="AC417" i="24"/>
  <c r="AB417" i="24"/>
  <c r="AA417" i="24"/>
  <c r="Z417" i="24"/>
  <c r="Y417" i="24"/>
  <c r="X417" i="24"/>
  <c r="W417" i="24"/>
  <c r="V417" i="24"/>
  <c r="U417" i="24"/>
  <c r="T417" i="24"/>
  <c r="S417" i="24"/>
  <c r="R417" i="24"/>
  <c r="Q417" i="24"/>
  <c r="P417" i="24"/>
  <c r="O417" i="24"/>
  <c r="N417" i="24"/>
  <c r="M417" i="24"/>
  <c r="L417" i="24"/>
  <c r="K417" i="24"/>
  <c r="J417" i="24"/>
  <c r="I417" i="24"/>
  <c r="H417" i="24"/>
  <c r="BA416" i="24"/>
  <c r="AZ416" i="24"/>
  <c r="AY416" i="24"/>
  <c r="AX416" i="24"/>
  <c r="AW416" i="24"/>
  <c r="AV416" i="24"/>
  <c r="AU416" i="24"/>
  <c r="AT416" i="24"/>
  <c r="AS416" i="24"/>
  <c r="AR416" i="24"/>
  <c r="AQ416" i="24"/>
  <c r="AP416" i="24"/>
  <c r="AO416" i="24"/>
  <c r="AN416" i="24"/>
  <c r="AM416" i="24"/>
  <c r="AL416" i="24"/>
  <c r="AK416" i="24"/>
  <c r="AJ416" i="24"/>
  <c r="AI416" i="24"/>
  <c r="AH416" i="24"/>
  <c r="AG416" i="24"/>
  <c r="AF416" i="24"/>
  <c r="AE416" i="24"/>
  <c r="AD416" i="24"/>
  <c r="AC416" i="24"/>
  <c r="AB416" i="24"/>
  <c r="AA416" i="24"/>
  <c r="Z416" i="24"/>
  <c r="Y416" i="24"/>
  <c r="X416" i="24"/>
  <c r="W416" i="24"/>
  <c r="V416" i="24"/>
  <c r="U416" i="24"/>
  <c r="T416" i="24"/>
  <c r="S416" i="24"/>
  <c r="R416" i="24"/>
  <c r="Q416" i="24"/>
  <c r="P416" i="24"/>
  <c r="O416" i="24"/>
  <c r="N416" i="24"/>
  <c r="M416" i="24"/>
  <c r="L416" i="24"/>
  <c r="K416" i="24"/>
  <c r="J416" i="24"/>
  <c r="I416" i="24"/>
  <c r="H416" i="24"/>
  <c r="BA415" i="24"/>
  <c r="AZ415" i="24"/>
  <c r="AY415" i="24"/>
  <c r="AX415" i="24"/>
  <c r="AW415" i="24"/>
  <c r="AV415" i="24"/>
  <c r="AU415" i="24"/>
  <c r="AT415" i="24"/>
  <c r="AS415" i="24"/>
  <c r="AR415" i="24"/>
  <c r="AQ415" i="24"/>
  <c r="AP415" i="24"/>
  <c r="AO415" i="24"/>
  <c r="AN415" i="24"/>
  <c r="AM415" i="24"/>
  <c r="AL415" i="24"/>
  <c r="AK415" i="24"/>
  <c r="AJ415" i="24"/>
  <c r="AI415" i="24"/>
  <c r="AH415" i="24"/>
  <c r="AG415" i="24"/>
  <c r="AF415" i="24"/>
  <c r="AE415" i="24"/>
  <c r="AD415" i="24"/>
  <c r="AC415" i="24"/>
  <c r="AB415" i="24"/>
  <c r="AA415" i="24"/>
  <c r="Z415" i="24"/>
  <c r="Y415" i="24"/>
  <c r="X415" i="24"/>
  <c r="W415" i="24"/>
  <c r="V415" i="24"/>
  <c r="U415" i="24"/>
  <c r="T415" i="24"/>
  <c r="S415" i="24"/>
  <c r="R415" i="24"/>
  <c r="Q415" i="24"/>
  <c r="P415" i="24"/>
  <c r="O415" i="24"/>
  <c r="N415" i="24"/>
  <c r="M415" i="24"/>
  <c r="L415" i="24"/>
  <c r="K415" i="24"/>
  <c r="J415" i="24"/>
  <c r="I415" i="24"/>
  <c r="H415" i="24"/>
  <c r="BA414" i="24"/>
  <c r="AZ414" i="24"/>
  <c r="AY414" i="24"/>
  <c r="AX414" i="24"/>
  <c r="AW414" i="24"/>
  <c r="AV414" i="24"/>
  <c r="AU414" i="24"/>
  <c r="AT414" i="24"/>
  <c r="AS414" i="24"/>
  <c r="AR414" i="24"/>
  <c r="AQ414" i="24"/>
  <c r="AP414" i="24"/>
  <c r="AO414" i="24"/>
  <c r="AN414" i="24"/>
  <c r="AM414" i="24"/>
  <c r="AL414" i="24"/>
  <c r="AK414" i="24"/>
  <c r="AJ414" i="24"/>
  <c r="AI414" i="24"/>
  <c r="AH414" i="24"/>
  <c r="AG414" i="24"/>
  <c r="AF414" i="24"/>
  <c r="AE414" i="24"/>
  <c r="AD414" i="24"/>
  <c r="AC414" i="24"/>
  <c r="AB414" i="24"/>
  <c r="AA414" i="24"/>
  <c r="Z414" i="24"/>
  <c r="Y414" i="24"/>
  <c r="X414" i="24"/>
  <c r="W414" i="24"/>
  <c r="V414" i="24"/>
  <c r="U414" i="24"/>
  <c r="T414" i="24"/>
  <c r="S414" i="24"/>
  <c r="R414" i="24"/>
  <c r="Q414" i="24"/>
  <c r="P414" i="24"/>
  <c r="O414" i="24"/>
  <c r="N414" i="24"/>
  <c r="M414" i="24"/>
  <c r="L414" i="24"/>
  <c r="K414" i="24"/>
  <c r="J414" i="24"/>
  <c r="I414" i="24"/>
  <c r="H414" i="24"/>
  <c r="BA413" i="24"/>
  <c r="AZ413" i="24"/>
  <c r="AY413" i="24"/>
  <c r="AX413" i="24"/>
  <c r="AW413" i="24"/>
  <c r="AV413" i="24"/>
  <c r="AU413" i="24"/>
  <c r="AT413" i="24"/>
  <c r="AS413" i="24"/>
  <c r="AR413" i="24"/>
  <c r="AQ413" i="24"/>
  <c r="AP413" i="24"/>
  <c r="AO413" i="24"/>
  <c r="AN413" i="24"/>
  <c r="AM413" i="24"/>
  <c r="AL413" i="24"/>
  <c r="AK413" i="24"/>
  <c r="AJ413" i="24"/>
  <c r="AI413" i="24"/>
  <c r="AH413" i="24"/>
  <c r="AG413" i="24"/>
  <c r="AF413" i="24"/>
  <c r="AE413" i="24"/>
  <c r="AD413" i="24"/>
  <c r="AC413" i="24"/>
  <c r="AB413" i="24"/>
  <c r="AA413" i="24"/>
  <c r="Z413" i="24"/>
  <c r="Y413" i="24"/>
  <c r="X413" i="24"/>
  <c r="W413" i="24"/>
  <c r="V413" i="24"/>
  <c r="U413" i="24"/>
  <c r="T413" i="24"/>
  <c r="S413" i="24"/>
  <c r="R413" i="24"/>
  <c r="Q413" i="24"/>
  <c r="P413" i="24"/>
  <c r="O413" i="24"/>
  <c r="N413" i="24"/>
  <c r="M413" i="24"/>
  <c r="L413" i="24"/>
  <c r="K413" i="24"/>
  <c r="J413" i="24"/>
  <c r="I413" i="24"/>
  <c r="H413" i="24"/>
  <c r="BA412" i="24"/>
  <c r="AZ412" i="24"/>
  <c r="AY412" i="24"/>
  <c r="AX412" i="24"/>
  <c r="AW412" i="24"/>
  <c r="AV412" i="24"/>
  <c r="AU412" i="24"/>
  <c r="AT412" i="24"/>
  <c r="AS412" i="24"/>
  <c r="AR412" i="24"/>
  <c r="AQ412" i="24"/>
  <c r="AP412" i="24"/>
  <c r="AO412" i="24"/>
  <c r="AN412" i="24"/>
  <c r="AM412" i="24"/>
  <c r="AL412" i="24"/>
  <c r="AK412" i="24"/>
  <c r="AJ412" i="24"/>
  <c r="AI412" i="24"/>
  <c r="AH412" i="24"/>
  <c r="AG412" i="24"/>
  <c r="AF412" i="24"/>
  <c r="AE412" i="24"/>
  <c r="AD412" i="24"/>
  <c r="AC412" i="24"/>
  <c r="AB412" i="24"/>
  <c r="AA412" i="24"/>
  <c r="Z412" i="24"/>
  <c r="Y412" i="24"/>
  <c r="X412" i="24"/>
  <c r="W412" i="24"/>
  <c r="V412" i="24"/>
  <c r="U412" i="24"/>
  <c r="T412" i="24"/>
  <c r="S412" i="24"/>
  <c r="R412" i="24"/>
  <c r="Q412" i="24"/>
  <c r="P412" i="24"/>
  <c r="O412" i="24"/>
  <c r="N412" i="24"/>
  <c r="M412" i="24"/>
  <c r="L412" i="24"/>
  <c r="K412" i="24"/>
  <c r="J412" i="24"/>
  <c r="I412" i="24"/>
  <c r="H412" i="24"/>
  <c r="BA411" i="24"/>
  <c r="AZ411" i="24"/>
  <c r="AY411" i="24"/>
  <c r="AX411" i="24"/>
  <c r="AW411" i="24"/>
  <c r="AV411" i="24"/>
  <c r="AU411" i="24"/>
  <c r="AT411" i="24"/>
  <c r="AS411" i="24"/>
  <c r="AR411" i="24"/>
  <c r="AQ411" i="24"/>
  <c r="AP411" i="24"/>
  <c r="AO411" i="24"/>
  <c r="AN411" i="24"/>
  <c r="AM411" i="24"/>
  <c r="AL411" i="24"/>
  <c r="AK411" i="24"/>
  <c r="AJ411" i="24"/>
  <c r="AI411" i="24"/>
  <c r="AH411" i="24"/>
  <c r="AG411" i="24"/>
  <c r="AF411" i="24"/>
  <c r="AE411" i="24"/>
  <c r="AD411" i="24"/>
  <c r="AC411" i="24"/>
  <c r="AB411" i="24"/>
  <c r="AA411" i="24"/>
  <c r="Z411" i="24"/>
  <c r="Y411" i="24"/>
  <c r="X411" i="24"/>
  <c r="W411" i="24"/>
  <c r="V411" i="24"/>
  <c r="U411" i="24"/>
  <c r="T411" i="24"/>
  <c r="S411" i="24"/>
  <c r="R411" i="24"/>
  <c r="Q411" i="24"/>
  <c r="P411" i="24"/>
  <c r="O411" i="24"/>
  <c r="N411" i="24"/>
  <c r="M411" i="24"/>
  <c r="L411" i="24"/>
  <c r="K411" i="24"/>
  <c r="J411" i="24"/>
  <c r="I411" i="24"/>
  <c r="H411" i="24"/>
  <c r="BA410" i="24"/>
  <c r="AZ410" i="24"/>
  <c r="AY410" i="24"/>
  <c r="AX410" i="24"/>
  <c r="AW410" i="24"/>
  <c r="AV410" i="24"/>
  <c r="AU410" i="24"/>
  <c r="AT410" i="24"/>
  <c r="AS410" i="24"/>
  <c r="AR410" i="24"/>
  <c r="AQ410" i="24"/>
  <c r="AP410" i="24"/>
  <c r="AO410" i="24"/>
  <c r="AN410" i="24"/>
  <c r="AM410" i="24"/>
  <c r="AL410" i="24"/>
  <c r="AK410" i="24"/>
  <c r="AJ410" i="24"/>
  <c r="AI410" i="24"/>
  <c r="AH410" i="24"/>
  <c r="AG410" i="24"/>
  <c r="AF410" i="24"/>
  <c r="AE410" i="24"/>
  <c r="AD410" i="24"/>
  <c r="AC410" i="24"/>
  <c r="AB410" i="24"/>
  <c r="AA410" i="24"/>
  <c r="Z410" i="24"/>
  <c r="Y410" i="24"/>
  <c r="X410" i="24"/>
  <c r="W410" i="24"/>
  <c r="V410" i="24"/>
  <c r="U410" i="24"/>
  <c r="T410" i="24"/>
  <c r="S410" i="24"/>
  <c r="R410" i="24"/>
  <c r="Q410" i="24"/>
  <c r="P410" i="24"/>
  <c r="O410" i="24"/>
  <c r="N410" i="24"/>
  <c r="M410" i="24"/>
  <c r="L410" i="24"/>
  <c r="K410" i="24"/>
  <c r="J410" i="24"/>
  <c r="I410" i="24"/>
  <c r="H410" i="24"/>
  <c r="BA409" i="24"/>
  <c r="AZ409" i="24"/>
  <c r="AY409" i="24"/>
  <c r="AX409" i="24"/>
  <c r="AW409" i="24"/>
  <c r="AV409" i="24"/>
  <c r="AU409" i="24"/>
  <c r="AT409" i="24"/>
  <c r="AS409" i="24"/>
  <c r="AR409" i="24"/>
  <c r="AQ409" i="24"/>
  <c r="AP409" i="24"/>
  <c r="AO409" i="24"/>
  <c r="AN409" i="24"/>
  <c r="AM409" i="24"/>
  <c r="AL409" i="24"/>
  <c r="AK409" i="24"/>
  <c r="AJ409" i="24"/>
  <c r="AI409" i="24"/>
  <c r="AH409" i="24"/>
  <c r="AG409" i="24"/>
  <c r="AF409" i="24"/>
  <c r="AE409" i="24"/>
  <c r="AD409" i="24"/>
  <c r="AC409" i="24"/>
  <c r="AB409" i="24"/>
  <c r="AA409" i="24"/>
  <c r="Z409" i="24"/>
  <c r="Y409" i="24"/>
  <c r="X409" i="24"/>
  <c r="W409" i="24"/>
  <c r="V409" i="24"/>
  <c r="U409" i="24"/>
  <c r="T409" i="24"/>
  <c r="S409" i="24"/>
  <c r="R409" i="24"/>
  <c r="Q409" i="24"/>
  <c r="P409" i="24"/>
  <c r="O409" i="24"/>
  <c r="N409" i="24"/>
  <c r="M409" i="24"/>
  <c r="L409" i="24"/>
  <c r="K409" i="24"/>
  <c r="J409" i="24"/>
  <c r="I409" i="24"/>
  <c r="H409" i="24"/>
  <c r="BA408" i="24"/>
  <c r="AZ408" i="24"/>
  <c r="AY408" i="24"/>
  <c r="AX408" i="24"/>
  <c r="AW408" i="24"/>
  <c r="AV408" i="24"/>
  <c r="AU408" i="24"/>
  <c r="AT408" i="24"/>
  <c r="AS408" i="24"/>
  <c r="AR408" i="24"/>
  <c r="AQ408" i="24"/>
  <c r="AP408" i="24"/>
  <c r="AO408" i="24"/>
  <c r="AN408" i="24"/>
  <c r="AM408" i="24"/>
  <c r="AL408" i="24"/>
  <c r="AK408" i="24"/>
  <c r="AJ408" i="24"/>
  <c r="AI408" i="24"/>
  <c r="AH408" i="24"/>
  <c r="AG408" i="24"/>
  <c r="AF408" i="24"/>
  <c r="AE408" i="24"/>
  <c r="AD408" i="24"/>
  <c r="AC408" i="24"/>
  <c r="AB408" i="24"/>
  <c r="AA408" i="24"/>
  <c r="Z408" i="24"/>
  <c r="Y408" i="24"/>
  <c r="X408" i="24"/>
  <c r="W408" i="24"/>
  <c r="V408" i="24"/>
  <c r="U408" i="24"/>
  <c r="T408" i="24"/>
  <c r="S408" i="24"/>
  <c r="R408" i="24"/>
  <c r="Q408" i="24"/>
  <c r="P408" i="24"/>
  <c r="O408" i="24"/>
  <c r="N408" i="24"/>
  <c r="M408" i="24"/>
  <c r="L408" i="24"/>
  <c r="K408" i="24"/>
  <c r="J408" i="24"/>
  <c r="I408" i="24"/>
  <c r="H408" i="24"/>
  <c r="BD511" i="24"/>
  <c r="BA407" i="24"/>
  <c r="AZ407" i="24"/>
  <c r="AY407" i="24"/>
  <c r="AX407" i="24"/>
  <c r="AW407" i="24"/>
  <c r="AV407" i="24"/>
  <c r="AU407" i="24"/>
  <c r="AT407" i="24"/>
  <c r="AS407" i="24"/>
  <c r="AR407" i="24"/>
  <c r="AQ407" i="24"/>
  <c r="AP407" i="24"/>
  <c r="AO407" i="24"/>
  <c r="AN407" i="24"/>
  <c r="AM407" i="24"/>
  <c r="AL407" i="24"/>
  <c r="AK407" i="24"/>
  <c r="AJ407" i="24"/>
  <c r="AI407" i="24"/>
  <c r="AH407" i="24"/>
  <c r="AG407" i="24"/>
  <c r="AF407" i="24"/>
  <c r="AE407" i="24"/>
  <c r="AD407" i="24"/>
  <c r="AC407" i="24"/>
  <c r="AB407" i="24"/>
  <c r="AA407" i="24"/>
  <c r="Z407" i="24"/>
  <c r="Y407" i="24"/>
  <c r="X407" i="24"/>
  <c r="W407" i="24"/>
  <c r="V407" i="24"/>
  <c r="U407" i="24"/>
  <c r="T407" i="24"/>
  <c r="S407" i="24"/>
  <c r="R407" i="24"/>
  <c r="Q407" i="24"/>
  <c r="P407" i="24"/>
  <c r="O407" i="24"/>
  <c r="N407" i="24"/>
  <c r="M407" i="24"/>
  <c r="L407" i="24"/>
  <c r="K407" i="24"/>
  <c r="J407" i="24"/>
  <c r="I407" i="24"/>
  <c r="H407" i="24"/>
  <c r="BA406" i="24"/>
  <c r="AZ406" i="24"/>
  <c r="AY406" i="24"/>
  <c r="AX406" i="24"/>
  <c r="AW406" i="24"/>
  <c r="AV406" i="24"/>
  <c r="AU406" i="24"/>
  <c r="AT406" i="24"/>
  <c r="AS406" i="24"/>
  <c r="AR406" i="24"/>
  <c r="AQ406" i="24"/>
  <c r="AP406" i="24"/>
  <c r="AO406" i="24"/>
  <c r="AN406" i="24"/>
  <c r="AM406" i="24"/>
  <c r="AL406" i="24"/>
  <c r="AK406" i="24"/>
  <c r="AJ406" i="24"/>
  <c r="AI406" i="24"/>
  <c r="AH406" i="24"/>
  <c r="AG406" i="24"/>
  <c r="AF406" i="24"/>
  <c r="AE406" i="24"/>
  <c r="AD406" i="24"/>
  <c r="AC406" i="24"/>
  <c r="AB406" i="24"/>
  <c r="AA406" i="24"/>
  <c r="Z406" i="24"/>
  <c r="Y406" i="24"/>
  <c r="X406" i="24"/>
  <c r="W406" i="24"/>
  <c r="V406" i="24"/>
  <c r="U406" i="24"/>
  <c r="T406" i="24"/>
  <c r="S406" i="24"/>
  <c r="R406" i="24"/>
  <c r="Q406" i="24"/>
  <c r="P406" i="24"/>
  <c r="O406" i="24"/>
  <c r="N406" i="24"/>
  <c r="M406" i="24"/>
  <c r="L406" i="24"/>
  <c r="K406" i="24"/>
  <c r="J406" i="24"/>
  <c r="I406" i="24"/>
  <c r="H406" i="24"/>
  <c r="BA405" i="24"/>
  <c r="AZ405" i="24"/>
  <c r="AY405" i="24"/>
  <c r="AX405" i="24"/>
  <c r="AW405" i="24"/>
  <c r="AV405" i="24"/>
  <c r="AU405" i="24"/>
  <c r="AT405" i="24"/>
  <c r="AS405" i="24"/>
  <c r="AR405" i="24"/>
  <c r="AQ405" i="24"/>
  <c r="AP405" i="24"/>
  <c r="AO405" i="24"/>
  <c r="AN405" i="24"/>
  <c r="AM405" i="24"/>
  <c r="AL405" i="24"/>
  <c r="AK405" i="24"/>
  <c r="AJ405" i="24"/>
  <c r="AI405" i="24"/>
  <c r="AH405" i="24"/>
  <c r="AG405" i="24"/>
  <c r="AF405" i="24"/>
  <c r="AE405" i="24"/>
  <c r="AD405" i="24"/>
  <c r="AC405" i="24"/>
  <c r="AB405" i="24"/>
  <c r="AA405" i="24"/>
  <c r="Z405" i="24"/>
  <c r="Y405" i="24"/>
  <c r="X405" i="24"/>
  <c r="W405" i="24"/>
  <c r="V405" i="24"/>
  <c r="U405" i="24"/>
  <c r="T405" i="24"/>
  <c r="S405" i="24"/>
  <c r="R405" i="24"/>
  <c r="Q405" i="24"/>
  <c r="P405" i="24"/>
  <c r="O405" i="24"/>
  <c r="N405" i="24"/>
  <c r="M405" i="24"/>
  <c r="L405" i="24"/>
  <c r="K405" i="24"/>
  <c r="J405" i="24"/>
  <c r="I405" i="24"/>
  <c r="H405" i="24"/>
  <c r="BA404" i="24"/>
  <c r="AZ404" i="24"/>
  <c r="AY404" i="24"/>
  <c r="AX404" i="24"/>
  <c r="AW404" i="24"/>
  <c r="AV404" i="24"/>
  <c r="AU404" i="24"/>
  <c r="AT404" i="24"/>
  <c r="AS404" i="24"/>
  <c r="AR404" i="24"/>
  <c r="AQ404" i="24"/>
  <c r="AP404" i="24"/>
  <c r="AO404" i="24"/>
  <c r="AN404" i="24"/>
  <c r="AM404" i="24"/>
  <c r="AL404" i="24"/>
  <c r="AK404" i="24"/>
  <c r="AJ404" i="24"/>
  <c r="AI404" i="24"/>
  <c r="AH404" i="24"/>
  <c r="AG404" i="24"/>
  <c r="AF404" i="24"/>
  <c r="AE404" i="24"/>
  <c r="AD404" i="24"/>
  <c r="AC404" i="24"/>
  <c r="AB404" i="24"/>
  <c r="AA404" i="24"/>
  <c r="Z404" i="24"/>
  <c r="Y404" i="24"/>
  <c r="X404" i="24"/>
  <c r="W404" i="24"/>
  <c r="V404" i="24"/>
  <c r="U404" i="24"/>
  <c r="T404" i="24"/>
  <c r="S404" i="24"/>
  <c r="R404" i="24"/>
  <c r="Q404" i="24"/>
  <c r="P404" i="24"/>
  <c r="O404" i="24"/>
  <c r="N404" i="24"/>
  <c r="M404" i="24"/>
  <c r="L404" i="24"/>
  <c r="K404" i="24"/>
  <c r="J404" i="24"/>
  <c r="I404" i="24"/>
  <c r="H404" i="24"/>
  <c r="BA403" i="24"/>
  <c r="AZ403" i="24"/>
  <c r="AY403" i="24"/>
  <c r="AX403" i="24"/>
  <c r="AW403" i="24"/>
  <c r="AV403" i="24"/>
  <c r="AU403" i="24"/>
  <c r="AT403" i="24"/>
  <c r="AS403" i="24"/>
  <c r="AR403" i="24"/>
  <c r="AQ403" i="24"/>
  <c r="AP403" i="24"/>
  <c r="AO403" i="24"/>
  <c r="AN403" i="24"/>
  <c r="AM403" i="24"/>
  <c r="AL403" i="24"/>
  <c r="AK403" i="24"/>
  <c r="AJ403" i="24"/>
  <c r="AI403" i="24"/>
  <c r="AH403" i="24"/>
  <c r="AG403" i="24"/>
  <c r="AF403" i="24"/>
  <c r="AE403" i="24"/>
  <c r="AD403" i="24"/>
  <c r="AC403" i="24"/>
  <c r="AB403" i="24"/>
  <c r="AA403" i="24"/>
  <c r="Z403" i="24"/>
  <c r="Y403" i="24"/>
  <c r="X403" i="24"/>
  <c r="W403" i="24"/>
  <c r="V403" i="24"/>
  <c r="U403" i="24"/>
  <c r="T403" i="24"/>
  <c r="S403" i="24"/>
  <c r="R403" i="24"/>
  <c r="Q403" i="24"/>
  <c r="P403" i="24"/>
  <c r="O403" i="24"/>
  <c r="N403" i="24"/>
  <c r="M403" i="24"/>
  <c r="L403" i="24"/>
  <c r="K403" i="24"/>
  <c r="J403" i="24"/>
  <c r="I403" i="24"/>
  <c r="H403" i="24"/>
  <c r="BA402" i="24"/>
  <c r="AZ402" i="24"/>
  <c r="AY402" i="24"/>
  <c r="AX402" i="24"/>
  <c r="AW402" i="24"/>
  <c r="AV402" i="24"/>
  <c r="AU402" i="24"/>
  <c r="AT402" i="24"/>
  <c r="AS402" i="24"/>
  <c r="AR402" i="24"/>
  <c r="AQ402" i="24"/>
  <c r="AP402" i="24"/>
  <c r="AO402" i="24"/>
  <c r="AN402" i="24"/>
  <c r="AM402" i="24"/>
  <c r="AL402" i="24"/>
  <c r="AK402" i="24"/>
  <c r="AJ402" i="24"/>
  <c r="AI402" i="24"/>
  <c r="AH402" i="24"/>
  <c r="AG402" i="24"/>
  <c r="AF402" i="24"/>
  <c r="AE402" i="24"/>
  <c r="AD402" i="24"/>
  <c r="AC402" i="24"/>
  <c r="AB402" i="24"/>
  <c r="AA402" i="24"/>
  <c r="Z402" i="24"/>
  <c r="Y402" i="24"/>
  <c r="X402" i="24"/>
  <c r="W402" i="24"/>
  <c r="V402" i="24"/>
  <c r="U402" i="24"/>
  <c r="T402" i="24"/>
  <c r="S402" i="24"/>
  <c r="R402" i="24"/>
  <c r="Q402" i="24"/>
  <c r="P402" i="24"/>
  <c r="O402" i="24"/>
  <c r="N402" i="24"/>
  <c r="M402" i="24"/>
  <c r="L402" i="24"/>
  <c r="K402" i="24"/>
  <c r="J402" i="24"/>
  <c r="I402" i="24"/>
  <c r="H402" i="24"/>
  <c r="BA401" i="24"/>
  <c r="AZ401" i="24"/>
  <c r="AY401" i="24"/>
  <c r="AX401" i="24"/>
  <c r="AW401" i="24"/>
  <c r="AV401" i="24"/>
  <c r="AU401" i="24"/>
  <c r="AT401" i="24"/>
  <c r="AS401" i="24"/>
  <c r="AR401" i="24"/>
  <c r="AQ401" i="24"/>
  <c r="AP401" i="24"/>
  <c r="AO401" i="24"/>
  <c r="AN401" i="24"/>
  <c r="AM401" i="24"/>
  <c r="AL401" i="24"/>
  <c r="AK401" i="24"/>
  <c r="AJ401" i="24"/>
  <c r="AI401" i="24"/>
  <c r="AH401" i="24"/>
  <c r="AG401" i="24"/>
  <c r="AF401" i="24"/>
  <c r="AE401" i="24"/>
  <c r="AD401" i="24"/>
  <c r="AC401" i="24"/>
  <c r="AB401" i="24"/>
  <c r="AA401" i="24"/>
  <c r="Z401" i="24"/>
  <c r="Y401" i="24"/>
  <c r="X401" i="24"/>
  <c r="W401" i="24"/>
  <c r="V401" i="24"/>
  <c r="U401" i="24"/>
  <c r="T401" i="24"/>
  <c r="S401" i="24"/>
  <c r="R401" i="24"/>
  <c r="Q401" i="24"/>
  <c r="P401" i="24"/>
  <c r="O401" i="24"/>
  <c r="N401" i="24"/>
  <c r="M401" i="24"/>
  <c r="L401" i="24"/>
  <c r="K401" i="24"/>
  <c r="J401" i="24"/>
  <c r="I401" i="24"/>
  <c r="H401" i="24"/>
  <c r="BA400" i="24"/>
  <c r="AZ400" i="24"/>
  <c r="AY400" i="24"/>
  <c r="AX400" i="24"/>
  <c r="AW400" i="24"/>
  <c r="AV400" i="24"/>
  <c r="AU400" i="24"/>
  <c r="AT400" i="24"/>
  <c r="AS400" i="24"/>
  <c r="AR400" i="24"/>
  <c r="AQ400" i="24"/>
  <c r="AP400" i="24"/>
  <c r="AO400" i="24"/>
  <c r="AN400" i="24"/>
  <c r="AM400" i="24"/>
  <c r="AL400" i="24"/>
  <c r="AK400" i="24"/>
  <c r="AJ400" i="24"/>
  <c r="AI400" i="24"/>
  <c r="AH400" i="24"/>
  <c r="AG400" i="24"/>
  <c r="AF400" i="24"/>
  <c r="AE400" i="24"/>
  <c r="AD400" i="24"/>
  <c r="AC400" i="24"/>
  <c r="AB400" i="24"/>
  <c r="AA400" i="24"/>
  <c r="Z400" i="24"/>
  <c r="Y400" i="24"/>
  <c r="X400" i="24"/>
  <c r="W400" i="24"/>
  <c r="V400" i="24"/>
  <c r="U400" i="24"/>
  <c r="T400" i="24"/>
  <c r="S400" i="24"/>
  <c r="R400" i="24"/>
  <c r="Q400" i="24"/>
  <c r="P400" i="24"/>
  <c r="O400" i="24"/>
  <c r="N400" i="24"/>
  <c r="M400" i="24"/>
  <c r="L400" i="24"/>
  <c r="K400" i="24"/>
  <c r="J400" i="24"/>
  <c r="I400" i="24"/>
  <c r="H400" i="24"/>
  <c r="BA399" i="24"/>
  <c r="AZ399" i="24"/>
  <c r="AY399" i="24"/>
  <c r="AX399" i="24"/>
  <c r="AW399" i="24"/>
  <c r="AV399" i="24"/>
  <c r="AU399" i="24"/>
  <c r="AT399" i="24"/>
  <c r="AS399" i="24"/>
  <c r="AR399" i="24"/>
  <c r="AQ399" i="24"/>
  <c r="AP399" i="24"/>
  <c r="AO399" i="24"/>
  <c r="AN399" i="24"/>
  <c r="AM399" i="24"/>
  <c r="AL399" i="24"/>
  <c r="AK399" i="24"/>
  <c r="AJ399" i="24"/>
  <c r="AI399" i="24"/>
  <c r="AH399" i="24"/>
  <c r="AG399" i="24"/>
  <c r="AF399" i="24"/>
  <c r="AE399" i="24"/>
  <c r="AD399" i="24"/>
  <c r="AC399" i="24"/>
  <c r="AB399" i="24"/>
  <c r="AA399" i="24"/>
  <c r="Z399" i="24"/>
  <c r="Y399" i="24"/>
  <c r="X399" i="24"/>
  <c r="W399" i="24"/>
  <c r="V399" i="24"/>
  <c r="U399" i="24"/>
  <c r="T399" i="24"/>
  <c r="S399" i="24"/>
  <c r="R399" i="24"/>
  <c r="Q399" i="24"/>
  <c r="P399" i="24"/>
  <c r="O399" i="24"/>
  <c r="N399" i="24"/>
  <c r="M399" i="24"/>
  <c r="L399" i="24"/>
  <c r="K399" i="24"/>
  <c r="J399" i="24"/>
  <c r="I399" i="24"/>
  <c r="H399" i="24"/>
  <c r="BA398" i="24"/>
  <c r="AZ398" i="24"/>
  <c r="AY398" i="24"/>
  <c r="AX398" i="24"/>
  <c r="AW398" i="24"/>
  <c r="AV398" i="24"/>
  <c r="AU398" i="24"/>
  <c r="AT398" i="24"/>
  <c r="AS398" i="24"/>
  <c r="AR398" i="24"/>
  <c r="AQ398" i="24"/>
  <c r="AP398" i="24"/>
  <c r="AO398" i="24"/>
  <c r="AN398" i="24"/>
  <c r="AM398" i="24"/>
  <c r="AL398" i="24"/>
  <c r="AK398" i="24"/>
  <c r="AJ398" i="24"/>
  <c r="AI398" i="24"/>
  <c r="AH398" i="24"/>
  <c r="AG398" i="24"/>
  <c r="AF398" i="24"/>
  <c r="AE398" i="24"/>
  <c r="AD398" i="24"/>
  <c r="AC398" i="24"/>
  <c r="AB398" i="24"/>
  <c r="AA398" i="24"/>
  <c r="Z398" i="24"/>
  <c r="Y398" i="24"/>
  <c r="X398" i="24"/>
  <c r="W398" i="24"/>
  <c r="V398" i="24"/>
  <c r="U398" i="24"/>
  <c r="T398" i="24"/>
  <c r="S398" i="24"/>
  <c r="R398" i="24"/>
  <c r="Q398" i="24"/>
  <c r="P398" i="24"/>
  <c r="O398" i="24"/>
  <c r="N398" i="24"/>
  <c r="M398" i="24"/>
  <c r="L398" i="24"/>
  <c r="K398" i="24"/>
  <c r="J398" i="24"/>
  <c r="I398" i="24"/>
  <c r="H398" i="24"/>
  <c r="BA397" i="24"/>
  <c r="AZ397" i="24"/>
  <c r="AY397" i="24"/>
  <c r="AX397" i="24"/>
  <c r="AW397" i="24"/>
  <c r="AV397" i="24"/>
  <c r="AU397" i="24"/>
  <c r="AT397" i="24"/>
  <c r="AS397" i="24"/>
  <c r="AR397" i="24"/>
  <c r="AQ397" i="24"/>
  <c r="AP397" i="24"/>
  <c r="AO397" i="24"/>
  <c r="AN397" i="24"/>
  <c r="AM397" i="24"/>
  <c r="AL397" i="24"/>
  <c r="AK397" i="24"/>
  <c r="AJ397" i="24"/>
  <c r="AI397" i="24"/>
  <c r="AH397" i="24"/>
  <c r="AG397" i="24"/>
  <c r="AF397" i="24"/>
  <c r="AE397" i="24"/>
  <c r="AD397" i="24"/>
  <c r="AC397" i="24"/>
  <c r="AB397" i="24"/>
  <c r="AA397" i="24"/>
  <c r="Z397" i="24"/>
  <c r="Y397" i="24"/>
  <c r="X397" i="24"/>
  <c r="W397" i="24"/>
  <c r="V397" i="24"/>
  <c r="U397" i="24"/>
  <c r="T397" i="24"/>
  <c r="S397" i="24"/>
  <c r="R397" i="24"/>
  <c r="Q397" i="24"/>
  <c r="P397" i="24"/>
  <c r="O397" i="24"/>
  <c r="N397" i="24"/>
  <c r="M397" i="24"/>
  <c r="L397" i="24"/>
  <c r="K397" i="24"/>
  <c r="J397" i="24"/>
  <c r="I397" i="24"/>
  <c r="H397" i="24"/>
  <c r="BA396" i="24"/>
  <c r="AZ396" i="24"/>
  <c r="AY396" i="24"/>
  <c r="AX396" i="24"/>
  <c r="AW396" i="24"/>
  <c r="AV396" i="24"/>
  <c r="AU396" i="24"/>
  <c r="AT396" i="24"/>
  <c r="AS396" i="24"/>
  <c r="AR396" i="24"/>
  <c r="AQ396" i="24"/>
  <c r="AP396" i="24"/>
  <c r="AO396" i="24"/>
  <c r="AN396" i="24"/>
  <c r="AM396" i="24"/>
  <c r="AL396" i="24"/>
  <c r="AK396" i="24"/>
  <c r="AJ396" i="24"/>
  <c r="AI396" i="24"/>
  <c r="AH396" i="24"/>
  <c r="AG396" i="24"/>
  <c r="AF396" i="24"/>
  <c r="AE396" i="24"/>
  <c r="AD396" i="24"/>
  <c r="AC396" i="24"/>
  <c r="AB396" i="24"/>
  <c r="AA396" i="24"/>
  <c r="Z396" i="24"/>
  <c r="Y396" i="24"/>
  <c r="X396" i="24"/>
  <c r="W396" i="24"/>
  <c r="V396" i="24"/>
  <c r="U396" i="24"/>
  <c r="T396" i="24"/>
  <c r="S396" i="24"/>
  <c r="R396" i="24"/>
  <c r="Q396" i="24"/>
  <c r="P396" i="24"/>
  <c r="O396" i="24"/>
  <c r="N396" i="24"/>
  <c r="M396" i="24"/>
  <c r="L396" i="24"/>
  <c r="K396" i="24"/>
  <c r="J396" i="24"/>
  <c r="I396" i="24"/>
  <c r="H396" i="24"/>
  <c r="BA395" i="24"/>
  <c r="AZ395" i="24"/>
  <c r="AY395" i="24"/>
  <c r="AX395" i="24"/>
  <c r="AW395" i="24"/>
  <c r="AV395" i="24"/>
  <c r="AU395" i="24"/>
  <c r="AT395" i="24"/>
  <c r="AS395" i="24"/>
  <c r="AR395" i="24"/>
  <c r="AQ395" i="24"/>
  <c r="AP395" i="24"/>
  <c r="AO395" i="24"/>
  <c r="AN395" i="24"/>
  <c r="AM395" i="24"/>
  <c r="AL395" i="24"/>
  <c r="AK395" i="24"/>
  <c r="AJ395" i="24"/>
  <c r="AI395" i="24"/>
  <c r="AH395" i="24"/>
  <c r="AG395" i="24"/>
  <c r="AF395" i="24"/>
  <c r="AE395" i="24"/>
  <c r="AD395" i="24"/>
  <c r="AC395" i="24"/>
  <c r="AB395" i="24"/>
  <c r="AA395" i="24"/>
  <c r="Z395" i="24"/>
  <c r="Y395" i="24"/>
  <c r="X395" i="24"/>
  <c r="W395" i="24"/>
  <c r="V395" i="24"/>
  <c r="U395" i="24"/>
  <c r="T395" i="24"/>
  <c r="S395" i="24"/>
  <c r="R395" i="24"/>
  <c r="Q395" i="24"/>
  <c r="P395" i="24"/>
  <c r="O395" i="24"/>
  <c r="N395" i="24"/>
  <c r="M395" i="24"/>
  <c r="L395" i="24"/>
  <c r="K395" i="24"/>
  <c r="J395" i="24"/>
  <c r="I395" i="24"/>
  <c r="H395" i="24"/>
  <c r="BA394" i="24"/>
  <c r="AZ394" i="24"/>
  <c r="AY394" i="24"/>
  <c r="AX394" i="24"/>
  <c r="AW394" i="24"/>
  <c r="AV394" i="24"/>
  <c r="AU394" i="24"/>
  <c r="AT394" i="24"/>
  <c r="AS394" i="24"/>
  <c r="AR394" i="24"/>
  <c r="AQ394" i="24"/>
  <c r="AP394" i="24"/>
  <c r="AO394" i="24"/>
  <c r="AN394" i="24"/>
  <c r="AM394" i="24"/>
  <c r="AL394" i="24"/>
  <c r="AK394" i="24"/>
  <c r="AJ394" i="24"/>
  <c r="AI394" i="24"/>
  <c r="AH394" i="24"/>
  <c r="AG394" i="24"/>
  <c r="AF394" i="24"/>
  <c r="AE394" i="24"/>
  <c r="AD394" i="24"/>
  <c r="AC394" i="24"/>
  <c r="AB394" i="24"/>
  <c r="AA394" i="24"/>
  <c r="Z394" i="24"/>
  <c r="Y394" i="24"/>
  <c r="X394" i="24"/>
  <c r="W394" i="24"/>
  <c r="V394" i="24"/>
  <c r="U394" i="24"/>
  <c r="T394" i="24"/>
  <c r="S394" i="24"/>
  <c r="R394" i="24"/>
  <c r="Q394" i="24"/>
  <c r="P394" i="24"/>
  <c r="O394" i="24"/>
  <c r="N394" i="24"/>
  <c r="M394" i="24"/>
  <c r="L394" i="24"/>
  <c r="K394" i="24"/>
  <c r="J394" i="24"/>
  <c r="I394" i="24"/>
  <c r="H394" i="24"/>
  <c r="BA393" i="24"/>
  <c r="AZ393" i="24"/>
  <c r="AY393" i="24"/>
  <c r="AX393" i="24"/>
  <c r="AW393" i="24"/>
  <c r="AV393" i="24"/>
  <c r="AU393" i="24"/>
  <c r="AT393" i="24"/>
  <c r="AS393" i="24"/>
  <c r="AR393" i="24"/>
  <c r="AQ393" i="24"/>
  <c r="AP393" i="24"/>
  <c r="AO393" i="24"/>
  <c r="AN393" i="24"/>
  <c r="AM393" i="24"/>
  <c r="AL393" i="24"/>
  <c r="AK393" i="24"/>
  <c r="AJ393" i="24"/>
  <c r="AI393" i="24"/>
  <c r="AH393" i="24"/>
  <c r="AG393" i="24"/>
  <c r="AF393" i="24"/>
  <c r="AE393" i="24"/>
  <c r="AD393" i="24"/>
  <c r="AC393" i="24"/>
  <c r="AB393" i="24"/>
  <c r="AA393" i="24"/>
  <c r="Z393" i="24"/>
  <c r="Y393" i="24"/>
  <c r="X393" i="24"/>
  <c r="W393" i="24"/>
  <c r="V393" i="24"/>
  <c r="U393" i="24"/>
  <c r="T393" i="24"/>
  <c r="S393" i="24"/>
  <c r="R393" i="24"/>
  <c r="Q393" i="24"/>
  <c r="P393" i="24"/>
  <c r="O393" i="24"/>
  <c r="N393" i="24"/>
  <c r="M393" i="24"/>
  <c r="L393" i="24"/>
  <c r="K393" i="24"/>
  <c r="J393" i="24"/>
  <c r="I393" i="24"/>
  <c r="H393" i="24"/>
  <c r="BA392" i="24"/>
  <c r="AZ392" i="24"/>
  <c r="AY392" i="24"/>
  <c r="AX392" i="24"/>
  <c r="AW392" i="24"/>
  <c r="AV392" i="24"/>
  <c r="AU392" i="24"/>
  <c r="AT392" i="24"/>
  <c r="AS392" i="24"/>
  <c r="AR392" i="24"/>
  <c r="AQ392" i="24"/>
  <c r="AP392" i="24"/>
  <c r="AO392" i="24"/>
  <c r="AN392" i="24"/>
  <c r="AM392" i="24"/>
  <c r="AL392" i="24"/>
  <c r="AK392" i="24"/>
  <c r="AJ392" i="24"/>
  <c r="AI392" i="24"/>
  <c r="AH392" i="24"/>
  <c r="AG392" i="24"/>
  <c r="AF392" i="24"/>
  <c r="AE392" i="24"/>
  <c r="AD392" i="24"/>
  <c r="AC392" i="24"/>
  <c r="AB392" i="24"/>
  <c r="AA392" i="24"/>
  <c r="Z392" i="24"/>
  <c r="Y392" i="24"/>
  <c r="X392" i="24"/>
  <c r="W392" i="24"/>
  <c r="V392" i="24"/>
  <c r="U392" i="24"/>
  <c r="T392" i="24"/>
  <c r="S392" i="24"/>
  <c r="R392" i="24"/>
  <c r="Q392" i="24"/>
  <c r="P392" i="24"/>
  <c r="O392" i="24"/>
  <c r="N392" i="24"/>
  <c r="M392" i="24"/>
  <c r="L392" i="24"/>
  <c r="K392" i="24"/>
  <c r="J392" i="24"/>
  <c r="I392" i="24"/>
  <c r="H392" i="24"/>
  <c r="BA391" i="24"/>
  <c r="AZ391" i="24"/>
  <c r="AY391" i="24"/>
  <c r="AX391" i="24"/>
  <c r="AW391" i="24"/>
  <c r="AV391" i="24"/>
  <c r="AU391" i="24"/>
  <c r="AT391" i="24"/>
  <c r="AS391" i="24"/>
  <c r="AR391" i="24"/>
  <c r="AQ391" i="24"/>
  <c r="AP391" i="24"/>
  <c r="AO391" i="24"/>
  <c r="AN391" i="24"/>
  <c r="AM391" i="24"/>
  <c r="AL391" i="24"/>
  <c r="AK391" i="24"/>
  <c r="AJ391" i="24"/>
  <c r="AI391" i="24"/>
  <c r="AH391" i="24"/>
  <c r="AG391" i="24"/>
  <c r="AF391" i="24"/>
  <c r="AE391" i="24"/>
  <c r="AD391" i="24"/>
  <c r="AC391" i="24"/>
  <c r="AB391" i="24"/>
  <c r="AA391" i="24"/>
  <c r="Z391" i="24"/>
  <c r="Y391" i="24"/>
  <c r="X391" i="24"/>
  <c r="W391" i="24"/>
  <c r="V391" i="24"/>
  <c r="U391" i="24"/>
  <c r="T391" i="24"/>
  <c r="S391" i="24"/>
  <c r="R391" i="24"/>
  <c r="Q391" i="24"/>
  <c r="P391" i="24"/>
  <c r="O391" i="24"/>
  <c r="N391" i="24"/>
  <c r="M391" i="24"/>
  <c r="L391" i="24"/>
  <c r="K391" i="24"/>
  <c r="J391" i="24"/>
  <c r="I391" i="24"/>
  <c r="H391" i="24"/>
  <c r="BA390" i="24"/>
  <c r="AZ390" i="24"/>
  <c r="AY390" i="24"/>
  <c r="AX390" i="24"/>
  <c r="AW390" i="24"/>
  <c r="AV390" i="24"/>
  <c r="AU390" i="24"/>
  <c r="AT390" i="24"/>
  <c r="AS390" i="24"/>
  <c r="AR390" i="24"/>
  <c r="AQ390" i="24"/>
  <c r="AP390" i="24"/>
  <c r="AO390" i="24"/>
  <c r="AN390" i="24"/>
  <c r="AM390" i="24"/>
  <c r="AL390" i="24"/>
  <c r="AK390" i="24"/>
  <c r="AJ390" i="24"/>
  <c r="AI390" i="24"/>
  <c r="AH390" i="24"/>
  <c r="AG390" i="24"/>
  <c r="AF390" i="24"/>
  <c r="AE390" i="24"/>
  <c r="AD390" i="24"/>
  <c r="AC390" i="24"/>
  <c r="AB390" i="24"/>
  <c r="AA390" i="24"/>
  <c r="Z390" i="24"/>
  <c r="Y390" i="24"/>
  <c r="X390" i="24"/>
  <c r="W390" i="24"/>
  <c r="V390" i="24"/>
  <c r="U390" i="24"/>
  <c r="T390" i="24"/>
  <c r="S390" i="24"/>
  <c r="R390" i="24"/>
  <c r="Q390" i="24"/>
  <c r="P390" i="24"/>
  <c r="O390" i="24"/>
  <c r="N390" i="24"/>
  <c r="M390" i="24"/>
  <c r="L390" i="24"/>
  <c r="K390" i="24"/>
  <c r="J390" i="24"/>
  <c r="I390" i="24"/>
  <c r="H390" i="24"/>
  <c r="BA389" i="24"/>
  <c r="AZ389" i="24"/>
  <c r="AY389" i="24"/>
  <c r="AX389" i="24"/>
  <c r="AW389" i="24"/>
  <c r="AV389" i="24"/>
  <c r="AU389" i="24"/>
  <c r="AT389" i="24"/>
  <c r="AS389" i="24"/>
  <c r="AR389" i="24"/>
  <c r="AQ389" i="24"/>
  <c r="AP389" i="24"/>
  <c r="AO389" i="24"/>
  <c r="AN389" i="24"/>
  <c r="AM389" i="24"/>
  <c r="AL389" i="24"/>
  <c r="AK389" i="24"/>
  <c r="AJ389" i="24"/>
  <c r="AI389" i="24"/>
  <c r="AH389" i="24"/>
  <c r="AG389" i="24"/>
  <c r="AF389" i="24"/>
  <c r="AE389" i="24"/>
  <c r="AD389" i="24"/>
  <c r="AC389" i="24"/>
  <c r="AB389" i="24"/>
  <c r="AA389" i="24"/>
  <c r="Z389" i="24"/>
  <c r="Y389" i="24"/>
  <c r="X389" i="24"/>
  <c r="W389" i="24"/>
  <c r="V389" i="24"/>
  <c r="U389" i="24"/>
  <c r="T389" i="24"/>
  <c r="S389" i="24"/>
  <c r="R389" i="24"/>
  <c r="Q389" i="24"/>
  <c r="P389" i="24"/>
  <c r="O389" i="24"/>
  <c r="N389" i="24"/>
  <c r="M389" i="24"/>
  <c r="L389" i="24"/>
  <c r="K389" i="24"/>
  <c r="J389" i="24"/>
  <c r="I389" i="24"/>
  <c r="H389" i="24"/>
  <c r="BA388" i="24"/>
  <c r="AZ388" i="24"/>
  <c r="AY388" i="24"/>
  <c r="AX388" i="24"/>
  <c r="AW388" i="24"/>
  <c r="AV388" i="24"/>
  <c r="AU388" i="24"/>
  <c r="AT388" i="24"/>
  <c r="AS388" i="24"/>
  <c r="AR388" i="24"/>
  <c r="AQ388" i="24"/>
  <c r="AP388" i="24"/>
  <c r="AO388" i="24"/>
  <c r="AN388" i="24"/>
  <c r="AM388" i="24"/>
  <c r="AL388" i="24"/>
  <c r="AK388" i="24"/>
  <c r="AJ388" i="24"/>
  <c r="AI388" i="24"/>
  <c r="AH388" i="24"/>
  <c r="AG388" i="24"/>
  <c r="AF388" i="24"/>
  <c r="AE388" i="24"/>
  <c r="AD388" i="24"/>
  <c r="AC388" i="24"/>
  <c r="AB388" i="24"/>
  <c r="AA388" i="24"/>
  <c r="Z388" i="24"/>
  <c r="Y388" i="24"/>
  <c r="X388" i="24"/>
  <c r="W388" i="24"/>
  <c r="V388" i="24"/>
  <c r="U388" i="24"/>
  <c r="T388" i="24"/>
  <c r="S388" i="24"/>
  <c r="R388" i="24"/>
  <c r="Q388" i="24"/>
  <c r="P388" i="24"/>
  <c r="O388" i="24"/>
  <c r="N388" i="24"/>
  <c r="M388" i="24"/>
  <c r="L388" i="24"/>
  <c r="K388" i="24"/>
  <c r="J388" i="24"/>
  <c r="I388" i="24"/>
  <c r="H388" i="24"/>
  <c r="BA387" i="24"/>
  <c r="AZ387" i="24"/>
  <c r="AY387" i="24"/>
  <c r="AX387" i="24"/>
  <c r="AW387" i="24"/>
  <c r="AV387" i="24"/>
  <c r="AU387" i="24"/>
  <c r="AT387" i="24"/>
  <c r="AS387" i="24"/>
  <c r="AR387" i="24"/>
  <c r="AQ387" i="24"/>
  <c r="AP387" i="24"/>
  <c r="AO387" i="24"/>
  <c r="AN387" i="24"/>
  <c r="AM387" i="24"/>
  <c r="AL387" i="24"/>
  <c r="AK387" i="24"/>
  <c r="AJ387" i="24"/>
  <c r="AI387" i="24"/>
  <c r="AH387" i="24"/>
  <c r="AG387" i="24"/>
  <c r="AF387" i="24"/>
  <c r="AE387" i="24"/>
  <c r="AD387" i="24"/>
  <c r="AC387" i="24"/>
  <c r="AB387" i="24"/>
  <c r="AA387" i="24"/>
  <c r="Z387" i="24"/>
  <c r="Y387" i="24"/>
  <c r="X387" i="24"/>
  <c r="W387" i="24"/>
  <c r="V387" i="24"/>
  <c r="U387" i="24"/>
  <c r="T387" i="24"/>
  <c r="S387" i="24"/>
  <c r="R387" i="24"/>
  <c r="Q387" i="24"/>
  <c r="P387" i="24"/>
  <c r="O387" i="24"/>
  <c r="N387" i="24"/>
  <c r="M387" i="24"/>
  <c r="L387" i="24"/>
  <c r="K387" i="24"/>
  <c r="J387" i="24"/>
  <c r="I387" i="24"/>
  <c r="H387" i="24"/>
  <c r="BA386" i="24"/>
  <c r="AZ386" i="24"/>
  <c r="AY386" i="24"/>
  <c r="AX386" i="24"/>
  <c r="AW386" i="24"/>
  <c r="AV386" i="24"/>
  <c r="AU386" i="24"/>
  <c r="AT386" i="24"/>
  <c r="AS386" i="24"/>
  <c r="AR386" i="24"/>
  <c r="AQ386" i="24"/>
  <c r="AP386" i="24"/>
  <c r="AO386" i="24"/>
  <c r="AN386" i="24"/>
  <c r="AM386" i="24"/>
  <c r="AL386" i="24"/>
  <c r="AK386" i="24"/>
  <c r="AJ386" i="24"/>
  <c r="AI386" i="24"/>
  <c r="AH386" i="24"/>
  <c r="AG386" i="24"/>
  <c r="AF386" i="24"/>
  <c r="AE386" i="24"/>
  <c r="AD386" i="24"/>
  <c r="AC386" i="24"/>
  <c r="AB386" i="24"/>
  <c r="AA386" i="24"/>
  <c r="Z386" i="24"/>
  <c r="Y386" i="24"/>
  <c r="X386" i="24"/>
  <c r="W386" i="24"/>
  <c r="V386" i="24"/>
  <c r="U386" i="24"/>
  <c r="T386" i="24"/>
  <c r="S386" i="24"/>
  <c r="R386" i="24"/>
  <c r="Q386" i="24"/>
  <c r="P386" i="24"/>
  <c r="O386" i="24"/>
  <c r="N386" i="24"/>
  <c r="M386" i="24"/>
  <c r="L386" i="24"/>
  <c r="K386" i="24"/>
  <c r="J386" i="24"/>
  <c r="I386" i="24"/>
  <c r="H386" i="24"/>
  <c r="BA385" i="24"/>
  <c r="AZ385" i="24"/>
  <c r="AY385" i="24"/>
  <c r="AX385" i="24"/>
  <c r="AW385" i="24"/>
  <c r="AV385" i="24"/>
  <c r="AU385" i="24"/>
  <c r="AT385" i="24"/>
  <c r="AS385" i="24"/>
  <c r="AR385" i="24"/>
  <c r="AQ385" i="24"/>
  <c r="AP385" i="24"/>
  <c r="AO385" i="24"/>
  <c r="AN385" i="24"/>
  <c r="AM385" i="24"/>
  <c r="AL385" i="24"/>
  <c r="AK385" i="24"/>
  <c r="AJ385" i="24"/>
  <c r="AI385" i="24"/>
  <c r="AH385" i="24"/>
  <c r="AG385" i="24"/>
  <c r="AF385" i="24"/>
  <c r="AE385" i="24"/>
  <c r="AD385" i="24"/>
  <c r="AC385" i="24"/>
  <c r="AB385" i="24"/>
  <c r="AA385" i="24"/>
  <c r="Z385" i="24"/>
  <c r="Y385" i="24"/>
  <c r="X385" i="24"/>
  <c r="W385" i="24"/>
  <c r="V385" i="24"/>
  <c r="U385" i="24"/>
  <c r="T385" i="24"/>
  <c r="S385" i="24"/>
  <c r="R385" i="24"/>
  <c r="Q385" i="24"/>
  <c r="P385" i="24"/>
  <c r="O385" i="24"/>
  <c r="N385" i="24"/>
  <c r="M385" i="24"/>
  <c r="L385" i="24"/>
  <c r="K385" i="24"/>
  <c r="J385" i="24"/>
  <c r="I385" i="24"/>
  <c r="H385" i="24"/>
  <c r="BA384" i="24"/>
  <c r="AZ384" i="24"/>
  <c r="AY384" i="24"/>
  <c r="AX384" i="24"/>
  <c r="AW384" i="24"/>
  <c r="AV384" i="24"/>
  <c r="AU384" i="24"/>
  <c r="AT384" i="24"/>
  <c r="AS384" i="24"/>
  <c r="AR384" i="24"/>
  <c r="AQ384" i="24"/>
  <c r="AP384" i="24"/>
  <c r="AO384" i="24"/>
  <c r="AN384" i="24"/>
  <c r="AM384" i="24"/>
  <c r="AL384" i="24"/>
  <c r="AK384" i="24"/>
  <c r="AJ384" i="24"/>
  <c r="AI384" i="24"/>
  <c r="AH384" i="24"/>
  <c r="AG384" i="24"/>
  <c r="AF384" i="24"/>
  <c r="AE384" i="24"/>
  <c r="AD384" i="24"/>
  <c r="AC384" i="24"/>
  <c r="AB384" i="24"/>
  <c r="AA384" i="24"/>
  <c r="Z384" i="24"/>
  <c r="Y384" i="24"/>
  <c r="X384" i="24"/>
  <c r="W384" i="24"/>
  <c r="V384" i="24"/>
  <c r="U384" i="24"/>
  <c r="T384" i="24"/>
  <c r="S384" i="24"/>
  <c r="R384" i="24"/>
  <c r="Q384" i="24"/>
  <c r="P384" i="24"/>
  <c r="O384" i="24"/>
  <c r="N384" i="24"/>
  <c r="M384" i="24"/>
  <c r="L384" i="24"/>
  <c r="K384" i="24"/>
  <c r="J384" i="24"/>
  <c r="I384" i="24"/>
  <c r="H384" i="24"/>
  <c r="BA383" i="24"/>
  <c r="AZ383" i="24"/>
  <c r="AY383" i="24"/>
  <c r="AX383" i="24"/>
  <c r="AW383" i="24"/>
  <c r="AV383" i="24"/>
  <c r="AU383" i="24"/>
  <c r="AT383" i="24"/>
  <c r="AS383" i="24"/>
  <c r="AR383" i="24"/>
  <c r="AQ383" i="24"/>
  <c r="AP383" i="24"/>
  <c r="AO383" i="24"/>
  <c r="AN383" i="24"/>
  <c r="AM383" i="24"/>
  <c r="AL383" i="24"/>
  <c r="AK383" i="24"/>
  <c r="AJ383" i="24"/>
  <c r="AI383" i="24"/>
  <c r="AH383" i="24"/>
  <c r="AG383" i="24"/>
  <c r="AF383" i="24"/>
  <c r="AE383" i="24"/>
  <c r="AD383" i="24"/>
  <c r="AC383" i="24"/>
  <c r="AB383" i="24"/>
  <c r="AA383" i="24"/>
  <c r="Z383" i="24"/>
  <c r="Y383" i="24"/>
  <c r="X383" i="24"/>
  <c r="W383" i="24"/>
  <c r="V383" i="24"/>
  <c r="U383" i="24"/>
  <c r="T383" i="24"/>
  <c r="S383" i="24"/>
  <c r="R383" i="24"/>
  <c r="Q383" i="24"/>
  <c r="P383" i="24"/>
  <c r="O383" i="24"/>
  <c r="N383" i="24"/>
  <c r="M383" i="24"/>
  <c r="L383" i="24"/>
  <c r="K383" i="24"/>
  <c r="J383" i="24"/>
  <c r="I383" i="24"/>
  <c r="H383" i="24"/>
  <c r="BA382" i="24"/>
  <c r="AZ382" i="24"/>
  <c r="AY382" i="24"/>
  <c r="AX382" i="24"/>
  <c r="AW382" i="24"/>
  <c r="AV382" i="24"/>
  <c r="AU382" i="24"/>
  <c r="AT382" i="24"/>
  <c r="AS382" i="24"/>
  <c r="AR382" i="24"/>
  <c r="AQ382" i="24"/>
  <c r="AP382" i="24"/>
  <c r="AO382" i="24"/>
  <c r="AN382" i="24"/>
  <c r="AM382" i="24"/>
  <c r="AL382" i="24"/>
  <c r="AK382" i="24"/>
  <c r="AJ382" i="24"/>
  <c r="AI382" i="24"/>
  <c r="AH382" i="24"/>
  <c r="AG382" i="24"/>
  <c r="AF382" i="24"/>
  <c r="AE382" i="24"/>
  <c r="AD382" i="24"/>
  <c r="AC382" i="24"/>
  <c r="AB382" i="24"/>
  <c r="AA382" i="24"/>
  <c r="Z382" i="24"/>
  <c r="Y382" i="24"/>
  <c r="X382" i="24"/>
  <c r="W382" i="24"/>
  <c r="V382" i="24"/>
  <c r="U382" i="24"/>
  <c r="T382" i="24"/>
  <c r="S382" i="24"/>
  <c r="R382" i="24"/>
  <c r="Q382" i="24"/>
  <c r="P382" i="24"/>
  <c r="O382" i="24"/>
  <c r="N382" i="24"/>
  <c r="M382" i="24"/>
  <c r="L382" i="24"/>
  <c r="K382" i="24"/>
  <c r="J382" i="24"/>
  <c r="I382" i="24"/>
  <c r="H382" i="24"/>
  <c r="BA381" i="24"/>
  <c r="AZ381" i="24"/>
  <c r="AY381" i="24"/>
  <c r="AX381" i="24"/>
  <c r="AW381" i="24"/>
  <c r="AV381" i="24"/>
  <c r="AU381" i="24"/>
  <c r="AT381" i="24"/>
  <c r="AS381" i="24"/>
  <c r="AR381" i="24"/>
  <c r="AQ381" i="24"/>
  <c r="AP381" i="24"/>
  <c r="AO381" i="24"/>
  <c r="AN381" i="24"/>
  <c r="AM381" i="24"/>
  <c r="AL381" i="24"/>
  <c r="AK381" i="24"/>
  <c r="AJ381" i="24"/>
  <c r="AI381" i="24"/>
  <c r="AH381" i="24"/>
  <c r="AG381" i="24"/>
  <c r="AF381" i="24"/>
  <c r="AE381" i="24"/>
  <c r="AD381" i="24"/>
  <c r="AC381" i="24"/>
  <c r="AB381" i="24"/>
  <c r="AA381" i="24"/>
  <c r="Z381" i="24"/>
  <c r="Y381" i="24"/>
  <c r="X381" i="24"/>
  <c r="W381" i="24"/>
  <c r="V381" i="24"/>
  <c r="U381" i="24"/>
  <c r="T381" i="24"/>
  <c r="S381" i="24"/>
  <c r="R381" i="24"/>
  <c r="Q381" i="24"/>
  <c r="P381" i="24"/>
  <c r="O381" i="24"/>
  <c r="N381" i="24"/>
  <c r="M381" i="24"/>
  <c r="L381" i="24"/>
  <c r="K381" i="24"/>
  <c r="J381" i="24"/>
  <c r="I381" i="24"/>
  <c r="H381" i="24"/>
  <c r="BA380" i="24"/>
  <c r="AZ380" i="24"/>
  <c r="AY380" i="24"/>
  <c r="AX380" i="24"/>
  <c r="AW380" i="24"/>
  <c r="AV380" i="24"/>
  <c r="AU380" i="24"/>
  <c r="AT380" i="24"/>
  <c r="AS380" i="24"/>
  <c r="AR380" i="24"/>
  <c r="AQ380" i="24"/>
  <c r="AP380" i="24"/>
  <c r="AO380" i="24"/>
  <c r="AN380" i="24"/>
  <c r="AM380" i="24"/>
  <c r="AL380" i="24"/>
  <c r="AK380" i="24"/>
  <c r="AJ380" i="24"/>
  <c r="AI380" i="24"/>
  <c r="AH380" i="24"/>
  <c r="AG380" i="24"/>
  <c r="AF380" i="24"/>
  <c r="AE380" i="24"/>
  <c r="AD380" i="24"/>
  <c r="AC380" i="24"/>
  <c r="AB380" i="24"/>
  <c r="AA380" i="24"/>
  <c r="Z380" i="24"/>
  <c r="Y380" i="24"/>
  <c r="X380" i="24"/>
  <c r="W380" i="24"/>
  <c r="V380" i="24"/>
  <c r="U380" i="24"/>
  <c r="T380" i="24"/>
  <c r="S380" i="24"/>
  <c r="R380" i="24"/>
  <c r="Q380" i="24"/>
  <c r="P380" i="24"/>
  <c r="O380" i="24"/>
  <c r="N380" i="24"/>
  <c r="M380" i="24"/>
  <c r="L380" i="24"/>
  <c r="K380" i="24"/>
  <c r="J380" i="24"/>
  <c r="I380" i="24"/>
  <c r="H380" i="24"/>
  <c r="BA379" i="24"/>
  <c r="AZ379" i="24"/>
  <c r="AY379" i="24"/>
  <c r="AX379" i="24"/>
  <c r="AW379" i="24"/>
  <c r="AV379" i="24"/>
  <c r="AU379" i="24"/>
  <c r="AT379" i="24"/>
  <c r="AS379" i="24"/>
  <c r="AR379" i="24"/>
  <c r="AQ379" i="24"/>
  <c r="AP379" i="24"/>
  <c r="AO379" i="24"/>
  <c r="AN379" i="24"/>
  <c r="AM379" i="24"/>
  <c r="AL379" i="24"/>
  <c r="AK379" i="24"/>
  <c r="AJ379" i="24"/>
  <c r="AI379" i="24"/>
  <c r="AH379" i="24"/>
  <c r="AG379" i="24"/>
  <c r="AF379" i="24"/>
  <c r="AE379" i="24"/>
  <c r="AD379" i="24"/>
  <c r="AC379" i="24"/>
  <c r="AB379" i="24"/>
  <c r="AA379" i="24"/>
  <c r="Z379" i="24"/>
  <c r="Y379" i="24"/>
  <c r="X379" i="24"/>
  <c r="W379" i="24"/>
  <c r="V379" i="24"/>
  <c r="U379" i="24"/>
  <c r="T379" i="24"/>
  <c r="S379" i="24"/>
  <c r="R379" i="24"/>
  <c r="Q379" i="24"/>
  <c r="P379" i="24"/>
  <c r="O379" i="24"/>
  <c r="N379" i="24"/>
  <c r="M379" i="24"/>
  <c r="L379" i="24"/>
  <c r="K379" i="24"/>
  <c r="J379" i="24"/>
  <c r="I379" i="24"/>
  <c r="H379" i="24"/>
  <c r="BA378" i="24"/>
  <c r="AZ378" i="24"/>
  <c r="AY378" i="24"/>
  <c r="AX378" i="24"/>
  <c r="AW378" i="24"/>
  <c r="AV378" i="24"/>
  <c r="AU378" i="24"/>
  <c r="AT378" i="24"/>
  <c r="AS378" i="24"/>
  <c r="AR378" i="24"/>
  <c r="AQ378" i="24"/>
  <c r="AP378" i="24"/>
  <c r="AO378" i="24"/>
  <c r="AN378" i="24"/>
  <c r="AM378" i="24"/>
  <c r="AL378" i="24"/>
  <c r="AK378" i="24"/>
  <c r="AJ378" i="24"/>
  <c r="AI378" i="24"/>
  <c r="AH378" i="24"/>
  <c r="AG378" i="24"/>
  <c r="AF378" i="24"/>
  <c r="AE378" i="24"/>
  <c r="AD378" i="24"/>
  <c r="AC378" i="24"/>
  <c r="AB378" i="24"/>
  <c r="AA378" i="24"/>
  <c r="Z378" i="24"/>
  <c r="Y378" i="24"/>
  <c r="X378" i="24"/>
  <c r="W378" i="24"/>
  <c r="V378" i="24"/>
  <c r="U378" i="24"/>
  <c r="T378" i="24"/>
  <c r="S378" i="24"/>
  <c r="R378" i="24"/>
  <c r="Q378" i="24"/>
  <c r="P378" i="24"/>
  <c r="O378" i="24"/>
  <c r="N378" i="24"/>
  <c r="M378" i="24"/>
  <c r="L378" i="24"/>
  <c r="K378" i="24"/>
  <c r="J378" i="24"/>
  <c r="I378" i="24"/>
  <c r="H378" i="24"/>
  <c r="BA377" i="24"/>
  <c r="AZ377" i="24"/>
  <c r="AY377" i="24"/>
  <c r="AX377" i="24"/>
  <c r="AW377" i="24"/>
  <c r="AV377" i="24"/>
  <c r="AU377" i="24"/>
  <c r="AT377" i="24"/>
  <c r="AS377" i="24"/>
  <c r="AR377" i="24"/>
  <c r="AQ377" i="24"/>
  <c r="AP377" i="24"/>
  <c r="AO377" i="24"/>
  <c r="AN377" i="24"/>
  <c r="AM377" i="24"/>
  <c r="AL377" i="24"/>
  <c r="AK377" i="24"/>
  <c r="AJ377" i="24"/>
  <c r="AI377" i="24"/>
  <c r="AH377" i="24"/>
  <c r="AG377" i="24"/>
  <c r="AF377" i="24"/>
  <c r="AE377" i="24"/>
  <c r="AD377" i="24"/>
  <c r="AC377" i="24"/>
  <c r="AB377" i="24"/>
  <c r="AA377" i="24"/>
  <c r="Z377" i="24"/>
  <c r="Y377" i="24"/>
  <c r="X377" i="24"/>
  <c r="W377" i="24"/>
  <c r="V377" i="24"/>
  <c r="U377" i="24"/>
  <c r="T377" i="24"/>
  <c r="S377" i="24"/>
  <c r="R377" i="24"/>
  <c r="Q377" i="24"/>
  <c r="P377" i="24"/>
  <c r="O377" i="24"/>
  <c r="N377" i="24"/>
  <c r="M377" i="24"/>
  <c r="L377" i="24"/>
  <c r="K377" i="24"/>
  <c r="J377" i="24"/>
  <c r="I377" i="24"/>
  <c r="H377" i="24"/>
  <c r="BA376" i="24"/>
  <c r="AZ376" i="24"/>
  <c r="AY376" i="24"/>
  <c r="AX376" i="24"/>
  <c r="AW376" i="24"/>
  <c r="AV376" i="24"/>
  <c r="AU376" i="24"/>
  <c r="AT376" i="24"/>
  <c r="AS376" i="24"/>
  <c r="AR376" i="24"/>
  <c r="AQ376" i="24"/>
  <c r="AP376" i="24"/>
  <c r="AO376" i="24"/>
  <c r="AN376" i="24"/>
  <c r="AM376" i="24"/>
  <c r="AL376" i="24"/>
  <c r="AK376" i="24"/>
  <c r="AJ376" i="24"/>
  <c r="AI376" i="24"/>
  <c r="AH376" i="24"/>
  <c r="AG376" i="24"/>
  <c r="AF376" i="24"/>
  <c r="AE376" i="24"/>
  <c r="AD376" i="24"/>
  <c r="AC376" i="24"/>
  <c r="AB376" i="24"/>
  <c r="AA376" i="24"/>
  <c r="Z376" i="24"/>
  <c r="Y376" i="24"/>
  <c r="X376" i="24"/>
  <c r="W376" i="24"/>
  <c r="V376" i="24"/>
  <c r="U376" i="24"/>
  <c r="T376" i="24"/>
  <c r="S376" i="24"/>
  <c r="R376" i="24"/>
  <c r="Q376" i="24"/>
  <c r="P376" i="24"/>
  <c r="O376" i="24"/>
  <c r="N376" i="24"/>
  <c r="M376" i="24"/>
  <c r="L376" i="24"/>
  <c r="K376" i="24"/>
  <c r="J376" i="24"/>
  <c r="I376" i="24"/>
  <c r="H376" i="24"/>
  <c r="BA375" i="24"/>
  <c r="AZ375" i="24"/>
  <c r="AY375" i="24"/>
  <c r="AX375" i="24"/>
  <c r="AW375" i="24"/>
  <c r="AV375" i="24"/>
  <c r="AU375" i="24"/>
  <c r="AT375" i="24"/>
  <c r="AS375" i="24"/>
  <c r="AR375" i="24"/>
  <c r="AQ375" i="24"/>
  <c r="AP375" i="24"/>
  <c r="AO375" i="24"/>
  <c r="AN375" i="24"/>
  <c r="AM375" i="24"/>
  <c r="AL375" i="24"/>
  <c r="AK375" i="24"/>
  <c r="AJ375" i="24"/>
  <c r="AI375" i="24"/>
  <c r="AH375" i="24"/>
  <c r="AG375" i="24"/>
  <c r="AF375" i="24"/>
  <c r="AE375" i="24"/>
  <c r="AD375" i="24"/>
  <c r="AC375" i="24"/>
  <c r="AB375" i="24"/>
  <c r="AA375" i="24"/>
  <c r="Z375" i="24"/>
  <c r="Y375" i="24"/>
  <c r="X375" i="24"/>
  <c r="W375" i="24"/>
  <c r="V375" i="24"/>
  <c r="U375" i="24"/>
  <c r="T375" i="24"/>
  <c r="S375" i="24"/>
  <c r="R375" i="24"/>
  <c r="Q375" i="24"/>
  <c r="P375" i="24"/>
  <c r="O375" i="24"/>
  <c r="N375" i="24"/>
  <c r="M375" i="24"/>
  <c r="L375" i="24"/>
  <c r="K375" i="24"/>
  <c r="J375" i="24"/>
  <c r="I375" i="24"/>
  <c r="H375" i="24"/>
  <c r="BA374" i="24"/>
  <c r="AZ374" i="24"/>
  <c r="AY374" i="24"/>
  <c r="AX374" i="24"/>
  <c r="AW374" i="24"/>
  <c r="AV374" i="24"/>
  <c r="AU374" i="24"/>
  <c r="AT374" i="24"/>
  <c r="AS374" i="24"/>
  <c r="AR374" i="24"/>
  <c r="AQ374" i="24"/>
  <c r="AP374" i="24"/>
  <c r="AO374" i="24"/>
  <c r="AN374" i="24"/>
  <c r="AM374" i="24"/>
  <c r="AL374" i="24"/>
  <c r="AK374" i="24"/>
  <c r="AJ374" i="24"/>
  <c r="AI374" i="24"/>
  <c r="AH374" i="24"/>
  <c r="AG374" i="24"/>
  <c r="AF374" i="24"/>
  <c r="AE374" i="24"/>
  <c r="AD374" i="24"/>
  <c r="AC374" i="24"/>
  <c r="AB374" i="24"/>
  <c r="AA374" i="24"/>
  <c r="Z374" i="24"/>
  <c r="Y374" i="24"/>
  <c r="X374" i="24"/>
  <c r="W374" i="24"/>
  <c r="V374" i="24"/>
  <c r="U374" i="24"/>
  <c r="T374" i="24"/>
  <c r="S374" i="24"/>
  <c r="R374" i="24"/>
  <c r="Q374" i="24"/>
  <c r="P374" i="24"/>
  <c r="O374" i="24"/>
  <c r="N374" i="24"/>
  <c r="M374" i="24"/>
  <c r="L374" i="24"/>
  <c r="K374" i="24"/>
  <c r="J374" i="24"/>
  <c r="I374" i="24"/>
  <c r="H374" i="24"/>
  <c r="BA373" i="24"/>
  <c r="AZ373" i="24"/>
  <c r="AY373" i="24"/>
  <c r="AX373" i="24"/>
  <c r="AW373" i="24"/>
  <c r="AV373" i="24"/>
  <c r="AU373" i="24"/>
  <c r="AT373" i="24"/>
  <c r="AS373" i="24"/>
  <c r="AR373" i="24"/>
  <c r="AQ373" i="24"/>
  <c r="AP373" i="24"/>
  <c r="AO373" i="24"/>
  <c r="AN373" i="24"/>
  <c r="AM373" i="24"/>
  <c r="AL373" i="24"/>
  <c r="AK373" i="24"/>
  <c r="AJ373" i="24"/>
  <c r="AI373" i="24"/>
  <c r="AH373" i="24"/>
  <c r="AG373" i="24"/>
  <c r="AF373" i="24"/>
  <c r="AE373" i="24"/>
  <c r="AD373" i="24"/>
  <c r="AC373" i="24"/>
  <c r="AB373" i="24"/>
  <c r="AA373" i="24"/>
  <c r="Z373" i="24"/>
  <c r="Y373" i="24"/>
  <c r="X373" i="24"/>
  <c r="W373" i="24"/>
  <c r="V373" i="24"/>
  <c r="U373" i="24"/>
  <c r="T373" i="24"/>
  <c r="S373" i="24"/>
  <c r="R373" i="24"/>
  <c r="Q373" i="24"/>
  <c r="P373" i="24"/>
  <c r="O373" i="24"/>
  <c r="N373" i="24"/>
  <c r="M373" i="24"/>
  <c r="L373" i="24"/>
  <c r="K373" i="24"/>
  <c r="J373" i="24"/>
  <c r="I373" i="24"/>
  <c r="H373" i="24"/>
  <c r="BA372" i="24"/>
  <c r="AZ372" i="24"/>
  <c r="AY372" i="24"/>
  <c r="AX372" i="24"/>
  <c r="AW372" i="24"/>
  <c r="AV372" i="24"/>
  <c r="AU372" i="24"/>
  <c r="AT372" i="24"/>
  <c r="AS372" i="24"/>
  <c r="AR372" i="24"/>
  <c r="AQ372" i="24"/>
  <c r="AP372" i="24"/>
  <c r="AO372" i="24"/>
  <c r="AN372" i="24"/>
  <c r="AM372" i="24"/>
  <c r="AL372" i="24"/>
  <c r="AK372" i="24"/>
  <c r="AJ372" i="24"/>
  <c r="AI372" i="24"/>
  <c r="AH372" i="24"/>
  <c r="AG372" i="24"/>
  <c r="AF372" i="24"/>
  <c r="AE372" i="24"/>
  <c r="AD372" i="24"/>
  <c r="AC372" i="24"/>
  <c r="AB372" i="24"/>
  <c r="AA372" i="24"/>
  <c r="Z372" i="24"/>
  <c r="Y372" i="24"/>
  <c r="X372" i="24"/>
  <c r="W372" i="24"/>
  <c r="V372" i="24"/>
  <c r="U372" i="24"/>
  <c r="T372" i="24"/>
  <c r="S372" i="24"/>
  <c r="R372" i="24"/>
  <c r="Q372" i="24"/>
  <c r="P372" i="24"/>
  <c r="O372" i="24"/>
  <c r="N372" i="24"/>
  <c r="M372" i="24"/>
  <c r="L372" i="24"/>
  <c r="K372" i="24"/>
  <c r="J372" i="24"/>
  <c r="I372" i="24"/>
  <c r="H372" i="24"/>
  <c r="BA371" i="24"/>
  <c r="AZ371" i="24"/>
  <c r="AY371" i="24"/>
  <c r="AX371" i="24"/>
  <c r="AW371" i="24"/>
  <c r="AV371" i="24"/>
  <c r="AU371" i="24"/>
  <c r="AT371" i="24"/>
  <c r="AS371" i="24"/>
  <c r="AR371" i="24"/>
  <c r="AQ371" i="24"/>
  <c r="AP371" i="24"/>
  <c r="AO371" i="24"/>
  <c r="AN371" i="24"/>
  <c r="AM371" i="24"/>
  <c r="AL371" i="24"/>
  <c r="AK371" i="24"/>
  <c r="AJ371" i="24"/>
  <c r="AI371" i="24"/>
  <c r="AH371" i="24"/>
  <c r="AG371" i="24"/>
  <c r="AF371" i="24"/>
  <c r="AE371" i="24"/>
  <c r="AD371" i="24"/>
  <c r="AC371" i="24"/>
  <c r="AB371" i="24"/>
  <c r="AA371" i="24"/>
  <c r="Z371" i="24"/>
  <c r="Y371" i="24"/>
  <c r="X371" i="24"/>
  <c r="W371" i="24"/>
  <c r="V371" i="24"/>
  <c r="U371" i="24"/>
  <c r="T371" i="24"/>
  <c r="S371" i="24"/>
  <c r="R371" i="24"/>
  <c r="Q371" i="24"/>
  <c r="P371" i="24"/>
  <c r="O371" i="24"/>
  <c r="N371" i="24"/>
  <c r="M371" i="24"/>
  <c r="L371" i="24"/>
  <c r="K371" i="24"/>
  <c r="J371" i="24"/>
  <c r="I371" i="24"/>
  <c r="H371" i="24"/>
  <c r="BA370" i="24"/>
  <c r="AZ370" i="24"/>
  <c r="AY370" i="24"/>
  <c r="AX370" i="24"/>
  <c r="AW370" i="24"/>
  <c r="AV370" i="24"/>
  <c r="AU370" i="24"/>
  <c r="AT370" i="24"/>
  <c r="AS370" i="24"/>
  <c r="AR370" i="24"/>
  <c r="AQ370" i="24"/>
  <c r="AP370" i="24"/>
  <c r="AO370" i="24"/>
  <c r="AN370" i="24"/>
  <c r="AM370" i="24"/>
  <c r="AL370" i="24"/>
  <c r="AK370" i="24"/>
  <c r="AJ370" i="24"/>
  <c r="AI370" i="24"/>
  <c r="AH370" i="24"/>
  <c r="AG370" i="24"/>
  <c r="AF370" i="24"/>
  <c r="AE370" i="24"/>
  <c r="AD370" i="24"/>
  <c r="AC370" i="24"/>
  <c r="AB370" i="24"/>
  <c r="AA370" i="24"/>
  <c r="Z370" i="24"/>
  <c r="Y370" i="24"/>
  <c r="X370" i="24"/>
  <c r="W370" i="24"/>
  <c r="V370" i="24"/>
  <c r="U370" i="24"/>
  <c r="T370" i="24"/>
  <c r="S370" i="24"/>
  <c r="R370" i="24"/>
  <c r="Q370" i="24"/>
  <c r="P370" i="24"/>
  <c r="O370" i="24"/>
  <c r="N370" i="24"/>
  <c r="M370" i="24"/>
  <c r="L370" i="24"/>
  <c r="K370" i="24"/>
  <c r="J370" i="24"/>
  <c r="I370" i="24"/>
  <c r="H370" i="24"/>
  <c r="BA369" i="24"/>
  <c r="AZ369" i="24"/>
  <c r="AY369" i="24"/>
  <c r="AX369" i="24"/>
  <c r="AW369" i="24"/>
  <c r="AV369" i="24"/>
  <c r="AU369" i="24"/>
  <c r="AT369" i="24"/>
  <c r="AS369" i="24"/>
  <c r="AR369" i="24"/>
  <c r="AQ369" i="24"/>
  <c r="AP369" i="24"/>
  <c r="AO369" i="24"/>
  <c r="AN369" i="24"/>
  <c r="AM369" i="24"/>
  <c r="AL369" i="24"/>
  <c r="AK369" i="24"/>
  <c r="AJ369" i="24"/>
  <c r="AI369" i="24"/>
  <c r="AH369" i="24"/>
  <c r="AG369" i="24"/>
  <c r="AF369" i="24"/>
  <c r="AE369" i="24"/>
  <c r="AD369" i="24"/>
  <c r="AC369" i="24"/>
  <c r="AB369" i="24"/>
  <c r="AA369" i="24"/>
  <c r="Z369" i="24"/>
  <c r="Y369" i="24"/>
  <c r="X369" i="24"/>
  <c r="W369" i="24"/>
  <c r="V369" i="24"/>
  <c r="U369" i="24"/>
  <c r="T369" i="24"/>
  <c r="S369" i="24"/>
  <c r="R369" i="24"/>
  <c r="Q369" i="24"/>
  <c r="P369" i="24"/>
  <c r="O369" i="24"/>
  <c r="N369" i="24"/>
  <c r="M369" i="24"/>
  <c r="L369" i="24"/>
  <c r="K369" i="24"/>
  <c r="J369" i="24"/>
  <c r="I369" i="24"/>
  <c r="H369" i="24"/>
  <c r="BA368" i="24"/>
  <c r="AZ368" i="24"/>
  <c r="AY368" i="24"/>
  <c r="AX368" i="24"/>
  <c r="AW368" i="24"/>
  <c r="AV368" i="24"/>
  <c r="AU368" i="24"/>
  <c r="AT368" i="24"/>
  <c r="AS368" i="24"/>
  <c r="AR368" i="24"/>
  <c r="AQ368" i="24"/>
  <c r="AP368" i="24"/>
  <c r="AO368" i="24"/>
  <c r="AN368" i="24"/>
  <c r="AM368" i="24"/>
  <c r="AL368" i="24"/>
  <c r="AK368" i="24"/>
  <c r="AJ368" i="24"/>
  <c r="AI368" i="24"/>
  <c r="AH368" i="24"/>
  <c r="AG368" i="24"/>
  <c r="AF368" i="24"/>
  <c r="AE368" i="24"/>
  <c r="AD368" i="24"/>
  <c r="AC368" i="24"/>
  <c r="AB368" i="24"/>
  <c r="AA368" i="24"/>
  <c r="Z368" i="24"/>
  <c r="Y368" i="24"/>
  <c r="X368" i="24"/>
  <c r="W368" i="24"/>
  <c r="V368" i="24"/>
  <c r="U368" i="24"/>
  <c r="T368" i="24"/>
  <c r="S368" i="24"/>
  <c r="R368" i="24"/>
  <c r="Q368" i="24"/>
  <c r="P368" i="24"/>
  <c r="O368" i="24"/>
  <c r="N368" i="24"/>
  <c r="M368" i="24"/>
  <c r="L368" i="24"/>
  <c r="K368" i="24"/>
  <c r="J368" i="24"/>
  <c r="I368" i="24"/>
  <c r="H368" i="24"/>
  <c r="BA367" i="24"/>
  <c r="AZ367" i="24"/>
  <c r="AY367" i="24"/>
  <c r="AX367" i="24"/>
  <c r="AW367" i="24"/>
  <c r="AV367" i="24"/>
  <c r="AU367" i="24"/>
  <c r="AT367" i="24"/>
  <c r="AS367" i="24"/>
  <c r="AR367" i="24"/>
  <c r="AQ367" i="24"/>
  <c r="AP367" i="24"/>
  <c r="AO367" i="24"/>
  <c r="AN367" i="24"/>
  <c r="AM367" i="24"/>
  <c r="AL367" i="24"/>
  <c r="AK367" i="24"/>
  <c r="AJ367" i="24"/>
  <c r="AI367" i="24"/>
  <c r="AH367" i="24"/>
  <c r="AG367" i="24"/>
  <c r="AF367" i="24"/>
  <c r="AE367" i="24"/>
  <c r="AD367" i="24"/>
  <c r="AC367" i="24"/>
  <c r="AB367" i="24"/>
  <c r="AA367" i="24"/>
  <c r="Z367" i="24"/>
  <c r="Y367" i="24"/>
  <c r="X367" i="24"/>
  <c r="W367" i="24"/>
  <c r="V367" i="24"/>
  <c r="U367" i="24"/>
  <c r="T367" i="24"/>
  <c r="S367" i="24"/>
  <c r="R367" i="24"/>
  <c r="Q367" i="24"/>
  <c r="P367" i="24"/>
  <c r="O367" i="24"/>
  <c r="N367" i="24"/>
  <c r="M367" i="24"/>
  <c r="L367" i="24"/>
  <c r="K367" i="24"/>
  <c r="J367" i="24"/>
  <c r="I367" i="24"/>
  <c r="H367" i="24"/>
  <c r="BA366" i="24"/>
  <c r="AZ366" i="24"/>
  <c r="AY366" i="24"/>
  <c r="AX366" i="24"/>
  <c r="AW366" i="24"/>
  <c r="AV366" i="24"/>
  <c r="AU366" i="24"/>
  <c r="AT366" i="24"/>
  <c r="AS366" i="24"/>
  <c r="AR366" i="24"/>
  <c r="AQ366" i="24"/>
  <c r="AP366" i="24"/>
  <c r="AO366" i="24"/>
  <c r="AN366" i="24"/>
  <c r="AM366" i="24"/>
  <c r="AL366" i="24"/>
  <c r="AK366" i="24"/>
  <c r="AJ366" i="24"/>
  <c r="AI366" i="24"/>
  <c r="AH366" i="24"/>
  <c r="AG366" i="24"/>
  <c r="AF366" i="24"/>
  <c r="AE366" i="24"/>
  <c r="AD366" i="24"/>
  <c r="AC366" i="24"/>
  <c r="AB366" i="24"/>
  <c r="AA366" i="24"/>
  <c r="Z366" i="24"/>
  <c r="Y366" i="24"/>
  <c r="X366" i="24"/>
  <c r="W366" i="24"/>
  <c r="V366" i="24"/>
  <c r="U366" i="24"/>
  <c r="T366" i="24"/>
  <c r="S366" i="24"/>
  <c r="R366" i="24"/>
  <c r="Q366" i="24"/>
  <c r="P366" i="24"/>
  <c r="O366" i="24"/>
  <c r="N366" i="24"/>
  <c r="M366" i="24"/>
  <c r="L366" i="24"/>
  <c r="K366" i="24"/>
  <c r="J366" i="24"/>
  <c r="I366" i="24"/>
  <c r="H366" i="24"/>
  <c r="BA365" i="24"/>
  <c r="AZ365" i="24"/>
  <c r="AY365" i="24"/>
  <c r="AX365" i="24"/>
  <c r="AW365" i="24"/>
  <c r="AV365" i="24"/>
  <c r="AU365" i="24"/>
  <c r="AT365" i="24"/>
  <c r="AS365" i="24"/>
  <c r="AR365" i="24"/>
  <c r="AQ365" i="24"/>
  <c r="AP365" i="24"/>
  <c r="AO365" i="24"/>
  <c r="AN365" i="24"/>
  <c r="AM365" i="24"/>
  <c r="AL365" i="24"/>
  <c r="AK365" i="24"/>
  <c r="AJ365" i="24"/>
  <c r="AI365" i="24"/>
  <c r="AH365" i="24"/>
  <c r="AG365" i="24"/>
  <c r="AF365" i="24"/>
  <c r="AE365" i="24"/>
  <c r="AD365" i="24"/>
  <c r="AC365" i="24"/>
  <c r="AB365" i="24"/>
  <c r="AA365" i="24"/>
  <c r="Z365" i="24"/>
  <c r="Y365" i="24"/>
  <c r="X365" i="24"/>
  <c r="W365" i="24"/>
  <c r="V365" i="24"/>
  <c r="U365" i="24"/>
  <c r="T365" i="24"/>
  <c r="S365" i="24"/>
  <c r="R365" i="24"/>
  <c r="Q365" i="24"/>
  <c r="P365" i="24"/>
  <c r="O365" i="24"/>
  <c r="N365" i="24"/>
  <c r="M365" i="24"/>
  <c r="L365" i="24"/>
  <c r="K365" i="24"/>
  <c r="J365" i="24"/>
  <c r="I365" i="24"/>
  <c r="H365" i="24"/>
  <c r="BA364" i="24"/>
  <c r="AZ364" i="24"/>
  <c r="AY364" i="24"/>
  <c r="AX364" i="24"/>
  <c r="AW364" i="24"/>
  <c r="AV364" i="24"/>
  <c r="AU364" i="24"/>
  <c r="AT364" i="24"/>
  <c r="AS364" i="24"/>
  <c r="AR364" i="24"/>
  <c r="AQ364" i="24"/>
  <c r="AP364" i="24"/>
  <c r="AO364" i="24"/>
  <c r="AN364" i="24"/>
  <c r="AM364" i="24"/>
  <c r="AL364" i="24"/>
  <c r="AK364" i="24"/>
  <c r="AJ364" i="24"/>
  <c r="AI364" i="24"/>
  <c r="AH364" i="24"/>
  <c r="AG364" i="24"/>
  <c r="AF364" i="24"/>
  <c r="AE364" i="24"/>
  <c r="AD364" i="24"/>
  <c r="AC364" i="24"/>
  <c r="AB364" i="24"/>
  <c r="AA364" i="24"/>
  <c r="Z364" i="24"/>
  <c r="Y364" i="24"/>
  <c r="X364" i="24"/>
  <c r="W364" i="24"/>
  <c r="V364" i="24"/>
  <c r="U364" i="24"/>
  <c r="T364" i="24"/>
  <c r="S364" i="24"/>
  <c r="R364" i="24"/>
  <c r="Q364" i="24"/>
  <c r="P364" i="24"/>
  <c r="O364" i="24"/>
  <c r="N364" i="24"/>
  <c r="M364" i="24"/>
  <c r="L364" i="24"/>
  <c r="K364" i="24"/>
  <c r="J364" i="24"/>
  <c r="I364" i="24"/>
  <c r="H364" i="24"/>
  <c r="BA363" i="24"/>
  <c r="AZ363" i="24"/>
  <c r="AY363" i="24"/>
  <c r="AX363" i="24"/>
  <c r="AW363" i="24"/>
  <c r="AV363" i="24"/>
  <c r="AU363" i="24"/>
  <c r="AT363" i="24"/>
  <c r="AS363" i="24"/>
  <c r="AR363" i="24"/>
  <c r="AQ363" i="24"/>
  <c r="AP363" i="24"/>
  <c r="AO363" i="24"/>
  <c r="AN363" i="24"/>
  <c r="AM363" i="24"/>
  <c r="AL363" i="24"/>
  <c r="AK363" i="24"/>
  <c r="AJ363" i="24"/>
  <c r="AI363" i="24"/>
  <c r="AH363" i="24"/>
  <c r="AG363" i="24"/>
  <c r="AF363" i="24"/>
  <c r="AE363" i="24"/>
  <c r="AD363" i="24"/>
  <c r="AC363" i="24"/>
  <c r="AB363" i="24"/>
  <c r="AA363" i="24"/>
  <c r="Z363" i="24"/>
  <c r="Y363" i="24"/>
  <c r="X363" i="24"/>
  <c r="W363" i="24"/>
  <c r="V363" i="24"/>
  <c r="U363" i="24"/>
  <c r="T363" i="24"/>
  <c r="S363" i="24"/>
  <c r="R363" i="24"/>
  <c r="Q363" i="24"/>
  <c r="P363" i="24"/>
  <c r="O363" i="24"/>
  <c r="N363" i="24"/>
  <c r="M363" i="24"/>
  <c r="L363" i="24"/>
  <c r="K363" i="24"/>
  <c r="J363" i="24"/>
  <c r="I363" i="24"/>
  <c r="H363" i="24"/>
  <c r="BA362" i="24"/>
  <c r="AZ362" i="24"/>
  <c r="AY362" i="24"/>
  <c r="AX362" i="24"/>
  <c r="AW362" i="24"/>
  <c r="AV362" i="24"/>
  <c r="AU362" i="24"/>
  <c r="AT362" i="24"/>
  <c r="AS362" i="24"/>
  <c r="AR362" i="24"/>
  <c r="AQ362" i="24"/>
  <c r="AP362" i="24"/>
  <c r="AO362" i="24"/>
  <c r="AN362" i="24"/>
  <c r="AM362" i="24"/>
  <c r="AL362" i="24"/>
  <c r="AK362" i="24"/>
  <c r="AJ362" i="24"/>
  <c r="AI362" i="24"/>
  <c r="AH362" i="24"/>
  <c r="AG362" i="24"/>
  <c r="AF362" i="24"/>
  <c r="AE362" i="24"/>
  <c r="AD362" i="24"/>
  <c r="AC362" i="24"/>
  <c r="AB362" i="24"/>
  <c r="AA362" i="24"/>
  <c r="Z362" i="24"/>
  <c r="Y362" i="24"/>
  <c r="X362" i="24"/>
  <c r="W362" i="24"/>
  <c r="V362" i="24"/>
  <c r="U362" i="24"/>
  <c r="T362" i="24"/>
  <c r="S362" i="24"/>
  <c r="R362" i="24"/>
  <c r="Q362" i="24"/>
  <c r="P362" i="24"/>
  <c r="O362" i="24"/>
  <c r="N362" i="24"/>
  <c r="M362" i="24"/>
  <c r="L362" i="24"/>
  <c r="K362" i="24"/>
  <c r="J362" i="24"/>
  <c r="I362" i="24"/>
  <c r="H362" i="24"/>
  <c r="BA361" i="24"/>
  <c r="AZ361" i="24"/>
  <c r="AY361" i="24"/>
  <c r="AX361" i="24"/>
  <c r="AW361" i="24"/>
  <c r="AV361" i="24"/>
  <c r="AU361" i="24"/>
  <c r="AT361" i="24"/>
  <c r="AS361" i="24"/>
  <c r="AR361" i="24"/>
  <c r="AQ361" i="24"/>
  <c r="AP361" i="24"/>
  <c r="AO361" i="24"/>
  <c r="AN361" i="24"/>
  <c r="AM361" i="24"/>
  <c r="AL361" i="24"/>
  <c r="AK361" i="24"/>
  <c r="AJ361" i="24"/>
  <c r="AI361" i="24"/>
  <c r="AH361" i="24"/>
  <c r="AG361" i="24"/>
  <c r="AF361" i="24"/>
  <c r="AE361" i="24"/>
  <c r="AD361" i="24"/>
  <c r="AC361" i="24"/>
  <c r="AB361" i="24"/>
  <c r="AA361" i="24"/>
  <c r="Z361" i="24"/>
  <c r="Y361" i="24"/>
  <c r="X361" i="24"/>
  <c r="W361" i="24"/>
  <c r="V361" i="24"/>
  <c r="U361" i="24"/>
  <c r="T361" i="24"/>
  <c r="S361" i="24"/>
  <c r="R361" i="24"/>
  <c r="Q361" i="24"/>
  <c r="P361" i="24"/>
  <c r="O361" i="24"/>
  <c r="N361" i="24"/>
  <c r="M361" i="24"/>
  <c r="L361" i="24"/>
  <c r="K361" i="24"/>
  <c r="J361" i="24"/>
  <c r="I361" i="24"/>
  <c r="H361" i="24"/>
  <c r="BA360" i="24"/>
  <c r="AZ360" i="24"/>
  <c r="AY360" i="24"/>
  <c r="AX360" i="24"/>
  <c r="AW360" i="24"/>
  <c r="AV360" i="24"/>
  <c r="AU360" i="24"/>
  <c r="AT360" i="24"/>
  <c r="AS360" i="24"/>
  <c r="AR360" i="24"/>
  <c r="AQ360" i="24"/>
  <c r="AP360" i="24"/>
  <c r="AO360" i="24"/>
  <c r="AN360" i="24"/>
  <c r="AM360" i="24"/>
  <c r="AL360" i="24"/>
  <c r="AK360" i="24"/>
  <c r="AJ360" i="24"/>
  <c r="AI360" i="24"/>
  <c r="AH360" i="24"/>
  <c r="AG360" i="24"/>
  <c r="AF360" i="24"/>
  <c r="AE360" i="24"/>
  <c r="AD360" i="24"/>
  <c r="AC360" i="24"/>
  <c r="AB360" i="24"/>
  <c r="AA360" i="24"/>
  <c r="Z360" i="24"/>
  <c r="Y360" i="24"/>
  <c r="X360" i="24"/>
  <c r="W360" i="24"/>
  <c r="V360" i="24"/>
  <c r="U360" i="24"/>
  <c r="T360" i="24"/>
  <c r="S360" i="24"/>
  <c r="R360" i="24"/>
  <c r="Q360" i="24"/>
  <c r="P360" i="24"/>
  <c r="O360" i="24"/>
  <c r="N360" i="24"/>
  <c r="M360" i="24"/>
  <c r="L360" i="24"/>
  <c r="K360" i="24"/>
  <c r="J360" i="24"/>
  <c r="I360" i="24"/>
  <c r="H360" i="24"/>
  <c r="BA359" i="24"/>
  <c r="AZ359" i="24"/>
  <c r="AY359" i="24"/>
  <c r="AX359" i="24"/>
  <c r="AW359" i="24"/>
  <c r="AV359" i="24"/>
  <c r="AU359" i="24"/>
  <c r="AT359" i="24"/>
  <c r="AS359" i="24"/>
  <c r="AR359" i="24"/>
  <c r="AQ359" i="24"/>
  <c r="AP359" i="24"/>
  <c r="AO359" i="24"/>
  <c r="AN359" i="24"/>
  <c r="AM359" i="24"/>
  <c r="AL359" i="24"/>
  <c r="AK359" i="24"/>
  <c r="AJ359" i="24"/>
  <c r="AI359" i="24"/>
  <c r="AH359" i="24"/>
  <c r="AG359" i="24"/>
  <c r="AF359" i="24"/>
  <c r="AE359" i="24"/>
  <c r="AD359" i="24"/>
  <c r="AC359" i="24"/>
  <c r="AB359" i="24"/>
  <c r="AA359" i="24"/>
  <c r="Z359" i="24"/>
  <c r="Y359" i="24"/>
  <c r="X359" i="24"/>
  <c r="W359" i="24"/>
  <c r="V359" i="24"/>
  <c r="U359" i="24"/>
  <c r="T359" i="24"/>
  <c r="S359" i="24"/>
  <c r="R359" i="24"/>
  <c r="Q359" i="24"/>
  <c r="P359" i="24"/>
  <c r="O359" i="24"/>
  <c r="N359" i="24"/>
  <c r="M359" i="24"/>
  <c r="L359" i="24"/>
  <c r="K359" i="24"/>
  <c r="J359" i="24"/>
  <c r="I359" i="24"/>
  <c r="H359" i="24"/>
  <c r="BA358" i="24"/>
  <c r="AZ358" i="24"/>
  <c r="AY358" i="24"/>
  <c r="AX358" i="24"/>
  <c r="AW358" i="24"/>
  <c r="AV358" i="24"/>
  <c r="AU358" i="24"/>
  <c r="AT358" i="24"/>
  <c r="AS358" i="24"/>
  <c r="AR358" i="24"/>
  <c r="AQ358" i="24"/>
  <c r="AP358" i="24"/>
  <c r="AO358" i="24"/>
  <c r="AN358" i="24"/>
  <c r="AM358" i="24"/>
  <c r="AL358" i="24"/>
  <c r="AK358" i="24"/>
  <c r="AJ358" i="24"/>
  <c r="AI358" i="24"/>
  <c r="AH358" i="24"/>
  <c r="AG358" i="24"/>
  <c r="AF358" i="24"/>
  <c r="AE358" i="24"/>
  <c r="AD358" i="24"/>
  <c r="AC358" i="24"/>
  <c r="AB358" i="24"/>
  <c r="AA358" i="24"/>
  <c r="Z358" i="24"/>
  <c r="Y358" i="24"/>
  <c r="X358" i="24"/>
  <c r="W358" i="24"/>
  <c r="V358" i="24"/>
  <c r="U358" i="24"/>
  <c r="T358" i="24"/>
  <c r="S358" i="24"/>
  <c r="R358" i="24"/>
  <c r="Q358" i="24"/>
  <c r="P358" i="24"/>
  <c r="O358" i="24"/>
  <c r="N358" i="24"/>
  <c r="M358" i="24"/>
  <c r="L358" i="24"/>
  <c r="K358" i="24"/>
  <c r="J358" i="24"/>
  <c r="I358" i="24"/>
  <c r="H358" i="24"/>
  <c r="BA357" i="24"/>
  <c r="AZ357" i="24"/>
  <c r="AY357" i="24"/>
  <c r="AX357" i="24"/>
  <c r="AW357" i="24"/>
  <c r="AV357" i="24"/>
  <c r="AU357" i="24"/>
  <c r="AT357" i="24"/>
  <c r="AS357" i="24"/>
  <c r="AR357" i="24"/>
  <c r="AQ357" i="24"/>
  <c r="AP357" i="24"/>
  <c r="AO357" i="24"/>
  <c r="AN357" i="24"/>
  <c r="AM357" i="24"/>
  <c r="AL357" i="24"/>
  <c r="AK357" i="24"/>
  <c r="AJ357" i="24"/>
  <c r="AI357" i="24"/>
  <c r="AH357" i="24"/>
  <c r="AG357" i="24"/>
  <c r="AF357" i="24"/>
  <c r="AE357" i="24"/>
  <c r="AD357" i="24"/>
  <c r="AC357" i="24"/>
  <c r="AB357" i="24"/>
  <c r="AA357" i="24"/>
  <c r="Z357" i="24"/>
  <c r="Y357" i="24"/>
  <c r="X357" i="24"/>
  <c r="W357" i="24"/>
  <c r="V357" i="24"/>
  <c r="U357" i="24"/>
  <c r="T357" i="24"/>
  <c r="S357" i="24"/>
  <c r="R357" i="24"/>
  <c r="Q357" i="24"/>
  <c r="P357" i="24"/>
  <c r="O357" i="24"/>
  <c r="N357" i="24"/>
  <c r="M357" i="24"/>
  <c r="L357" i="24"/>
  <c r="K357" i="24"/>
  <c r="J357" i="24"/>
  <c r="I357" i="24"/>
  <c r="H357" i="24"/>
  <c r="BA356" i="24"/>
  <c r="AZ356" i="24"/>
  <c r="AY356" i="24"/>
  <c r="AX356" i="24"/>
  <c r="AW356" i="24"/>
  <c r="AV356" i="24"/>
  <c r="AU356" i="24"/>
  <c r="AT356" i="24"/>
  <c r="AS356" i="24"/>
  <c r="AR356" i="24"/>
  <c r="AQ356" i="24"/>
  <c r="AP356" i="24"/>
  <c r="AO356" i="24"/>
  <c r="AN356" i="24"/>
  <c r="AM356" i="24"/>
  <c r="AL356" i="24"/>
  <c r="AK356" i="24"/>
  <c r="AJ356" i="24"/>
  <c r="AI356" i="24"/>
  <c r="AH356" i="24"/>
  <c r="AG356" i="24"/>
  <c r="AF356" i="24"/>
  <c r="AE356" i="24"/>
  <c r="AD356" i="24"/>
  <c r="AC356" i="24"/>
  <c r="AB356" i="24"/>
  <c r="AA356" i="24"/>
  <c r="Z356" i="24"/>
  <c r="Y356" i="24"/>
  <c r="X356" i="24"/>
  <c r="W356" i="24"/>
  <c r="V356" i="24"/>
  <c r="U356" i="24"/>
  <c r="T356" i="24"/>
  <c r="S356" i="24"/>
  <c r="R356" i="24"/>
  <c r="Q356" i="24"/>
  <c r="P356" i="24"/>
  <c r="O356" i="24"/>
  <c r="N356" i="24"/>
  <c r="M356" i="24"/>
  <c r="L356" i="24"/>
  <c r="K356" i="24"/>
  <c r="J356" i="24"/>
  <c r="I356" i="24"/>
  <c r="H356" i="24"/>
  <c r="BA355" i="24"/>
  <c r="AZ355" i="24"/>
  <c r="AY355" i="24"/>
  <c r="AX355" i="24"/>
  <c r="AW355" i="24"/>
  <c r="AV355" i="24"/>
  <c r="AU355" i="24"/>
  <c r="AT355" i="24"/>
  <c r="AS355" i="24"/>
  <c r="AR355" i="24"/>
  <c r="AQ355" i="24"/>
  <c r="AP355" i="24"/>
  <c r="AO355" i="24"/>
  <c r="AN355" i="24"/>
  <c r="AM355" i="24"/>
  <c r="AL355" i="24"/>
  <c r="AK355" i="24"/>
  <c r="AJ355" i="24"/>
  <c r="AI355" i="24"/>
  <c r="AH355" i="24"/>
  <c r="AG355" i="24"/>
  <c r="AF355" i="24"/>
  <c r="AE355" i="24"/>
  <c r="AD355" i="24"/>
  <c r="AC355" i="24"/>
  <c r="AB355" i="24"/>
  <c r="AA355" i="24"/>
  <c r="Z355" i="24"/>
  <c r="Y355" i="24"/>
  <c r="X355" i="24"/>
  <c r="W355" i="24"/>
  <c r="V355" i="24"/>
  <c r="U355" i="24"/>
  <c r="T355" i="24"/>
  <c r="S355" i="24"/>
  <c r="R355" i="24"/>
  <c r="Q355" i="24"/>
  <c r="P355" i="24"/>
  <c r="O355" i="24"/>
  <c r="N355" i="24"/>
  <c r="M355" i="24"/>
  <c r="L355" i="24"/>
  <c r="K355" i="24"/>
  <c r="J355" i="24"/>
  <c r="I355" i="24"/>
  <c r="H355" i="24"/>
  <c r="BA354" i="24"/>
  <c r="AZ354" i="24"/>
  <c r="AY354" i="24"/>
  <c r="AX354" i="24"/>
  <c r="AW354" i="24"/>
  <c r="AV354" i="24"/>
  <c r="AU354" i="24"/>
  <c r="AT354" i="24"/>
  <c r="AS354" i="24"/>
  <c r="AR354" i="24"/>
  <c r="AQ354" i="24"/>
  <c r="AP354" i="24"/>
  <c r="AO354" i="24"/>
  <c r="AN354" i="24"/>
  <c r="AM354" i="24"/>
  <c r="AL354" i="24"/>
  <c r="AK354" i="24"/>
  <c r="AJ354" i="24"/>
  <c r="AI354" i="24"/>
  <c r="AH354" i="24"/>
  <c r="AG354" i="24"/>
  <c r="AF354" i="24"/>
  <c r="AE354" i="24"/>
  <c r="AD354" i="24"/>
  <c r="AC354" i="24"/>
  <c r="AB354" i="24"/>
  <c r="AA354" i="24"/>
  <c r="Z354" i="24"/>
  <c r="Y354" i="24"/>
  <c r="X354" i="24"/>
  <c r="W354" i="24"/>
  <c r="V354" i="24"/>
  <c r="U354" i="24"/>
  <c r="T354" i="24"/>
  <c r="S354" i="24"/>
  <c r="R354" i="24"/>
  <c r="Q354" i="24"/>
  <c r="P354" i="24"/>
  <c r="O354" i="24"/>
  <c r="N354" i="24"/>
  <c r="M354" i="24"/>
  <c r="L354" i="24"/>
  <c r="K354" i="24"/>
  <c r="J354" i="24"/>
  <c r="I354" i="24"/>
  <c r="H354" i="24"/>
  <c r="BA353" i="24"/>
  <c r="AZ353" i="24"/>
  <c r="AY353" i="24"/>
  <c r="AX353" i="24"/>
  <c r="AW353" i="24"/>
  <c r="AV353" i="24"/>
  <c r="AU353" i="24"/>
  <c r="AT353" i="24"/>
  <c r="AS353" i="24"/>
  <c r="AR353" i="24"/>
  <c r="AQ353" i="24"/>
  <c r="AP353" i="24"/>
  <c r="AO353" i="24"/>
  <c r="AN353" i="24"/>
  <c r="AM353" i="24"/>
  <c r="AL353" i="24"/>
  <c r="AK353" i="24"/>
  <c r="AJ353" i="24"/>
  <c r="AI353" i="24"/>
  <c r="AH353" i="24"/>
  <c r="AG353" i="24"/>
  <c r="AF353" i="24"/>
  <c r="AE353" i="24"/>
  <c r="AD353" i="24"/>
  <c r="AC353" i="24"/>
  <c r="AB353" i="24"/>
  <c r="AA353" i="24"/>
  <c r="Z353" i="24"/>
  <c r="Y353" i="24"/>
  <c r="X353" i="24"/>
  <c r="W353" i="24"/>
  <c r="V353" i="24"/>
  <c r="U353" i="24"/>
  <c r="T353" i="24"/>
  <c r="S353" i="24"/>
  <c r="R353" i="24"/>
  <c r="Q353" i="24"/>
  <c r="P353" i="24"/>
  <c r="O353" i="24"/>
  <c r="N353" i="24"/>
  <c r="M353" i="24"/>
  <c r="L353" i="24"/>
  <c r="K353" i="24"/>
  <c r="J353" i="24"/>
  <c r="I353" i="24"/>
  <c r="H353" i="24"/>
  <c r="BA352" i="24"/>
  <c r="AZ352" i="24"/>
  <c r="AY352" i="24"/>
  <c r="AX352" i="24"/>
  <c r="AW352" i="24"/>
  <c r="AV352" i="24"/>
  <c r="AU352" i="24"/>
  <c r="AT352" i="24"/>
  <c r="AS352" i="24"/>
  <c r="AR352" i="24"/>
  <c r="AQ352" i="24"/>
  <c r="AP352" i="24"/>
  <c r="AO352" i="24"/>
  <c r="AN352" i="24"/>
  <c r="AM352" i="24"/>
  <c r="AL352" i="24"/>
  <c r="AK352" i="24"/>
  <c r="AJ352" i="24"/>
  <c r="AI352" i="24"/>
  <c r="AH352" i="24"/>
  <c r="AG352" i="24"/>
  <c r="AF352" i="24"/>
  <c r="AE352" i="24"/>
  <c r="AD352" i="24"/>
  <c r="AC352" i="24"/>
  <c r="AB352" i="24"/>
  <c r="AA352" i="24"/>
  <c r="Z352" i="24"/>
  <c r="Y352" i="24"/>
  <c r="X352" i="24"/>
  <c r="W352" i="24"/>
  <c r="V352" i="24"/>
  <c r="U352" i="24"/>
  <c r="T352" i="24"/>
  <c r="S352" i="24"/>
  <c r="R352" i="24"/>
  <c r="Q352" i="24"/>
  <c r="P352" i="24"/>
  <c r="O352" i="24"/>
  <c r="N352" i="24"/>
  <c r="M352" i="24"/>
  <c r="L352" i="24"/>
  <c r="K352" i="24"/>
  <c r="J352" i="24"/>
  <c r="I352" i="24"/>
  <c r="H352" i="24"/>
  <c r="BA351" i="24"/>
  <c r="AZ351" i="24"/>
  <c r="AY351" i="24"/>
  <c r="AX351" i="24"/>
  <c r="AW351" i="24"/>
  <c r="AV351" i="24"/>
  <c r="AU351" i="24"/>
  <c r="AT351" i="24"/>
  <c r="AS351" i="24"/>
  <c r="AR351" i="24"/>
  <c r="AQ351" i="24"/>
  <c r="AP351" i="24"/>
  <c r="AO351" i="24"/>
  <c r="AN351" i="24"/>
  <c r="AM351" i="24"/>
  <c r="AL351" i="24"/>
  <c r="AK351" i="24"/>
  <c r="AJ351" i="24"/>
  <c r="AI351" i="24"/>
  <c r="AH351" i="24"/>
  <c r="AG351" i="24"/>
  <c r="AF351" i="24"/>
  <c r="AE351" i="24"/>
  <c r="AD351" i="24"/>
  <c r="AC351" i="24"/>
  <c r="AB351" i="24"/>
  <c r="AA351" i="24"/>
  <c r="Z351" i="24"/>
  <c r="Y351" i="24"/>
  <c r="X351" i="24"/>
  <c r="W351" i="24"/>
  <c r="V351" i="24"/>
  <c r="U351" i="24"/>
  <c r="T351" i="24"/>
  <c r="S351" i="24"/>
  <c r="R351" i="24"/>
  <c r="Q351" i="24"/>
  <c r="P351" i="24"/>
  <c r="O351" i="24"/>
  <c r="N351" i="24"/>
  <c r="M351" i="24"/>
  <c r="L351" i="24"/>
  <c r="K351" i="24"/>
  <c r="J351" i="24"/>
  <c r="I351" i="24"/>
  <c r="H351" i="24"/>
  <c r="BA350" i="24"/>
  <c r="AZ350" i="24"/>
  <c r="AY350" i="24"/>
  <c r="AX350" i="24"/>
  <c r="AW350" i="24"/>
  <c r="AV350" i="24"/>
  <c r="AU350" i="24"/>
  <c r="AT350" i="24"/>
  <c r="AS350" i="24"/>
  <c r="AR350" i="24"/>
  <c r="AQ350" i="24"/>
  <c r="AP350" i="24"/>
  <c r="AO350" i="24"/>
  <c r="AN350" i="24"/>
  <c r="AM350" i="24"/>
  <c r="AL350" i="24"/>
  <c r="AK350" i="24"/>
  <c r="AJ350" i="24"/>
  <c r="AI350" i="24"/>
  <c r="AH350" i="24"/>
  <c r="AG350" i="24"/>
  <c r="AF350" i="24"/>
  <c r="AE350" i="24"/>
  <c r="AD350" i="24"/>
  <c r="AC350" i="24"/>
  <c r="AB350" i="24"/>
  <c r="AA350" i="24"/>
  <c r="Z350" i="24"/>
  <c r="Y350" i="24"/>
  <c r="X350" i="24"/>
  <c r="W350" i="24"/>
  <c r="V350" i="24"/>
  <c r="U350" i="24"/>
  <c r="T350" i="24"/>
  <c r="S350" i="24"/>
  <c r="R350" i="24"/>
  <c r="Q350" i="24"/>
  <c r="P350" i="24"/>
  <c r="O350" i="24"/>
  <c r="N350" i="24"/>
  <c r="M350" i="24"/>
  <c r="L350" i="24"/>
  <c r="K350" i="24"/>
  <c r="J350" i="24"/>
  <c r="I350" i="24"/>
  <c r="H350" i="24"/>
  <c r="BA349" i="24"/>
  <c r="AZ349" i="24"/>
  <c r="AY349" i="24"/>
  <c r="AX349" i="24"/>
  <c r="AW349" i="24"/>
  <c r="AV349" i="24"/>
  <c r="AU349" i="24"/>
  <c r="AT349" i="24"/>
  <c r="AS349" i="24"/>
  <c r="AR349" i="24"/>
  <c r="AQ349" i="24"/>
  <c r="AP349" i="24"/>
  <c r="AO349" i="24"/>
  <c r="AN349" i="24"/>
  <c r="AM349" i="24"/>
  <c r="AL349" i="24"/>
  <c r="AK349" i="24"/>
  <c r="AJ349" i="24"/>
  <c r="AI349" i="24"/>
  <c r="AH349" i="24"/>
  <c r="AG349" i="24"/>
  <c r="AF349" i="24"/>
  <c r="AE349" i="24"/>
  <c r="AD349" i="24"/>
  <c r="AC349" i="24"/>
  <c r="AB349" i="24"/>
  <c r="AA349" i="24"/>
  <c r="Z349" i="24"/>
  <c r="Y349" i="24"/>
  <c r="X349" i="24"/>
  <c r="W349" i="24"/>
  <c r="V349" i="24"/>
  <c r="U349" i="24"/>
  <c r="T349" i="24"/>
  <c r="S349" i="24"/>
  <c r="R349" i="24"/>
  <c r="Q349" i="24"/>
  <c r="P349" i="24"/>
  <c r="O349" i="24"/>
  <c r="N349" i="24"/>
  <c r="M349" i="24"/>
  <c r="L349" i="24"/>
  <c r="K349" i="24"/>
  <c r="J349" i="24"/>
  <c r="I349" i="24"/>
  <c r="H349" i="24"/>
  <c r="BA348" i="24"/>
  <c r="AZ348" i="24"/>
  <c r="AY348" i="24"/>
  <c r="AX348" i="24"/>
  <c r="AW348" i="24"/>
  <c r="AV348" i="24"/>
  <c r="AU348" i="24"/>
  <c r="AT348" i="24"/>
  <c r="AS348" i="24"/>
  <c r="AR348" i="24"/>
  <c r="AQ348" i="24"/>
  <c r="AP348" i="24"/>
  <c r="AO348" i="24"/>
  <c r="AN348" i="24"/>
  <c r="AM348" i="24"/>
  <c r="AL348" i="24"/>
  <c r="AK348" i="24"/>
  <c r="AJ348" i="24"/>
  <c r="AI348" i="24"/>
  <c r="AH348" i="24"/>
  <c r="AG348" i="24"/>
  <c r="AF348" i="24"/>
  <c r="AE348" i="24"/>
  <c r="AD348" i="24"/>
  <c r="AC348" i="24"/>
  <c r="AB348" i="24"/>
  <c r="AA348" i="24"/>
  <c r="Z348" i="24"/>
  <c r="Y348" i="24"/>
  <c r="X348" i="24"/>
  <c r="W348" i="24"/>
  <c r="V348" i="24"/>
  <c r="U348" i="24"/>
  <c r="T348" i="24"/>
  <c r="S348" i="24"/>
  <c r="R348" i="24"/>
  <c r="Q348" i="24"/>
  <c r="P348" i="24"/>
  <c r="O348" i="24"/>
  <c r="N348" i="24"/>
  <c r="M348" i="24"/>
  <c r="L348" i="24"/>
  <c r="K348" i="24"/>
  <c r="J348" i="24"/>
  <c r="I348" i="24"/>
  <c r="H348" i="24"/>
  <c r="BA347" i="24"/>
  <c r="AZ347" i="24"/>
  <c r="AY347" i="24"/>
  <c r="AX347" i="24"/>
  <c r="AW347" i="24"/>
  <c r="AV347" i="24"/>
  <c r="AU347" i="24"/>
  <c r="AT347" i="24"/>
  <c r="AS347" i="24"/>
  <c r="AR347" i="24"/>
  <c r="AQ347" i="24"/>
  <c r="AP347" i="24"/>
  <c r="AO347" i="24"/>
  <c r="AN347" i="24"/>
  <c r="AM347" i="24"/>
  <c r="AL347" i="24"/>
  <c r="AK347" i="24"/>
  <c r="AJ347" i="24"/>
  <c r="AI347" i="24"/>
  <c r="AH347" i="24"/>
  <c r="AG347" i="24"/>
  <c r="AF347" i="24"/>
  <c r="AE347" i="24"/>
  <c r="AD347" i="24"/>
  <c r="AC347" i="24"/>
  <c r="AB347" i="24"/>
  <c r="AA347" i="24"/>
  <c r="Z347" i="24"/>
  <c r="Y347" i="24"/>
  <c r="X347" i="24"/>
  <c r="W347" i="24"/>
  <c r="V347" i="24"/>
  <c r="U347" i="24"/>
  <c r="T347" i="24"/>
  <c r="S347" i="24"/>
  <c r="R347" i="24"/>
  <c r="Q347" i="24"/>
  <c r="P347" i="24"/>
  <c r="O347" i="24"/>
  <c r="N347" i="24"/>
  <c r="M347" i="24"/>
  <c r="L347" i="24"/>
  <c r="K347" i="24"/>
  <c r="J347" i="24"/>
  <c r="I347" i="24"/>
  <c r="H347" i="24"/>
  <c r="BA346" i="24"/>
  <c r="AZ346" i="24"/>
  <c r="AY346" i="24"/>
  <c r="AX346" i="24"/>
  <c r="AW346" i="24"/>
  <c r="AV346" i="24"/>
  <c r="AU346" i="24"/>
  <c r="AT346" i="24"/>
  <c r="AS346" i="24"/>
  <c r="AR346" i="24"/>
  <c r="AQ346" i="24"/>
  <c r="AP346" i="24"/>
  <c r="AO346" i="24"/>
  <c r="AN346" i="24"/>
  <c r="AM346" i="24"/>
  <c r="AL346" i="24"/>
  <c r="AK346" i="24"/>
  <c r="AJ346" i="24"/>
  <c r="AI346" i="24"/>
  <c r="AH346" i="24"/>
  <c r="AG346" i="24"/>
  <c r="AF346" i="24"/>
  <c r="AE346" i="24"/>
  <c r="AD346" i="24"/>
  <c r="AC346" i="24"/>
  <c r="AB346" i="24"/>
  <c r="AA346" i="24"/>
  <c r="Z346" i="24"/>
  <c r="Y346" i="24"/>
  <c r="X346" i="24"/>
  <c r="W346" i="24"/>
  <c r="V346" i="24"/>
  <c r="U346" i="24"/>
  <c r="T346" i="24"/>
  <c r="S346" i="24"/>
  <c r="R346" i="24"/>
  <c r="Q346" i="24"/>
  <c r="P346" i="24"/>
  <c r="O346" i="24"/>
  <c r="N346" i="24"/>
  <c r="M346" i="24"/>
  <c r="L346" i="24"/>
  <c r="K346" i="24"/>
  <c r="J346" i="24"/>
  <c r="I346" i="24"/>
  <c r="H346" i="24"/>
  <c r="BA345" i="24"/>
  <c r="AZ345" i="24"/>
  <c r="AY345" i="24"/>
  <c r="AX345" i="24"/>
  <c r="AW345" i="24"/>
  <c r="AV345" i="24"/>
  <c r="AU345" i="24"/>
  <c r="AT345" i="24"/>
  <c r="AS345" i="24"/>
  <c r="AR345" i="24"/>
  <c r="AQ345" i="24"/>
  <c r="AP345" i="24"/>
  <c r="AO345" i="24"/>
  <c r="AN345" i="24"/>
  <c r="AM345" i="24"/>
  <c r="AL345" i="24"/>
  <c r="AK345" i="24"/>
  <c r="AJ345" i="24"/>
  <c r="AI345" i="24"/>
  <c r="AH345" i="24"/>
  <c r="AG345" i="24"/>
  <c r="AF345" i="24"/>
  <c r="AE345" i="24"/>
  <c r="AD345" i="24"/>
  <c r="AC345" i="24"/>
  <c r="AB345" i="24"/>
  <c r="AA345" i="24"/>
  <c r="Z345" i="24"/>
  <c r="Y345" i="24"/>
  <c r="X345" i="24"/>
  <c r="W345" i="24"/>
  <c r="V345" i="24"/>
  <c r="U345" i="24"/>
  <c r="T345" i="24"/>
  <c r="S345" i="24"/>
  <c r="R345" i="24"/>
  <c r="Q345" i="24"/>
  <c r="P345" i="24"/>
  <c r="O345" i="24"/>
  <c r="N345" i="24"/>
  <c r="M345" i="24"/>
  <c r="L345" i="24"/>
  <c r="K345" i="24"/>
  <c r="J345" i="24"/>
  <c r="I345" i="24"/>
  <c r="H345" i="24"/>
  <c r="BA344" i="24"/>
  <c r="AZ344" i="24"/>
  <c r="AY344" i="24"/>
  <c r="AX344" i="24"/>
  <c r="AW344" i="24"/>
  <c r="AV344" i="24"/>
  <c r="AU344" i="24"/>
  <c r="AT344" i="24"/>
  <c r="AS344" i="24"/>
  <c r="AR344" i="24"/>
  <c r="AQ344" i="24"/>
  <c r="AP344" i="24"/>
  <c r="AO344" i="24"/>
  <c r="AN344" i="24"/>
  <c r="AM344" i="24"/>
  <c r="AL344" i="24"/>
  <c r="AK344" i="24"/>
  <c r="AJ344" i="24"/>
  <c r="AI344" i="24"/>
  <c r="AH344" i="24"/>
  <c r="AG344" i="24"/>
  <c r="AF344" i="24"/>
  <c r="AE344" i="24"/>
  <c r="AD344" i="24"/>
  <c r="AC344" i="24"/>
  <c r="AB344" i="24"/>
  <c r="AA344" i="24"/>
  <c r="Z344" i="24"/>
  <c r="Y344" i="24"/>
  <c r="X344" i="24"/>
  <c r="W344" i="24"/>
  <c r="V344" i="24"/>
  <c r="U344" i="24"/>
  <c r="T344" i="24"/>
  <c r="S344" i="24"/>
  <c r="R344" i="24"/>
  <c r="Q344" i="24"/>
  <c r="P344" i="24"/>
  <c r="O344" i="24"/>
  <c r="N344" i="24"/>
  <c r="M344" i="24"/>
  <c r="L344" i="24"/>
  <c r="K344" i="24"/>
  <c r="J344" i="24"/>
  <c r="I344" i="24"/>
  <c r="H344" i="24"/>
  <c r="BA343" i="24"/>
  <c r="AZ343" i="24"/>
  <c r="AY343" i="24"/>
  <c r="AX343" i="24"/>
  <c r="AW343" i="24"/>
  <c r="AV343" i="24"/>
  <c r="AU343" i="24"/>
  <c r="AT343" i="24"/>
  <c r="AS343" i="24"/>
  <c r="AR343" i="24"/>
  <c r="AQ343" i="24"/>
  <c r="AP343" i="24"/>
  <c r="AO343" i="24"/>
  <c r="AN343" i="24"/>
  <c r="AM343" i="24"/>
  <c r="AL343" i="24"/>
  <c r="AK343" i="24"/>
  <c r="AJ343" i="24"/>
  <c r="AI343" i="24"/>
  <c r="AH343" i="24"/>
  <c r="AG343" i="24"/>
  <c r="AF343" i="24"/>
  <c r="AE343" i="24"/>
  <c r="AD343" i="24"/>
  <c r="AC343" i="24"/>
  <c r="AB343" i="24"/>
  <c r="AA343" i="24"/>
  <c r="Z343" i="24"/>
  <c r="Y343" i="24"/>
  <c r="X343" i="24"/>
  <c r="W343" i="24"/>
  <c r="V343" i="24"/>
  <c r="U343" i="24"/>
  <c r="T343" i="24"/>
  <c r="S343" i="24"/>
  <c r="R343" i="24"/>
  <c r="Q343" i="24"/>
  <c r="P343" i="24"/>
  <c r="O343" i="24"/>
  <c r="N343" i="24"/>
  <c r="M343" i="24"/>
  <c r="L343" i="24"/>
  <c r="K343" i="24"/>
  <c r="J343" i="24"/>
  <c r="I343" i="24"/>
  <c r="H343" i="24"/>
  <c r="BA342" i="24"/>
  <c r="AZ342" i="24"/>
  <c r="AY342" i="24"/>
  <c r="AX342" i="24"/>
  <c r="AW342" i="24"/>
  <c r="AV342" i="24"/>
  <c r="AU342" i="24"/>
  <c r="AT342" i="24"/>
  <c r="AS342" i="24"/>
  <c r="AR342" i="24"/>
  <c r="AQ342" i="24"/>
  <c r="AP342" i="24"/>
  <c r="AO342" i="24"/>
  <c r="AN342" i="24"/>
  <c r="AM342" i="24"/>
  <c r="AL342" i="24"/>
  <c r="AK342" i="24"/>
  <c r="AJ342" i="24"/>
  <c r="AI342" i="24"/>
  <c r="AH342" i="24"/>
  <c r="AG342" i="24"/>
  <c r="AF342" i="24"/>
  <c r="AE342" i="24"/>
  <c r="AD342" i="24"/>
  <c r="AC342" i="24"/>
  <c r="AB342" i="24"/>
  <c r="AA342" i="24"/>
  <c r="Z342" i="24"/>
  <c r="Y342" i="24"/>
  <c r="X342" i="24"/>
  <c r="W342" i="24"/>
  <c r="V342" i="24"/>
  <c r="U342" i="24"/>
  <c r="T342" i="24"/>
  <c r="S342" i="24"/>
  <c r="R342" i="24"/>
  <c r="Q342" i="24"/>
  <c r="P342" i="24"/>
  <c r="O342" i="24"/>
  <c r="N342" i="24"/>
  <c r="M342" i="24"/>
  <c r="L342" i="24"/>
  <c r="K342" i="24"/>
  <c r="J342" i="24"/>
  <c r="I342" i="24"/>
  <c r="H342" i="24"/>
  <c r="BA341" i="24"/>
  <c r="AZ341" i="24"/>
  <c r="AY341" i="24"/>
  <c r="AX341" i="24"/>
  <c r="AW341" i="24"/>
  <c r="AV341" i="24"/>
  <c r="AU341" i="24"/>
  <c r="AT341" i="24"/>
  <c r="AS341" i="24"/>
  <c r="AR341" i="24"/>
  <c r="AQ341" i="24"/>
  <c r="AP341" i="24"/>
  <c r="AO341" i="24"/>
  <c r="AN341" i="24"/>
  <c r="AM341" i="24"/>
  <c r="AL341" i="24"/>
  <c r="AK341" i="24"/>
  <c r="AJ341" i="24"/>
  <c r="AI341" i="24"/>
  <c r="AH341" i="24"/>
  <c r="AG341" i="24"/>
  <c r="AF341" i="24"/>
  <c r="AE341" i="24"/>
  <c r="AD341" i="24"/>
  <c r="AC341" i="24"/>
  <c r="AB341" i="24"/>
  <c r="AA341" i="24"/>
  <c r="Z341" i="24"/>
  <c r="Y341" i="24"/>
  <c r="X341" i="24"/>
  <c r="W341" i="24"/>
  <c r="V341" i="24"/>
  <c r="U341" i="24"/>
  <c r="T341" i="24"/>
  <c r="S341" i="24"/>
  <c r="R341" i="24"/>
  <c r="Q341" i="24"/>
  <c r="P341" i="24"/>
  <c r="O341" i="24"/>
  <c r="N341" i="24"/>
  <c r="M341" i="24"/>
  <c r="L341" i="24"/>
  <c r="K341" i="24"/>
  <c r="J341" i="24"/>
  <c r="I341" i="24"/>
  <c r="H341" i="24"/>
  <c r="BA340" i="24"/>
  <c r="AZ340" i="24"/>
  <c r="AY340" i="24"/>
  <c r="AX340" i="24"/>
  <c r="AW340" i="24"/>
  <c r="AV340" i="24"/>
  <c r="AU340" i="24"/>
  <c r="AT340" i="24"/>
  <c r="AS340" i="24"/>
  <c r="AR340" i="24"/>
  <c r="AQ340" i="24"/>
  <c r="AP340" i="24"/>
  <c r="AO340" i="24"/>
  <c r="AN340" i="24"/>
  <c r="AM340" i="24"/>
  <c r="AL340" i="24"/>
  <c r="AK340" i="24"/>
  <c r="AJ340" i="24"/>
  <c r="AI340" i="24"/>
  <c r="AH340" i="24"/>
  <c r="AG340" i="24"/>
  <c r="AF340" i="24"/>
  <c r="AE340" i="24"/>
  <c r="AD340" i="24"/>
  <c r="AC340" i="24"/>
  <c r="AB340" i="24"/>
  <c r="AA340" i="24"/>
  <c r="Z340" i="24"/>
  <c r="Y340" i="24"/>
  <c r="X340" i="24"/>
  <c r="W340" i="24"/>
  <c r="V340" i="24"/>
  <c r="U340" i="24"/>
  <c r="T340" i="24"/>
  <c r="S340" i="24"/>
  <c r="R340" i="24"/>
  <c r="Q340" i="24"/>
  <c r="P340" i="24"/>
  <c r="O340" i="24"/>
  <c r="N340" i="24"/>
  <c r="M340" i="24"/>
  <c r="L340" i="24"/>
  <c r="K340" i="24"/>
  <c r="J340" i="24"/>
  <c r="I340" i="24"/>
  <c r="H340" i="24"/>
  <c r="BA339" i="24"/>
  <c r="AZ339" i="24"/>
  <c r="AY339" i="24"/>
  <c r="AX339" i="24"/>
  <c r="AW339" i="24"/>
  <c r="AV339" i="24"/>
  <c r="AU339" i="24"/>
  <c r="AT339" i="24"/>
  <c r="AS339" i="24"/>
  <c r="AR339" i="24"/>
  <c r="AQ339" i="24"/>
  <c r="AP339" i="24"/>
  <c r="AO339" i="24"/>
  <c r="AN339" i="24"/>
  <c r="AM339" i="24"/>
  <c r="AL339" i="24"/>
  <c r="AK339" i="24"/>
  <c r="AJ339" i="24"/>
  <c r="AI339" i="24"/>
  <c r="AH339" i="24"/>
  <c r="AG339" i="24"/>
  <c r="AF339" i="24"/>
  <c r="AE339" i="24"/>
  <c r="AD339" i="24"/>
  <c r="AC339" i="24"/>
  <c r="AB339" i="24"/>
  <c r="AA339" i="24"/>
  <c r="Z339" i="24"/>
  <c r="Y339" i="24"/>
  <c r="X339" i="24"/>
  <c r="W339" i="24"/>
  <c r="V339" i="24"/>
  <c r="U339" i="24"/>
  <c r="T339" i="24"/>
  <c r="S339" i="24"/>
  <c r="R339" i="24"/>
  <c r="Q339" i="24"/>
  <c r="P339" i="24"/>
  <c r="O339" i="24"/>
  <c r="N339" i="24"/>
  <c r="M339" i="24"/>
  <c r="L339" i="24"/>
  <c r="K339" i="24"/>
  <c r="J339" i="24"/>
  <c r="I339" i="24"/>
  <c r="H339" i="24"/>
  <c r="BA338" i="24"/>
  <c r="AZ338" i="24"/>
  <c r="AY338" i="24"/>
  <c r="AX338" i="24"/>
  <c r="AW338" i="24"/>
  <c r="AV338" i="24"/>
  <c r="AU338" i="24"/>
  <c r="AT338" i="24"/>
  <c r="AS338" i="24"/>
  <c r="AR338" i="24"/>
  <c r="AQ338" i="24"/>
  <c r="AP338" i="24"/>
  <c r="AO338" i="24"/>
  <c r="AN338" i="24"/>
  <c r="AM338" i="24"/>
  <c r="AL338" i="24"/>
  <c r="AK338" i="24"/>
  <c r="AJ338" i="24"/>
  <c r="AI338" i="24"/>
  <c r="AH338" i="24"/>
  <c r="AG338" i="24"/>
  <c r="AF338" i="24"/>
  <c r="AE338" i="24"/>
  <c r="AD338" i="24"/>
  <c r="AC338" i="24"/>
  <c r="AB338" i="24"/>
  <c r="AA338" i="24"/>
  <c r="Z338" i="24"/>
  <c r="Y338" i="24"/>
  <c r="X338" i="24"/>
  <c r="W338" i="24"/>
  <c r="V338" i="24"/>
  <c r="U338" i="24"/>
  <c r="T338" i="24"/>
  <c r="S338" i="24"/>
  <c r="R338" i="24"/>
  <c r="Q338" i="24"/>
  <c r="P338" i="24"/>
  <c r="O338" i="24"/>
  <c r="N338" i="24"/>
  <c r="M338" i="24"/>
  <c r="L338" i="24"/>
  <c r="K338" i="24"/>
  <c r="J338" i="24"/>
  <c r="I338" i="24"/>
  <c r="H338" i="24"/>
  <c r="BA337" i="24"/>
  <c r="AZ337" i="24"/>
  <c r="AY337" i="24"/>
  <c r="AX337" i="24"/>
  <c r="AW337" i="24"/>
  <c r="AV337" i="24"/>
  <c r="AU337" i="24"/>
  <c r="AT337" i="24"/>
  <c r="AS337" i="24"/>
  <c r="AR337" i="24"/>
  <c r="AQ337" i="24"/>
  <c r="AP337" i="24"/>
  <c r="AO337" i="24"/>
  <c r="AN337" i="24"/>
  <c r="AM337" i="24"/>
  <c r="AL337" i="24"/>
  <c r="AK337" i="24"/>
  <c r="AJ337" i="24"/>
  <c r="AI337" i="24"/>
  <c r="AH337" i="24"/>
  <c r="AG337" i="24"/>
  <c r="AF337" i="24"/>
  <c r="AE337" i="24"/>
  <c r="AD337" i="24"/>
  <c r="AC337" i="24"/>
  <c r="AB337" i="24"/>
  <c r="AA337" i="24"/>
  <c r="Z337" i="24"/>
  <c r="Y337" i="24"/>
  <c r="X337" i="24"/>
  <c r="W337" i="24"/>
  <c r="V337" i="24"/>
  <c r="U337" i="24"/>
  <c r="T337" i="24"/>
  <c r="S337" i="24"/>
  <c r="R337" i="24"/>
  <c r="Q337" i="24"/>
  <c r="P337" i="24"/>
  <c r="O337" i="24"/>
  <c r="N337" i="24"/>
  <c r="M337" i="24"/>
  <c r="L337" i="24"/>
  <c r="K337" i="24"/>
  <c r="J337" i="24"/>
  <c r="I337" i="24"/>
  <c r="H337" i="24"/>
  <c r="BA336" i="24"/>
  <c r="AZ336" i="24"/>
  <c r="AY336" i="24"/>
  <c r="AX336" i="24"/>
  <c r="AW336" i="24"/>
  <c r="AV336" i="24"/>
  <c r="AU336" i="24"/>
  <c r="AT336" i="24"/>
  <c r="AS336" i="24"/>
  <c r="AR336" i="24"/>
  <c r="AQ336" i="24"/>
  <c r="AP336" i="24"/>
  <c r="AO336" i="24"/>
  <c r="AN336" i="24"/>
  <c r="AM336" i="24"/>
  <c r="AL336" i="24"/>
  <c r="AK336" i="24"/>
  <c r="AJ336" i="24"/>
  <c r="AI336" i="24"/>
  <c r="AH336" i="24"/>
  <c r="AG336" i="24"/>
  <c r="AF336" i="24"/>
  <c r="AE336" i="24"/>
  <c r="AD336" i="24"/>
  <c r="AC336" i="24"/>
  <c r="AB336" i="24"/>
  <c r="AA336" i="24"/>
  <c r="Z336" i="24"/>
  <c r="Y336" i="24"/>
  <c r="X336" i="24"/>
  <c r="W336" i="24"/>
  <c r="V336" i="24"/>
  <c r="U336" i="24"/>
  <c r="T336" i="24"/>
  <c r="S336" i="24"/>
  <c r="R336" i="24"/>
  <c r="Q336" i="24"/>
  <c r="P336" i="24"/>
  <c r="O336" i="24"/>
  <c r="N336" i="24"/>
  <c r="M336" i="24"/>
  <c r="L336" i="24"/>
  <c r="K336" i="24"/>
  <c r="J336" i="24"/>
  <c r="I336" i="24"/>
  <c r="H336" i="24"/>
  <c r="BA335" i="24"/>
  <c r="AZ335" i="24"/>
  <c r="AY335" i="24"/>
  <c r="AX335" i="24"/>
  <c r="AW335" i="24"/>
  <c r="AV335" i="24"/>
  <c r="AU335" i="24"/>
  <c r="AT335" i="24"/>
  <c r="AS335" i="24"/>
  <c r="AR335" i="24"/>
  <c r="AQ335" i="24"/>
  <c r="AP335" i="24"/>
  <c r="AO335" i="24"/>
  <c r="AN335" i="24"/>
  <c r="AM335" i="24"/>
  <c r="AL335" i="24"/>
  <c r="AK335" i="24"/>
  <c r="AJ335" i="24"/>
  <c r="AI335" i="24"/>
  <c r="AH335" i="24"/>
  <c r="AG335" i="24"/>
  <c r="AF335" i="24"/>
  <c r="AE335" i="24"/>
  <c r="AD335" i="24"/>
  <c r="AC335" i="24"/>
  <c r="AB335" i="24"/>
  <c r="AA335" i="24"/>
  <c r="Z335" i="24"/>
  <c r="Y335" i="24"/>
  <c r="X335" i="24"/>
  <c r="W335" i="24"/>
  <c r="V335" i="24"/>
  <c r="U335" i="24"/>
  <c r="T335" i="24"/>
  <c r="S335" i="24"/>
  <c r="R335" i="24"/>
  <c r="Q335" i="24"/>
  <c r="P335" i="24"/>
  <c r="O335" i="24"/>
  <c r="N335" i="24"/>
  <c r="M335" i="24"/>
  <c r="L335" i="24"/>
  <c r="K335" i="24"/>
  <c r="J335" i="24"/>
  <c r="I335" i="24"/>
  <c r="H335" i="24"/>
  <c r="BA334" i="24"/>
  <c r="AZ334" i="24"/>
  <c r="AY334" i="24"/>
  <c r="AX334" i="24"/>
  <c r="AW334" i="24"/>
  <c r="AV334" i="24"/>
  <c r="AU334" i="24"/>
  <c r="AT334" i="24"/>
  <c r="AS334" i="24"/>
  <c r="AR334" i="24"/>
  <c r="AQ334" i="24"/>
  <c r="AP334" i="24"/>
  <c r="AO334" i="24"/>
  <c r="AN334" i="24"/>
  <c r="AM334" i="24"/>
  <c r="AL334" i="24"/>
  <c r="AK334" i="24"/>
  <c r="AJ334" i="24"/>
  <c r="AI334" i="24"/>
  <c r="AH334" i="24"/>
  <c r="AG334" i="24"/>
  <c r="AF334" i="24"/>
  <c r="AE334" i="24"/>
  <c r="AD334" i="24"/>
  <c r="AC334" i="24"/>
  <c r="AB334" i="24"/>
  <c r="AA334" i="24"/>
  <c r="Z334" i="24"/>
  <c r="Y334" i="24"/>
  <c r="X334" i="24"/>
  <c r="W334" i="24"/>
  <c r="V334" i="24"/>
  <c r="U334" i="24"/>
  <c r="T334" i="24"/>
  <c r="S334" i="24"/>
  <c r="R334" i="24"/>
  <c r="Q334" i="24"/>
  <c r="P334" i="24"/>
  <c r="O334" i="24"/>
  <c r="N334" i="24"/>
  <c r="M334" i="24"/>
  <c r="L334" i="24"/>
  <c r="K334" i="24"/>
  <c r="J334" i="24"/>
  <c r="I334" i="24"/>
  <c r="H334" i="24"/>
  <c r="BA333" i="24"/>
  <c r="AZ333" i="24"/>
  <c r="AY333" i="24"/>
  <c r="AX333" i="24"/>
  <c r="AW333" i="24"/>
  <c r="AV333" i="24"/>
  <c r="AU333" i="24"/>
  <c r="AT333" i="24"/>
  <c r="AS333" i="24"/>
  <c r="AR333" i="24"/>
  <c r="AQ333" i="24"/>
  <c r="AP333" i="24"/>
  <c r="AO333" i="24"/>
  <c r="AN333" i="24"/>
  <c r="AM333" i="24"/>
  <c r="AL333" i="24"/>
  <c r="AK333" i="24"/>
  <c r="AJ333" i="24"/>
  <c r="AI333" i="24"/>
  <c r="AH333" i="24"/>
  <c r="AG333" i="24"/>
  <c r="AF333" i="24"/>
  <c r="AE333" i="24"/>
  <c r="AD333" i="24"/>
  <c r="AC333" i="24"/>
  <c r="AB333" i="24"/>
  <c r="AA333" i="24"/>
  <c r="Z333" i="24"/>
  <c r="Y333" i="24"/>
  <c r="X333" i="24"/>
  <c r="W333" i="24"/>
  <c r="V333" i="24"/>
  <c r="U333" i="24"/>
  <c r="T333" i="24"/>
  <c r="S333" i="24"/>
  <c r="R333" i="24"/>
  <c r="Q333" i="24"/>
  <c r="P333" i="24"/>
  <c r="O333" i="24"/>
  <c r="N333" i="24"/>
  <c r="M333" i="24"/>
  <c r="L333" i="24"/>
  <c r="K333" i="24"/>
  <c r="J333" i="24"/>
  <c r="I333" i="24"/>
  <c r="H333" i="24"/>
  <c r="BA332" i="24"/>
  <c r="AZ332" i="24"/>
  <c r="AY332" i="24"/>
  <c r="AX332" i="24"/>
  <c r="AW332" i="24"/>
  <c r="AV332" i="24"/>
  <c r="AU332" i="24"/>
  <c r="AT332" i="24"/>
  <c r="AS332" i="24"/>
  <c r="AR332" i="24"/>
  <c r="AQ332" i="24"/>
  <c r="AP332" i="24"/>
  <c r="AO332" i="24"/>
  <c r="AN332" i="24"/>
  <c r="AM332" i="24"/>
  <c r="AL332" i="24"/>
  <c r="AK332" i="24"/>
  <c r="AJ332" i="24"/>
  <c r="AI332" i="24"/>
  <c r="AH332" i="24"/>
  <c r="AG332" i="24"/>
  <c r="AF332" i="24"/>
  <c r="AE332" i="24"/>
  <c r="AD332" i="24"/>
  <c r="AC332" i="24"/>
  <c r="AB332" i="24"/>
  <c r="AA332" i="24"/>
  <c r="Z332" i="24"/>
  <c r="Y332" i="24"/>
  <c r="X332" i="24"/>
  <c r="W332" i="24"/>
  <c r="V332" i="24"/>
  <c r="U332" i="24"/>
  <c r="T332" i="24"/>
  <c r="S332" i="24"/>
  <c r="R332" i="24"/>
  <c r="Q332" i="24"/>
  <c r="P332" i="24"/>
  <c r="O332" i="24"/>
  <c r="N332" i="24"/>
  <c r="M332" i="24"/>
  <c r="L332" i="24"/>
  <c r="K332" i="24"/>
  <c r="J332" i="24"/>
  <c r="I332" i="24"/>
  <c r="H332" i="24"/>
  <c r="BA331" i="24"/>
  <c r="AZ331" i="24"/>
  <c r="AY331" i="24"/>
  <c r="AX331" i="24"/>
  <c r="AW331" i="24"/>
  <c r="AV331" i="24"/>
  <c r="AU331" i="24"/>
  <c r="AT331" i="24"/>
  <c r="AS331" i="24"/>
  <c r="AR331" i="24"/>
  <c r="AQ331" i="24"/>
  <c r="AP331" i="24"/>
  <c r="AO331" i="24"/>
  <c r="AN331" i="24"/>
  <c r="AM331" i="24"/>
  <c r="AL331" i="24"/>
  <c r="AK331" i="24"/>
  <c r="AJ331" i="24"/>
  <c r="AI331" i="24"/>
  <c r="AH331" i="24"/>
  <c r="AG331" i="24"/>
  <c r="AF331" i="24"/>
  <c r="AE331" i="24"/>
  <c r="AD331" i="24"/>
  <c r="AC331" i="24"/>
  <c r="AB331" i="24"/>
  <c r="AA331" i="24"/>
  <c r="Z331" i="24"/>
  <c r="Y331" i="24"/>
  <c r="X331" i="24"/>
  <c r="W331" i="24"/>
  <c r="V331" i="24"/>
  <c r="U331" i="24"/>
  <c r="T331" i="24"/>
  <c r="S331" i="24"/>
  <c r="R331" i="24"/>
  <c r="Q331" i="24"/>
  <c r="P331" i="24"/>
  <c r="O331" i="24"/>
  <c r="N331" i="24"/>
  <c r="M331" i="24"/>
  <c r="L331" i="24"/>
  <c r="K331" i="24"/>
  <c r="J331" i="24"/>
  <c r="I331" i="24"/>
  <c r="H331" i="24"/>
  <c r="BA330" i="24"/>
  <c r="AZ330" i="24"/>
  <c r="AY330" i="24"/>
  <c r="AX330" i="24"/>
  <c r="AW330" i="24"/>
  <c r="AV330" i="24"/>
  <c r="AU330" i="24"/>
  <c r="AT330" i="24"/>
  <c r="AS330" i="24"/>
  <c r="AR330" i="24"/>
  <c r="AQ330" i="24"/>
  <c r="AP330" i="24"/>
  <c r="AO330" i="24"/>
  <c r="AN330" i="24"/>
  <c r="AM330" i="24"/>
  <c r="AL330" i="24"/>
  <c r="AK330" i="24"/>
  <c r="AJ330" i="24"/>
  <c r="AI330" i="24"/>
  <c r="AH330" i="24"/>
  <c r="AG330" i="24"/>
  <c r="AF330" i="24"/>
  <c r="AE330" i="24"/>
  <c r="AD330" i="24"/>
  <c r="AC330" i="24"/>
  <c r="AB330" i="24"/>
  <c r="AA330" i="24"/>
  <c r="Z330" i="24"/>
  <c r="Y330" i="24"/>
  <c r="X330" i="24"/>
  <c r="W330" i="24"/>
  <c r="V330" i="24"/>
  <c r="U330" i="24"/>
  <c r="T330" i="24"/>
  <c r="S330" i="24"/>
  <c r="R330" i="24"/>
  <c r="Q330" i="24"/>
  <c r="P330" i="24"/>
  <c r="O330" i="24"/>
  <c r="N330" i="24"/>
  <c r="M330" i="24"/>
  <c r="L330" i="24"/>
  <c r="K330" i="24"/>
  <c r="J330" i="24"/>
  <c r="I330" i="24"/>
  <c r="H330" i="24"/>
  <c r="BA329" i="24"/>
  <c r="AZ329" i="24"/>
  <c r="AY329" i="24"/>
  <c r="AX329" i="24"/>
  <c r="AW329" i="24"/>
  <c r="AV329" i="24"/>
  <c r="AU329" i="24"/>
  <c r="AT329" i="24"/>
  <c r="AS329" i="24"/>
  <c r="AR329" i="24"/>
  <c r="AQ329" i="24"/>
  <c r="AP329" i="24"/>
  <c r="AO329" i="24"/>
  <c r="AN329" i="24"/>
  <c r="AM329" i="24"/>
  <c r="AL329" i="24"/>
  <c r="AK329" i="24"/>
  <c r="AJ329" i="24"/>
  <c r="AI329" i="24"/>
  <c r="AH329" i="24"/>
  <c r="AG329" i="24"/>
  <c r="AF329" i="24"/>
  <c r="AE329" i="24"/>
  <c r="AD329" i="24"/>
  <c r="AC329" i="24"/>
  <c r="AB329" i="24"/>
  <c r="AA329" i="24"/>
  <c r="Z329" i="24"/>
  <c r="Y329" i="24"/>
  <c r="X329" i="24"/>
  <c r="W329" i="24"/>
  <c r="V329" i="24"/>
  <c r="U329" i="24"/>
  <c r="T329" i="24"/>
  <c r="S329" i="24"/>
  <c r="R329" i="24"/>
  <c r="Q329" i="24"/>
  <c r="P329" i="24"/>
  <c r="O329" i="24"/>
  <c r="N329" i="24"/>
  <c r="M329" i="24"/>
  <c r="L329" i="24"/>
  <c r="K329" i="24"/>
  <c r="J329" i="24"/>
  <c r="I329" i="24"/>
  <c r="H329" i="24"/>
  <c r="BA328" i="24"/>
  <c r="AZ328" i="24"/>
  <c r="AY328" i="24"/>
  <c r="AX328" i="24"/>
  <c r="AW328" i="24"/>
  <c r="AV328" i="24"/>
  <c r="AU328" i="24"/>
  <c r="AT328" i="24"/>
  <c r="AS328" i="24"/>
  <c r="AR328" i="24"/>
  <c r="AQ328" i="24"/>
  <c r="AP328" i="24"/>
  <c r="AO328" i="24"/>
  <c r="AN328" i="24"/>
  <c r="AM328" i="24"/>
  <c r="AL328" i="24"/>
  <c r="AK328" i="24"/>
  <c r="AJ328" i="24"/>
  <c r="AI328" i="24"/>
  <c r="AH328" i="24"/>
  <c r="AG328" i="24"/>
  <c r="AF328" i="24"/>
  <c r="AE328" i="24"/>
  <c r="AD328" i="24"/>
  <c r="AC328" i="24"/>
  <c r="AB328" i="24"/>
  <c r="AA328" i="24"/>
  <c r="Z328" i="24"/>
  <c r="Y328" i="24"/>
  <c r="X328" i="24"/>
  <c r="W328" i="24"/>
  <c r="V328" i="24"/>
  <c r="U328" i="24"/>
  <c r="T328" i="24"/>
  <c r="S328" i="24"/>
  <c r="R328" i="24"/>
  <c r="Q328" i="24"/>
  <c r="P328" i="24"/>
  <c r="O328" i="24"/>
  <c r="N328" i="24"/>
  <c r="M328" i="24"/>
  <c r="L328" i="24"/>
  <c r="K328" i="24"/>
  <c r="J328" i="24"/>
  <c r="I328" i="24"/>
  <c r="H328" i="24"/>
  <c r="BA327" i="24"/>
  <c r="AZ327" i="24"/>
  <c r="AY327" i="24"/>
  <c r="AX327" i="24"/>
  <c r="AW327" i="24"/>
  <c r="AV327" i="24"/>
  <c r="AU327" i="24"/>
  <c r="AT327" i="24"/>
  <c r="AS327" i="24"/>
  <c r="AR327" i="24"/>
  <c r="AQ327" i="24"/>
  <c r="AP327" i="24"/>
  <c r="AO327" i="24"/>
  <c r="AN327" i="24"/>
  <c r="AM327" i="24"/>
  <c r="AL327" i="24"/>
  <c r="AK327" i="24"/>
  <c r="AJ327" i="24"/>
  <c r="AI327" i="24"/>
  <c r="AH327" i="24"/>
  <c r="AG327" i="24"/>
  <c r="AF327" i="24"/>
  <c r="AE327" i="24"/>
  <c r="AD327" i="24"/>
  <c r="AC327" i="24"/>
  <c r="AB327" i="24"/>
  <c r="AA327" i="24"/>
  <c r="Z327" i="24"/>
  <c r="Y327" i="24"/>
  <c r="X327" i="24"/>
  <c r="W327" i="24"/>
  <c r="V327" i="24"/>
  <c r="U327" i="24"/>
  <c r="T327" i="24"/>
  <c r="S327" i="24"/>
  <c r="R327" i="24"/>
  <c r="Q327" i="24"/>
  <c r="P327" i="24"/>
  <c r="O327" i="24"/>
  <c r="N327" i="24"/>
  <c r="M327" i="24"/>
  <c r="L327" i="24"/>
  <c r="K327" i="24"/>
  <c r="J327" i="24"/>
  <c r="I327" i="24"/>
  <c r="H327" i="24"/>
  <c r="BA326" i="24"/>
  <c r="AZ326" i="24"/>
  <c r="AY326" i="24"/>
  <c r="AX326" i="24"/>
  <c r="AW326" i="24"/>
  <c r="AV326" i="24"/>
  <c r="AU326" i="24"/>
  <c r="AT326" i="24"/>
  <c r="AS326" i="24"/>
  <c r="AR326" i="24"/>
  <c r="AQ326" i="24"/>
  <c r="AP326" i="24"/>
  <c r="AO326" i="24"/>
  <c r="AN326" i="24"/>
  <c r="AM326" i="24"/>
  <c r="AL326" i="24"/>
  <c r="AK326" i="24"/>
  <c r="AJ326" i="24"/>
  <c r="AI326" i="24"/>
  <c r="AH326" i="24"/>
  <c r="AG326" i="24"/>
  <c r="AF326" i="24"/>
  <c r="AE326" i="24"/>
  <c r="AD326" i="24"/>
  <c r="AC326" i="24"/>
  <c r="AB326" i="24"/>
  <c r="AA326" i="24"/>
  <c r="Z326" i="24"/>
  <c r="Y326" i="24"/>
  <c r="X326" i="24"/>
  <c r="W326" i="24"/>
  <c r="V326" i="24"/>
  <c r="U326" i="24"/>
  <c r="T326" i="24"/>
  <c r="S326" i="24"/>
  <c r="R326" i="24"/>
  <c r="Q326" i="24"/>
  <c r="P326" i="24"/>
  <c r="O326" i="24"/>
  <c r="N326" i="24"/>
  <c r="M326" i="24"/>
  <c r="L326" i="24"/>
  <c r="K326" i="24"/>
  <c r="J326" i="24"/>
  <c r="I326" i="24"/>
  <c r="H326" i="24"/>
  <c r="BA325" i="24"/>
  <c r="AZ325" i="24"/>
  <c r="AY325" i="24"/>
  <c r="AX325" i="24"/>
  <c r="AW325" i="24"/>
  <c r="AV325" i="24"/>
  <c r="AU325" i="24"/>
  <c r="AT325" i="24"/>
  <c r="AS325" i="24"/>
  <c r="AR325" i="24"/>
  <c r="AQ325" i="24"/>
  <c r="AP325" i="24"/>
  <c r="AO325" i="24"/>
  <c r="AN325" i="24"/>
  <c r="AM325" i="24"/>
  <c r="AL325" i="24"/>
  <c r="AK325" i="24"/>
  <c r="AJ325" i="24"/>
  <c r="AI325" i="24"/>
  <c r="AH325" i="24"/>
  <c r="AG325" i="24"/>
  <c r="AF325" i="24"/>
  <c r="AE325" i="24"/>
  <c r="AD325" i="24"/>
  <c r="AC325" i="24"/>
  <c r="AB325" i="24"/>
  <c r="AA325" i="24"/>
  <c r="Z325" i="24"/>
  <c r="Y325" i="24"/>
  <c r="X325" i="24"/>
  <c r="W325" i="24"/>
  <c r="V325" i="24"/>
  <c r="U325" i="24"/>
  <c r="T325" i="24"/>
  <c r="S325" i="24"/>
  <c r="R325" i="24"/>
  <c r="Q325" i="24"/>
  <c r="P325" i="24"/>
  <c r="O325" i="24"/>
  <c r="N325" i="24"/>
  <c r="M325" i="24"/>
  <c r="L325" i="24"/>
  <c r="K325" i="24"/>
  <c r="J325" i="24"/>
  <c r="I325" i="24"/>
  <c r="H325" i="24"/>
  <c r="BA324" i="24"/>
  <c r="AZ324" i="24"/>
  <c r="AY324" i="24"/>
  <c r="AX324" i="24"/>
  <c r="AW324" i="24"/>
  <c r="AV324" i="24"/>
  <c r="AU324" i="24"/>
  <c r="AT324" i="24"/>
  <c r="AS324" i="24"/>
  <c r="AR324" i="24"/>
  <c r="AQ324" i="24"/>
  <c r="AP324" i="24"/>
  <c r="AO324" i="24"/>
  <c r="AN324" i="24"/>
  <c r="AM324" i="24"/>
  <c r="AL324" i="24"/>
  <c r="AK324" i="24"/>
  <c r="AJ324" i="24"/>
  <c r="AI324" i="24"/>
  <c r="AH324" i="24"/>
  <c r="AG324" i="24"/>
  <c r="AF324" i="24"/>
  <c r="AE324" i="24"/>
  <c r="AD324" i="24"/>
  <c r="AC324" i="24"/>
  <c r="AB324" i="24"/>
  <c r="AA324" i="24"/>
  <c r="Z324" i="24"/>
  <c r="Y324" i="24"/>
  <c r="X324" i="24"/>
  <c r="W324" i="24"/>
  <c r="V324" i="24"/>
  <c r="U324" i="24"/>
  <c r="T324" i="24"/>
  <c r="S324" i="24"/>
  <c r="R324" i="24"/>
  <c r="Q324" i="24"/>
  <c r="P324" i="24"/>
  <c r="O324" i="24"/>
  <c r="N324" i="24"/>
  <c r="M324" i="24"/>
  <c r="L324" i="24"/>
  <c r="K324" i="24"/>
  <c r="J324" i="24"/>
  <c r="I324" i="24"/>
  <c r="H324" i="24"/>
  <c r="BA323" i="24"/>
  <c r="AZ323" i="24"/>
  <c r="AY323" i="24"/>
  <c r="AX323" i="24"/>
  <c r="AW323" i="24"/>
  <c r="AV323" i="24"/>
  <c r="AU323" i="24"/>
  <c r="AT323" i="24"/>
  <c r="AS323" i="24"/>
  <c r="AR323" i="24"/>
  <c r="AQ323" i="24"/>
  <c r="AP323" i="24"/>
  <c r="AO323" i="24"/>
  <c r="AN323" i="24"/>
  <c r="AM323" i="24"/>
  <c r="AL323" i="24"/>
  <c r="AK323" i="24"/>
  <c r="AJ323" i="24"/>
  <c r="AI323" i="24"/>
  <c r="AH323" i="24"/>
  <c r="AG323" i="24"/>
  <c r="AF323" i="24"/>
  <c r="AE323" i="24"/>
  <c r="AD323" i="24"/>
  <c r="AC323" i="24"/>
  <c r="AB323" i="24"/>
  <c r="AA323" i="24"/>
  <c r="Z323" i="24"/>
  <c r="Y323" i="24"/>
  <c r="X323" i="24"/>
  <c r="W323" i="24"/>
  <c r="V323" i="24"/>
  <c r="U323" i="24"/>
  <c r="T323" i="24"/>
  <c r="S323" i="24"/>
  <c r="R323" i="24"/>
  <c r="Q323" i="24"/>
  <c r="P323" i="24"/>
  <c r="O323" i="24"/>
  <c r="N323" i="24"/>
  <c r="M323" i="24"/>
  <c r="L323" i="24"/>
  <c r="K323" i="24"/>
  <c r="J323" i="24"/>
  <c r="I323" i="24"/>
  <c r="H323" i="24"/>
  <c r="BA322" i="24"/>
  <c r="AZ322" i="24"/>
  <c r="AY322" i="24"/>
  <c r="AX322" i="24"/>
  <c r="AW322" i="24"/>
  <c r="AV322" i="24"/>
  <c r="AU322" i="24"/>
  <c r="AT322" i="24"/>
  <c r="AS322" i="24"/>
  <c r="AR322" i="24"/>
  <c r="AQ322" i="24"/>
  <c r="AP322" i="24"/>
  <c r="AO322" i="24"/>
  <c r="AN322" i="24"/>
  <c r="AM322" i="24"/>
  <c r="AL322" i="24"/>
  <c r="AK322" i="24"/>
  <c r="AJ322" i="24"/>
  <c r="AI322" i="24"/>
  <c r="AH322" i="24"/>
  <c r="AG322" i="24"/>
  <c r="AF322" i="24"/>
  <c r="AE322" i="24"/>
  <c r="AD322" i="24"/>
  <c r="AC322" i="24"/>
  <c r="AB322" i="24"/>
  <c r="AA322" i="24"/>
  <c r="Z322" i="24"/>
  <c r="Y322" i="24"/>
  <c r="X322" i="24"/>
  <c r="W322" i="24"/>
  <c r="V322" i="24"/>
  <c r="U322" i="24"/>
  <c r="T322" i="24"/>
  <c r="S322" i="24"/>
  <c r="R322" i="24"/>
  <c r="Q322" i="24"/>
  <c r="P322" i="24"/>
  <c r="O322" i="24"/>
  <c r="N322" i="24"/>
  <c r="M322" i="24"/>
  <c r="L322" i="24"/>
  <c r="K322" i="24"/>
  <c r="J322" i="24"/>
  <c r="I322" i="24"/>
  <c r="H322" i="24"/>
  <c r="BA321" i="24"/>
  <c r="AZ321" i="24"/>
  <c r="AY321" i="24"/>
  <c r="AX321" i="24"/>
  <c r="AW321" i="24"/>
  <c r="AV321" i="24"/>
  <c r="AU321" i="24"/>
  <c r="AT321" i="24"/>
  <c r="AS321" i="24"/>
  <c r="AR321" i="24"/>
  <c r="AQ321" i="24"/>
  <c r="AP321" i="24"/>
  <c r="AO321" i="24"/>
  <c r="AN321" i="24"/>
  <c r="AM321" i="24"/>
  <c r="AL321" i="24"/>
  <c r="AK321" i="24"/>
  <c r="AJ321" i="24"/>
  <c r="AI321" i="24"/>
  <c r="AH321" i="24"/>
  <c r="AG321" i="24"/>
  <c r="AF321" i="24"/>
  <c r="AE321" i="24"/>
  <c r="AD321" i="24"/>
  <c r="AC321" i="24"/>
  <c r="AB321" i="24"/>
  <c r="AA321" i="24"/>
  <c r="Z321" i="24"/>
  <c r="Y321" i="24"/>
  <c r="X321" i="24"/>
  <c r="W321" i="24"/>
  <c r="V321" i="24"/>
  <c r="U321" i="24"/>
  <c r="T321" i="24"/>
  <c r="S321" i="24"/>
  <c r="R321" i="24"/>
  <c r="Q321" i="24"/>
  <c r="P321" i="24"/>
  <c r="O321" i="24"/>
  <c r="N321" i="24"/>
  <c r="M321" i="24"/>
  <c r="L321" i="24"/>
  <c r="K321" i="24"/>
  <c r="J321" i="24"/>
  <c r="I321" i="24"/>
  <c r="H321" i="24"/>
  <c r="BA320" i="24"/>
  <c r="AZ320" i="24"/>
  <c r="AY320" i="24"/>
  <c r="AX320" i="24"/>
  <c r="AW320" i="24"/>
  <c r="AV320" i="24"/>
  <c r="AU320" i="24"/>
  <c r="AT320" i="24"/>
  <c r="AS320" i="24"/>
  <c r="AR320" i="24"/>
  <c r="AQ320" i="24"/>
  <c r="AP320" i="24"/>
  <c r="AO320" i="24"/>
  <c r="AN320" i="24"/>
  <c r="AM320" i="24"/>
  <c r="AL320" i="24"/>
  <c r="AK320" i="24"/>
  <c r="AJ320" i="24"/>
  <c r="AI320" i="24"/>
  <c r="AH320" i="24"/>
  <c r="AG320" i="24"/>
  <c r="AF320" i="24"/>
  <c r="AE320" i="24"/>
  <c r="AD320" i="24"/>
  <c r="AC320" i="24"/>
  <c r="AB320" i="24"/>
  <c r="AA320" i="24"/>
  <c r="Z320" i="24"/>
  <c r="Y320" i="24"/>
  <c r="X320" i="24"/>
  <c r="W320" i="24"/>
  <c r="V320" i="24"/>
  <c r="U320" i="24"/>
  <c r="T320" i="24"/>
  <c r="S320" i="24"/>
  <c r="R320" i="24"/>
  <c r="Q320" i="24"/>
  <c r="P320" i="24"/>
  <c r="O320" i="24"/>
  <c r="N320" i="24"/>
  <c r="M320" i="24"/>
  <c r="L320" i="24"/>
  <c r="K320" i="24"/>
  <c r="J320" i="24"/>
  <c r="I320" i="24"/>
  <c r="H320" i="24"/>
  <c r="BA319" i="24"/>
  <c r="AZ319" i="24"/>
  <c r="AY319" i="24"/>
  <c r="AX319" i="24"/>
  <c r="AW319" i="24"/>
  <c r="AV319" i="24"/>
  <c r="AU319" i="24"/>
  <c r="AT319" i="24"/>
  <c r="AS319" i="24"/>
  <c r="AR319" i="24"/>
  <c r="AQ319" i="24"/>
  <c r="AP319" i="24"/>
  <c r="AO319" i="24"/>
  <c r="AN319" i="24"/>
  <c r="AM319" i="24"/>
  <c r="AL319" i="24"/>
  <c r="AK319" i="24"/>
  <c r="AJ319" i="24"/>
  <c r="AI319" i="24"/>
  <c r="AH319" i="24"/>
  <c r="AG319" i="24"/>
  <c r="AF319" i="24"/>
  <c r="AE319" i="24"/>
  <c r="AD319" i="24"/>
  <c r="AC319" i="24"/>
  <c r="AB319" i="24"/>
  <c r="AA319" i="24"/>
  <c r="Z319" i="24"/>
  <c r="Y319" i="24"/>
  <c r="X319" i="24"/>
  <c r="W319" i="24"/>
  <c r="V319" i="24"/>
  <c r="U319" i="24"/>
  <c r="T319" i="24"/>
  <c r="S319" i="24"/>
  <c r="R319" i="24"/>
  <c r="Q319" i="24"/>
  <c r="P319" i="24"/>
  <c r="O319" i="24"/>
  <c r="N319" i="24"/>
  <c r="M319" i="24"/>
  <c r="L319" i="24"/>
  <c r="K319" i="24"/>
  <c r="J319" i="24"/>
  <c r="I319" i="24"/>
  <c r="H319" i="24"/>
  <c r="BA318" i="24"/>
  <c r="AZ318" i="24"/>
  <c r="AY318" i="24"/>
  <c r="AX318" i="24"/>
  <c r="AW318" i="24"/>
  <c r="AV318" i="24"/>
  <c r="AU318" i="24"/>
  <c r="AT318" i="24"/>
  <c r="AS318" i="24"/>
  <c r="AR318" i="24"/>
  <c r="AQ318" i="24"/>
  <c r="AP318" i="24"/>
  <c r="AO318" i="24"/>
  <c r="AN318" i="24"/>
  <c r="AM318" i="24"/>
  <c r="AL318" i="24"/>
  <c r="AK318" i="24"/>
  <c r="AJ318" i="24"/>
  <c r="AI318" i="24"/>
  <c r="AH318" i="24"/>
  <c r="AG318" i="24"/>
  <c r="AF318" i="24"/>
  <c r="AE318" i="24"/>
  <c r="AD318" i="24"/>
  <c r="AC318" i="24"/>
  <c r="AB318" i="24"/>
  <c r="AA318" i="24"/>
  <c r="Z318" i="24"/>
  <c r="Y318" i="24"/>
  <c r="X318" i="24"/>
  <c r="W318" i="24"/>
  <c r="V318" i="24"/>
  <c r="U318" i="24"/>
  <c r="T318" i="24"/>
  <c r="S318" i="24"/>
  <c r="R318" i="24"/>
  <c r="Q318" i="24"/>
  <c r="P318" i="24"/>
  <c r="O318" i="24"/>
  <c r="N318" i="24"/>
  <c r="M318" i="24"/>
  <c r="L318" i="24"/>
  <c r="K318" i="24"/>
  <c r="J318" i="24"/>
  <c r="I318" i="24"/>
  <c r="H318" i="24"/>
  <c r="BA317" i="24"/>
  <c r="AZ317" i="24"/>
  <c r="AY317" i="24"/>
  <c r="AX317" i="24"/>
  <c r="AW317" i="24"/>
  <c r="AV317" i="24"/>
  <c r="AU317" i="24"/>
  <c r="AT317" i="24"/>
  <c r="AS317" i="24"/>
  <c r="AR317" i="24"/>
  <c r="AQ317" i="24"/>
  <c r="AP317" i="24"/>
  <c r="AO317" i="24"/>
  <c r="AN317" i="24"/>
  <c r="AM317" i="24"/>
  <c r="AL317" i="24"/>
  <c r="AK317" i="24"/>
  <c r="AJ317" i="24"/>
  <c r="AI317" i="24"/>
  <c r="AH317" i="24"/>
  <c r="AG317" i="24"/>
  <c r="AF317" i="24"/>
  <c r="AE317" i="24"/>
  <c r="AD317" i="24"/>
  <c r="AC317" i="24"/>
  <c r="AB317" i="24"/>
  <c r="AA317" i="24"/>
  <c r="Z317" i="24"/>
  <c r="Y317" i="24"/>
  <c r="X317" i="24"/>
  <c r="W317" i="24"/>
  <c r="V317" i="24"/>
  <c r="U317" i="24"/>
  <c r="T317" i="24"/>
  <c r="S317" i="24"/>
  <c r="R317" i="24"/>
  <c r="Q317" i="24"/>
  <c r="P317" i="24"/>
  <c r="O317" i="24"/>
  <c r="N317" i="24"/>
  <c r="M317" i="24"/>
  <c r="L317" i="24"/>
  <c r="K317" i="24"/>
  <c r="J317" i="24"/>
  <c r="I317" i="24"/>
  <c r="H317" i="24"/>
  <c r="BA316" i="24"/>
  <c r="AZ316" i="24"/>
  <c r="AY316" i="24"/>
  <c r="AX316" i="24"/>
  <c r="AW316" i="24"/>
  <c r="AV316" i="24"/>
  <c r="AU316" i="24"/>
  <c r="AT316" i="24"/>
  <c r="AS316" i="24"/>
  <c r="AR316" i="24"/>
  <c r="AQ316" i="24"/>
  <c r="AP316" i="24"/>
  <c r="AO316" i="24"/>
  <c r="AN316" i="24"/>
  <c r="AM316" i="24"/>
  <c r="AL316" i="24"/>
  <c r="AK316" i="24"/>
  <c r="AJ316" i="24"/>
  <c r="AI316" i="24"/>
  <c r="AH316" i="24"/>
  <c r="AG316" i="24"/>
  <c r="AF316" i="24"/>
  <c r="AE316" i="24"/>
  <c r="AD316" i="24"/>
  <c r="AC316" i="24"/>
  <c r="AB316" i="24"/>
  <c r="AA316" i="24"/>
  <c r="Z316" i="24"/>
  <c r="Y316" i="24"/>
  <c r="X316" i="24"/>
  <c r="W316" i="24"/>
  <c r="V316" i="24"/>
  <c r="U316" i="24"/>
  <c r="T316" i="24"/>
  <c r="S316" i="24"/>
  <c r="R316" i="24"/>
  <c r="Q316" i="24"/>
  <c r="P316" i="24"/>
  <c r="O316" i="24"/>
  <c r="N316" i="24"/>
  <c r="M316" i="24"/>
  <c r="L316" i="24"/>
  <c r="K316" i="24"/>
  <c r="J316" i="24"/>
  <c r="I316" i="24"/>
  <c r="H316" i="24"/>
  <c r="BA315" i="24"/>
  <c r="AZ315" i="24"/>
  <c r="AY315" i="24"/>
  <c r="AX315" i="24"/>
  <c r="AW315" i="24"/>
  <c r="AV315" i="24"/>
  <c r="AU315" i="24"/>
  <c r="AT315" i="24"/>
  <c r="AS315" i="24"/>
  <c r="AR315" i="24"/>
  <c r="AQ315" i="24"/>
  <c r="AP315" i="24"/>
  <c r="AO315" i="24"/>
  <c r="AN315" i="24"/>
  <c r="AM315" i="24"/>
  <c r="AL315" i="24"/>
  <c r="AK315" i="24"/>
  <c r="AJ315" i="24"/>
  <c r="AI315" i="24"/>
  <c r="AH315" i="24"/>
  <c r="AG315" i="24"/>
  <c r="AF315" i="24"/>
  <c r="AE315" i="24"/>
  <c r="AD315" i="24"/>
  <c r="AC315" i="24"/>
  <c r="AB315" i="24"/>
  <c r="AA315" i="24"/>
  <c r="Z315" i="24"/>
  <c r="Y315" i="24"/>
  <c r="X315" i="24"/>
  <c r="W315" i="24"/>
  <c r="V315" i="24"/>
  <c r="U315" i="24"/>
  <c r="T315" i="24"/>
  <c r="S315" i="24"/>
  <c r="R315" i="24"/>
  <c r="Q315" i="24"/>
  <c r="P315" i="24"/>
  <c r="O315" i="24"/>
  <c r="N315" i="24"/>
  <c r="M315" i="24"/>
  <c r="L315" i="24"/>
  <c r="K315" i="24"/>
  <c r="J315" i="24"/>
  <c r="I315" i="24"/>
  <c r="H315" i="24"/>
  <c r="BA314" i="24"/>
  <c r="AZ314" i="24"/>
  <c r="AY314" i="24"/>
  <c r="AX314" i="24"/>
  <c r="AW314" i="24"/>
  <c r="AV314" i="24"/>
  <c r="AU314" i="24"/>
  <c r="AT314" i="24"/>
  <c r="AS314" i="24"/>
  <c r="AR314" i="24"/>
  <c r="AQ314" i="24"/>
  <c r="AP314" i="24"/>
  <c r="AO314" i="24"/>
  <c r="AN314" i="24"/>
  <c r="AM314" i="24"/>
  <c r="AL314" i="24"/>
  <c r="AK314" i="24"/>
  <c r="AJ314" i="24"/>
  <c r="AI314" i="24"/>
  <c r="AH314" i="24"/>
  <c r="AG314" i="24"/>
  <c r="AF314" i="24"/>
  <c r="AE314" i="24"/>
  <c r="AD314" i="24"/>
  <c r="AC314" i="24"/>
  <c r="AB314" i="24"/>
  <c r="AA314" i="24"/>
  <c r="Z314" i="24"/>
  <c r="Y314" i="24"/>
  <c r="X314" i="24"/>
  <c r="W314" i="24"/>
  <c r="V314" i="24"/>
  <c r="U314" i="24"/>
  <c r="T314" i="24"/>
  <c r="S314" i="24"/>
  <c r="R314" i="24"/>
  <c r="Q314" i="24"/>
  <c r="P314" i="24"/>
  <c r="O314" i="24"/>
  <c r="N314" i="24"/>
  <c r="M314" i="24"/>
  <c r="L314" i="24"/>
  <c r="K314" i="24"/>
  <c r="J314" i="24"/>
  <c r="I314" i="24"/>
  <c r="H314" i="24"/>
  <c r="BA313" i="24"/>
  <c r="AZ313" i="24"/>
  <c r="AY313" i="24"/>
  <c r="AX313" i="24"/>
  <c r="AW313" i="24"/>
  <c r="AV313" i="24"/>
  <c r="AU313" i="24"/>
  <c r="AT313" i="24"/>
  <c r="AS313" i="24"/>
  <c r="AR313" i="24"/>
  <c r="AQ313" i="24"/>
  <c r="AP313" i="24"/>
  <c r="AO313" i="24"/>
  <c r="AN313" i="24"/>
  <c r="AM313" i="24"/>
  <c r="AL313" i="24"/>
  <c r="AK313" i="24"/>
  <c r="AJ313" i="24"/>
  <c r="AI313" i="24"/>
  <c r="AH313" i="24"/>
  <c r="AG313" i="24"/>
  <c r="AF313" i="24"/>
  <c r="AE313" i="24"/>
  <c r="AD313" i="24"/>
  <c r="AC313" i="24"/>
  <c r="AB313" i="24"/>
  <c r="AA313" i="24"/>
  <c r="Z313" i="24"/>
  <c r="Y313" i="24"/>
  <c r="X313" i="24"/>
  <c r="W313" i="24"/>
  <c r="V313" i="24"/>
  <c r="U313" i="24"/>
  <c r="T313" i="24"/>
  <c r="S313" i="24"/>
  <c r="R313" i="24"/>
  <c r="Q313" i="24"/>
  <c r="P313" i="24"/>
  <c r="O313" i="24"/>
  <c r="N313" i="24"/>
  <c r="M313" i="24"/>
  <c r="L313" i="24"/>
  <c r="K313" i="24"/>
  <c r="J313" i="24"/>
  <c r="I313" i="24"/>
  <c r="H313" i="24"/>
  <c r="BA312" i="24"/>
  <c r="AZ312" i="24"/>
  <c r="AY312" i="24"/>
  <c r="AX312" i="24"/>
  <c r="AW312" i="24"/>
  <c r="AV312" i="24"/>
  <c r="AU312" i="24"/>
  <c r="AT312" i="24"/>
  <c r="AS312" i="24"/>
  <c r="AR312" i="24"/>
  <c r="AQ312" i="24"/>
  <c r="AP312" i="24"/>
  <c r="AO312" i="24"/>
  <c r="AN312" i="24"/>
  <c r="AM312" i="24"/>
  <c r="AL312" i="24"/>
  <c r="AK312" i="24"/>
  <c r="AJ312" i="24"/>
  <c r="AI312" i="24"/>
  <c r="AH312" i="24"/>
  <c r="AG312" i="24"/>
  <c r="AF312" i="24"/>
  <c r="AE312" i="24"/>
  <c r="AD312" i="24"/>
  <c r="AC312" i="24"/>
  <c r="AB312" i="24"/>
  <c r="AA312" i="24"/>
  <c r="Z312" i="24"/>
  <c r="Y312" i="24"/>
  <c r="X312" i="24"/>
  <c r="W312" i="24"/>
  <c r="V312" i="24"/>
  <c r="U312" i="24"/>
  <c r="T312" i="24"/>
  <c r="S312" i="24"/>
  <c r="R312" i="24"/>
  <c r="Q312" i="24"/>
  <c r="P312" i="24"/>
  <c r="O312" i="24"/>
  <c r="N312" i="24"/>
  <c r="M312" i="24"/>
  <c r="L312" i="24"/>
  <c r="K312" i="24"/>
  <c r="J312" i="24"/>
  <c r="I312" i="24"/>
  <c r="H312" i="24"/>
  <c r="BA311" i="24"/>
  <c r="AZ311" i="24"/>
  <c r="AY311" i="24"/>
  <c r="AX311" i="24"/>
  <c r="AW311" i="24"/>
  <c r="AV311" i="24"/>
  <c r="AU311" i="24"/>
  <c r="AT311" i="24"/>
  <c r="AS311" i="24"/>
  <c r="AR311" i="24"/>
  <c r="AQ311" i="24"/>
  <c r="AP311" i="24"/>
  <c r="AO311" i="24"/>
  <c r="AN311" i="24"/>
  <c r="AM311" i="24"/>
  <c r="AL311" i="24"/>
  <c r="AK311" i="24"/>
  <c r="AJ311" i="24"/>
  <c r="AI311" i="24"/>
  <c r="AH311" i="24"/>
  <c r="AG311" i="24"/>
  <c r="AF311" i="24"/>
  <c r="AE311" i="24"/>
  <c r="AD311" i="24"/>
  <c r="AC311" i="24"/>
  <c r="AB311" i="24"/>
  <c r="AA311" i="24"/>
  <c r="Z311" i="24"/>
  <c r="Y311" i="24"/>
  <c r="X311" i="24"/>
  <c r="W311" i="24"/>
  <c r="V311" i="24"/>
  <c r="U311" i="24"/>
  <c r="T311" i="24"/>
  <c r="S311" i="24"/>
  <c r="R311" i="24"/>
  <c r="Q311" i="24"/>
  <c r="P311" i="24"/>
  <c r="O311" i="24"/>
  <c r="N311" i="24"/>
  <c r="M311" i="24"/>
  <c r="L311" i="24"/>
  <c r="K311" i="24"/>
  <c r="J311" i="24"/>
  <c r="I311" i="24"/>
  <c r="H311" i="24"/>
  <c r="BA310" i="24"/>
  <c r="AZ310" i="24"/>
  <c r="AY310" i="24"/>
  <c r="AX310" i="24"/>
  <c r="AW310" i="24"/>
  <c r="AV310" i="24"/>
  <c r="AU310" i="24"/>
  <c r="AT310" i="24"/>
  <c r="AS310" i="24"/>
  <c r="AR310" i="24"/>
  <c r="AQ310" i="24"/>
  <c r="AP310" i="24"/>
  <c r="AO310" i="24"/>
  <c r="AN310" i="24"/>
  <c r="AM310" i="24"/>
  <c r="AL310" i="24"/>
  <c r="AK310" i="24"/>
  <c r="AJ310" i="24"/>
  <c r="AI310" i="24"/>
  <c r="AH310" i="24"/>
  <c r="AG310" i="24"/>
  <c r="AF310" i="24"/>
  <c r="AE310" i="24"/>
  <c r="AD310" i="24"/>
  <c r="AC310" i="24"/>
  <c r="AB310" i="24"/>
  <c r="AA310" i="24"/>
  <c r="Z310" i="24"/>
  <c r="Y310" i="24"/>
  <c r="X310" i="24"/>
  <c r="W310" i="24"/>
  <c r="V310" i="24"/>
  <c r="U310" i="24"/>
  <c r="T310" i="24"/>
  <c r="S310" i="24"/>
  <c r="R310" i="24"/>
  <c r="Q310" i="24"/>
  <c r="P310" i="24"/>
  <c r="O310" i="24"/>
  <c r="N310" i="24"/>
  <c r="M310" i="24"/>
  <c r="L310" i="24"/>
  <c r="K310" i="24"/>
  <c r="J310" i="24"/>
  <c r="I310" i="24"/>
  <c r="H310" i="24"/>
  <c r="BA309" i="24"/>
  <c r="AZ309" i="24"/>
  <c r="AY309" i="24"/>
  <c r="AX309" i="24"/>
  <c r="AW309" i="24"/>
  <c r="AV309" i="24"/>
  <c r="AU309" i="24"/>
  <c r="AT309" i="24"/>
  <c r="AS309" i="24"/>
  <c r="AR309" i="24"/>
  <c r="AQ309" i="24"/>
  <c r="AP309" i="24"/>
  <c r="AO309" i="24"/>
  <c r="AN309" i="24"/>
  <c r="AM309" i="24"/>
  <c r="AL309" i="24"/>
  <c r="AK309" i="24"/>
  <c r="AJ309" i="24"/>
  <c r="AI309" i="24"/>
  <c r="AH309" i="24"/>
  <c r="AG309" i="24"/>
  <c r="AF309" i="24"/>
  <c r="AE309" i="24"/>
  <c r="AD309" i="24"/>
  <c r="AC309" i="24"/>
  <c r="AB309" i="24"/>
  <c r="AA309" i="24"/>
  <c r="Z309" i="24"/>
  <c r="Y309" i="24"/>
  <c r="X309" i="24"/>
  <c r="W309" i="24"/>
  <c r="V309" i="24"/>
  <c r="U309" i="24"/>
  <c r="T309" i="24"/>
  <c r="S309" i="24"/>
  <c r="R309" i="24"/>
  <c r="Q309" i="24"/>
  <c r="P309" i="24"/>
  <c r="O309" i="24"/>
  <c r="N309" i="24"/>
  <c r="M309" i="24"/>
  <c r="L309" i="24"/>
  <c r="K309" i="24"/>
  <c r="J309" i="24"/>
  <c r="I309" i="24"/>
  <c r="H309" i="24"/>
  <c r="BA308" i="24"/>
  <c r="AZ308" i="24"/>
  <c r="AY308" i="24"/>
  <c r="AX308" i="24"/>
  <c r="AW308" i="24"/>
  <c r="AV308" i="24"/>
  <c r="AU308" i="24"/>
  <c r="AT308" i="24"/>
  <c r="AS308" i="24"/>
  <c r="AR308" i="24"/>
  <c r="AQ308" i="24"/>
  <c r="AP308" i="24"/>
  <c r="AO308" i="24"/>
  <c r="AN308" i="24"/>
  <c r="AM308" i="24"/>
  <c r="AL308" i="24"/>
  <c r="AK308" i="24"/>
  <c r="AJ308" i="24"/>
  <c r="AI308" i="24"/>
  <c r="AH308" i="24"/>
  <c r="AG308" i="24"/>
  <c r="AF308" i="24"/>
  <c r="AE308" i="24"/>
  <c r="AD308" i="24"/>
  <c r="AC308" i="24"/>
  <c r="AB308" i="24"/>
  <c r="AA308" i="24"/>
  <c r="Z308" i="24"/>
  <c r="Y308" i="24"/>
  <c r="X308" i="24"/>
  <c r="W308" i="24"/>
  <c r="V308" i="24"/>
  <c r="U308" i="24"/>
  <c r="T308" i="24"/>
  <c r="S308" i="24"/>
  <c r="R308" i="24"/>
  <c r="Q308" i="24"/>
  <c r="P308" i="24"/>
  <c r="O308" i="24"/>
  <c r="N308" i="24"/>
  <c r="M308" i="24"/>
  <c r="L308" i="24"/>
  <c r="K308" i="24"/>
  <c r="J308" i="24"/>
  <c r="I308" i="24"/>
  <c r="H308" i="24"/>
  <c r="BA307" i="24"/>
  <c r="AZ307" i="24"/>
  <c r="AY307" i="24"/>
  <c r="AX307" i="24"/>
  <c r="AW307" i="24"/>
  <c r="AV307" i="24"/>
  <c r="AU307" i="24"/>
  <c r="AT307" i="24"/>
  <c r="AS307" i="24"/>
  <c r="AR307" i="24"/>
  <c r="AQ307" i="24"/>
  <c r="AP307" i="24"/>
  <c r="AO307" i="24"/>
  <c r="AN307" i="24"/>
  <c r="AM307" i="24"/>
  <c r="AL307" i="24"/>
  <c r="AK307" i="24"/>
  <c r="AJ307" i="24"/>
  <c r="AI307" i="24"/>
  <c r="AH307" i="24"/>
  <c r="AG307" i="24"/>
  <c r="AF307" i="24"/>
  <c r="AE307" i="24"/>
  <c r="AD307" i="24"/>
  <c r="AC307" i="24"/>
  <c r="AB307" i="24"/>
  <c r="AA307" i="24"/>
  <c r="Z307" i="24"/>
  <c r="Y307" i="24"/>
  <c r="X307" i="24"/>
  <c r="W307" i="24"/>
  <c r="V307" i="24"/>
  <c r="U307" i="24"/>
  <c r="T307" i="24"/>
  <c r="S307" i="24"/>
  <c r="R307" i="24"/>
  <c r="Q307" i="24"/>
  <c r="P307" i="24"/>
  <c r="O307" i="24"/>
  <c r="N307" i="24"/>
  <c r="M307" i="24"/>
  <c r="L307" i="24"/>
  <c r="K307" i="24"/>
  <c r="J307" i="24"/>
  <c r="I307" i="24"/>
  <c r="H307" i="24"/>
  <c r="BA306" i="24"/>
  <c r="AZ306" i="24"/>
  <c r="AY306" i="24"/>
  <c r="AX306" i="24"/>
  <c r="AW306" i="24"/>
  <c r="AV306" i="24"/>
  <c r="AU306" i="24"/>
  <c r="AT306" i="24"/>
  <c r="AS306" i="24"/>
  <c r="AR306" i="24"/>
  <c r="AQ306" i="24"/>
  <c r="AP306" i="24"/>
  <c r="AO306" i="24"/>
  <c r="AN306" i="24"/>
  <c r="AM306" i="24"/>
  <c r="AL306" i="24"/>
  <c r="AK306" i="24"/>
  <c r="AJ306" i="24"/>
  <c r="AI306" i="24"/>
  <c r="AH306" i="24"/>
  <c r="AG306" i="24"/>
  <c r="AF306" i="24"/>
  <c r="AE306" i="24"/>
  <c r="AD306" i="24"/>
  <c r="AC306" i="24"/>
  <c r="AB306" i="24"/>
  <c r="AA306" i="24"/>
  <c r="Z306" i="24"/>
  <c r="Y306" i="24"/>
  <c r="X306" i="24"/>
  <c r="W306" i="24"/>
  <c r="V306" i="24"/>
  <c r="U306" i="24"/>
  <c r="T306" i="24"/>
  <c r="S306" i="24"/>
  <c r="R306" i="24"/>
  <c r="Q306" i="24"/>
  <c r="P306" i="24"/>
  <c r="O306" i="24"/>
  <c r="N306" i="24"/>
  <c r="M306" i="24"/>
  <c r="L306" i="24"/>
  <c r="K306" i="24"/>
  <c r="J306" i="24"/>
  <c r="I306" i="24"/>
  <c r="H306" i="24"/>
  <c r="BA305" i="24"/>
  <c r="AZ305" i="24"/>
  <c r="AY305" i="24"/>
  <c r="AX305" i="24"/>
  <c r="AW305" i="24"/>
  <c r="AV305" i="24"/>
  <c r="AU305" i="24"/>
  <c r="AT305" i="24"/>
  <c r="AS305" i="24"/>
  <c r="AR305" i="24"/>
  <c r="AQ305" i="24"/>
  <c r="AP305" i="24"/>
  <c r="AO305" i="24"/>
  <c r="AN305" i="24"/>
  <c r="AM305" i="24"/>
  <c r="AL305" i="24"/>
  <c r="AK305" i="24"/>
  <c r="AJ305" i="24"/>
  <c r="AI305" i="24"/>
  <c r="AH305" i="24"/>
  <c r="AG305" i="24"/>
  <c r="AF305" i="24"/>
  <c r="AE305" i="24"/>
  <c r="AD305" i="24"/>
  <c r="AC305" i="24"/>
  <c r="AB305" i="24"/>
  <c r="AA305" i="24"/>
  <c r="Z305" i="24"/>
  <c r="Y305" i="24"/>
  <c r="X305" i="24"/>
  <c r="W305" i="24"/>
  <c r="V305" i="24"/>
  <c r="U305" i="24"/>
  <c r="T305" i="24"/>
  <c r="S305" i="24"/>
  <c r="R305" i="24"/>
  <c r="Q305" i="24"/>
  <c r="P305" i="24"/>
  <c r="O305" i="24"/>
  <c r="N305" i="24"/>
  <c r="M305" i="24"/>
  <c r="L305" i="24"/>
  <c r="K305" i="24"/>
  <c r="J305" i="24"/>
  <c r="I305" i="24"/>
  <c r="H305" i="24"/>
  <c r="BA304" i="24"/>
  <c r="AZ304" i="24"/>
  <c r="AY304" i="24"/>
  <c r="AX304" i="24"/>
  <c r="AW304" i="24"/>
  <c r="AV304" i="24"/>
  <c r="AU304" i="24"/>
  <c r="AT304" i="24"/>
  <c r="AS304" i="24"/>
  <c r="AR304" i="24"/>
  <c r="AQ304" i="24"/>
  <c r="AP304" i="24"/>
  <c r="AO304" i="24"/>
  <c r="AN304" i="24"/>
  <c r="AM304" i="24"/>
  <c r="AL304" i="24"/>
  <c r="AK304" i="24"/>
  <c r="AJ304" i="24"/>
  <c r="AI304" i="24"/>
  <c r="AH304" i="24"/>
  <c r="AG304" i="24"/>
  <c r="AF304" i="24"/>
  <c r="AE304" i="24"/>
  <c r="AD304" i="24"/>
  <c r="AC304" i="24"/>
  <c r="AB304" i="24"/>
  <c r="AA304" i="24"/>
  <c r="Z304" i="24"/>
  <c r="Y304" i="24"/>
  <c r="X304" i="24"/>
  <c r="W304" i="24"/>
  <c r="V304" i="24"/>
  <c r="U304" i="24"/>
  <c r="T304" i="24"/>
  <c r="S304" i="24"/>
  <c r="R304" i="24"/>
  <c r="Q304" i="24"/>
  <c r="P304" i="24"/>
  <c r="O304" i="24"/>
  <c r="N304" i="24"/>
  <c r="M304" i="24"/>
  <c r="L304" i="24"/>
  <c r="K304" i="24"/>
  <c r="J304" i="24"/>
  <c r="I304" i="24"/>
  <c r="H304" i="24"/>
  <c r="BA303" i="24"/>
  <c r="AZ303" i="24"/>
  <c r="AY303" i="24"/>
  <c r="AX303" i="24"/>
  <c r="AW303" i="24"/>
  <c r="AV303" i="24"/>
  <c r="AU303" i="24"/>
  <c r="AT303" i="24"/>
  <c r="AS303" i="24"/>
  <c r="AR303" i="24"/>
  <c r="AQ303" i="24"/>
  <c r="AP303" i="24"/>
  <c r="AO303" i="24"/>
  <c r="AN303" i="24"/>
  <c r="AM303" i="24"/>
  <c r="AL303" i="24"/>
  <c r="AK303" i="24"/>
  <c r="AJ303" i="24"/>
  <c r="AI303" i="24"/>
  <c r="AH303" i="24"/>
  <c r="AG303" i="24"/>
  <c r="AF303" i="24"/>
  <c r="AE303" i="24"/>
  <c r="AD303" i="24"/>
  <c r="AC303" i="24"/>
  <c r="AB303" i="24"/>
  <c r="AA303" i="24"/>
  <c r="Z303" i="24"/>
  <c r="Y303" i="24"/>
  <c r="X303" i="24"/>
  <c r="W303" i="24"/>
  <c r="V303" i="24"/>
  <c r="U303" i="24"/>
  <c r="T303" i="24"/>
  <c r="S303" i="24"/>
  <c r="R303" i="24"/>
  <c r="Q303" i="24"/>
  <c r="P303" i="24"/>
  <c r="O303" i="24"/>
  <c r="N303" i="24"/>
  <c r="M303" i="24"/>
  <c r="L303" i="24"/>
  <c r="K303" i="24"/>
  <c r="J303" i="24"/>
  <c r="I303" i="24"/>
  <c r="H303" i="24"/>
  <c r="BA302" i="24"/>
  <c r="AZ302" i="24"/>
  <c r="AY302" i="24"/>
  <c r="AX302" i="24"/>
  <c r="AW302" i="24"/>
  <c r="AV302" i="24"/>
  <c r="AU302" i="24"/>
  <c r="AT302" i="24"/>
  <c r="AS302" i="24"/>
  <c r="AR302" i="24"/>
  <c r="AQ302" i="24"/>
  <c r="AP302" i="24"/>
  <c r="AO302" i="24"/>
  <c r="AN302" i="24"/>
  <c r="AM302" i="24"/>
  <c r="AL302" i="24"/>
  <c r="AK302" i="24"/>
  <c r="AJ302" i="24"/>
  <c r="AI302" i="24"/>
  <c r="AH302" i="24"/>
  <c r="AG302" i="24"/>
  <c r="AF302" i="24"/>
  <c r="AE302" i="24"/>
  <c r="AD302" i="24"/>
  <c r="AC302" i="24"/>
  <c r="AB302" i="24"/>
  <c r="AA302" i="24"/>
  <c r="Z302" i="24"/>
  <c r="Y302" i="24"/>
  <c r="X302" i="24"/>
  <c r="W302" i="24"/>
  <c r="V302" i="24"/>
  <c r="U302" i="24"/>
  <c r="T302" i="24"/>
  <c r="S302" i="24"/>
  <c r="R302" i="24"/>
  <c r="Q302" i="24"/>
  <c r="P302" i="24"/>
  <c r="O302" i="24"/>
  <c r="N302" i="24"/>
  <c r="M302" i="24"/>
  <c r="L302" i="24"/>
  <c r="K302" i="24"/>
  <c r="J302" i="24"/>
  <c r="I302" i="24"/>
  <c r="H302" i="24"/>
  <c r="BA301" i="24"/>
  <c r="AZ301" i="24"/>
  <c r="AY301" i="24"/>
  <c r="AX301" i="24"/>
  <c r="AW301" i="24"/>
  <c r="AV301" i="24"/>
  <c r="AU301" i="24"/>
  <c r="AT301" i="24"/>
  <c r="AS301" i="24"/>
  <c r="AR301" i="24"/>
  <c r="AQ301" i="24"/>
  <c r="AP301" i="24"/>
  <c r="AO301" i="24"/>
  <c r="AN301" i="24"/>
  <c r="AM301" i="24"/>
  <c r="AL301" i="24"/>
  <c r="AK301" i="24"/>
  <c r="AJ301" i="24"/>
  <c r="AI301" i="24"/>
  <c r="AH301" i="24"/>
  <c r="AG301" i="24"/>
  <c r="AF301" i="24"/>
  <c r="AE301" i="24"/>
  <c r="AD301" i="24"/>
  <c r="AC301" i="24"/>
  <c r="AB301" i="24"/>
  <c r="AA301" i="24"/>
  <c r="Z301" i="24"/>
  <c r="Y301" i="24"/>
  <c r="X301" i="24"/>
  <c r="W301" i="24"/>
  <c r="V301" i="24"/>
  <c r="U301" i="24"/>
  <c r="T301" i="24"/>
  <c r="S301" i="24"/>
  <c r="R301" i="24"/>
  <c r="Q301" i="24"/>
  <c r="P301" i="24"/>
  <c r="O301" i="24"/>
  <c r="N301" i="24"/>
  <c r="M301" i="24"/>
  <c r="L301" i="24"/>
  <c r="K301" i="24"/>
  <c r="J301" i="24"/>
  <c r="I301" i="24"/>
  <c r="H301" i="24"/>
  <c r="BA300" i="24"/>
  <c r="AZ300" i="24"/>
  <c r="AY300" i="24"/>
  <c r="AX300" i="24"/>
  <c r="AW300" i="24"/>
  <c r="AV300" i="24"/>
  <c r="AU300" i="24"/>
  <c r="AT300" i="24"/>
  <c r="AS300" i="24"/>
  <c r="AR300" i="24"/>
  <c r="AQ300" i="24"/>
  <c r="AP300" i="24"/>
  <c r="AO300" i="24"/>
  <c r="AN300" i="24"/>
  <c r="AM300" i="24"/>
  <c r="AL300" i="24"/>
  <c r="AK300" i="24"/>
  <c r="AJ300" i="24"/>
  <c r="AI300" i="24"/>
  <c r="AH300" i="24"/>
  <c r="AG300" i="24"/>
  <c r="AF300" i="24"/>
  <c r="AE300" i="24"/>
  <c r="AD300" i="24"/>
  <c r="AC300" i="24"/>
  <c r="AB300" i="24"/>
  <c r="AA300" i="24"/>
  <c r="Z300" i="24"/>
  <c r="Y300" i="24"/>
  <c r="X300" i="24"/>
  <c r="W300" i="24"/>
  <c r="V300" i="24"/>
  <c r="U300" i="24"/>
  <c r="T300" i="24"/>
  <c r="S300" i="24"/>
  <c r="R300" i="24"/>
  <c r="Q300" i="24"/>
  <c r="P300" i="24"/>
  <c r="O300" i="24"/>
  <c r="N300" i="24"/>
  <c r="M300" i="24"/>
  <c r="L300" i="24"/>
  <c r="K300" i="24"/>
  <c r="J300" i="24"/>
  <c r="I300" i="24"/>
  <c r="H300" i="24"/>
  <c r="BA299" i="24"/>
  <c r="AZ299" i="24"/>
  <c r="AY299" i="24"/>
  <c r="AX299" i="24"/>
  <c r="AW299" i="24"/>
  <c r="AV299" i="24"/>
  <c r="AU299" i="24"/>
  <c r="AT299" i="24"/>
  <c r="AS299" i="24"/>
  <c r="AR299" i="24"/>
  <c r="AQ299" i="24"/>
  <c r="AP299" i="24"/>
  <c r="AO299" i="24"/>
  <c r="AN299" i="24"/>
  <c r="AM299" i="24"/>
  <c r="AL299" i="24"/>
  <c r="AK299" i="24"/>
  <c r="AJ299" i="24"/>
  <c r="AI299" i="24"/>
  <c r="AH299" i="24"/>
  <c r="AG299" i="24"/>
  <c r="AF299" i="24"/>
  <c r="AE299" i="24"/>
  <c r="AD299" i="24"/>
  <c r="AC299" i="24"/>
  <c r="AB299" i="24"/>
  <c r="AA299" i="24"/>
  <c r="Z299" i="24"/>
  <c r="Y299" i="24"/>
  <c r="X299" i="24"/>
  <c r="W299" i="24"/>
  <c r="V299" i="24"/>
  <c r="U299" i="24"/>
  <c r="T299" i="24"/>
  <c r="S299" i="24"/>
  <c r="R299" i="24"/>
  <c r="Q299" i="24"/>
  <c r="P299" i="24"/>
  <c r="O299" i="24"/>
  <c r="N299" i="24"/>
  <c r="M299" i="24"/>
  <c r="L299" i="24"/>
  <c r="K299" i="24"/>
  <c r="J299" i="24"/>
  <c r="I299" i="24"/>
  <c r="H299" i="24"/>
  <c r="BA298" i="24"/>
  <c r="AZ298" i="24"/>
  <c r="AY298" i="24"/>
  <c r="AX298" i="24"/>
  <c r="AW298" i="24"/>
  <c r="AV298" i="24"/>
  <c r="AU298" i="24"/>
  <c r="AT298" i="24"/>
  <c r="AS298" i="24"/>
  <c r="AR298" i="24"/>
  <c r="AQ298" i="24"/>
  <c r="AP298" i="24"/>
  <c r="AO298" i="24"/>
  <c r="AN298" i="24"/>
  <c r="AM298" i="24"/>
  <c r="AL298" i="24"/>
  <c r="AK298" i="24"/>
  <c r="AJ298" i="24"/>
  <c r="AI298" i="24"/>
  <c r="AH298" i="24"/>
  <c r="AG298" i="24"/>
  <c r="AF298" i="24"/>
  <c r="AE298" i="24"/>
  <c r="AD298" i="24"/>
  <c r="AC298" i="24"/>
  <c r="AB298" i="24"/>
  <c r="AA298" i="24"/>
  <c r="Z298" i="24"/>
  <c r="Y298" i="24"/>
  <c r="X298" i="24"/>
  <c r="W298" i="24"/>
  <c r="V298" i="24"/>
  <c r="U298" i="24"/>
  <c r="T298" i="24"/>
  <c r="S298" i="24"/>
  <c r="R298" i="24"/>
  <c r="Q298" i="24"/>
  <c r="P298" i="24"/>
  <c r="O298" i="24"/>
  <c r="N298" i="24"/>
  <c r="M298" i="24"/>
  <c r="L298" i="24"/>
  <c r="K298" i="24"/>
  <c r="J298" i="24"/>
  <c r="I298" i="24"/>
  <c r="H298" i="24"/>
  <c r="BA297" i="24"/>
  <c r="AZ297" i="24"/>
  <c r="AY297" i="24"/>
  <c r="AX297" i="24"/>
  <c r="AW297" i="24"/>
  <c r="AV297" i="24"/>
  <c r="AU297" i="24"/>
  <c r="AT297" i="24"/>
  <c r="AS297" i="24"/>
  <c r="AR297" i="24"/>
  <c r="AQ297" i="24"/>
  <c r="AP297" i="24"/>
  <c r="AO297" i="24"/>
  <c r="AN297" i="24"/>
  <c r="AM297" i="24"/>
  <c r="AL297" i="24"/>
  <c r="AK297" i="24"/>
  <c r="AJ297" i="24"/>
  <c r="AI297" i="24"/>
  <c r="AH297" i="24"/>
  <c r="AG297" i="24"/>
  <c r="AF297" i="24"/>
  <c r="AE297" i="24"/>
  <c r="AD297" i="24"/>
  <c r="AC297" i="24"/>
  <c r="AB297" i="24"/>
  <c r="AA297" i="24"/>
  <c r="Z297" i="24"/>
  <c r="Y297" i="24"/>
  <c r="X297" i="24"/>
  <c r="W297" i="24"/>
  <c r="V297" i="24"/>
  <c r="U297" i="24"/>
  <c r="T297" i="24"/>
  <c r="S297" i="24"/>
  <c r="R297" i="24"/>
  <c r="Q297" i="24"/>
  <c r="P297" i="24"/>
  <c r="O297" i="24"/>
  <c r="N297" i="24"/>
  <c r="M297" i="24"/>
  <c r="L297" i="24"/>
  <c r="K297" i="24"/>
  <c r="J297" i="24"/>
  <c r="I297" i="24"/>
  <c r="H297" i="24"/>
  <c r="BA296" i="24"/>
  <c r="AZ296" i="24"/>
  <c r="AY296" i="24"/>
  <c r="AX296" i="24"/>
  <c r="AW296" i="24"/>
  <c r="AV296" i="24"/>
  <c r="AU296" i="24"/>
  <c r="AT296" i="24"/>
  <c r="AS296" i="24"/>
  <c r="AR296" i="24"/>
  <c r="AQ296" i="24"/>
  <c r="AP296" i="24"/>
  <c r="AO296" i="24"/>
  <c r="AN296" i="24"/>
  <c r="AM296" i="24"/>
  <c r="AL296" i="24"/>
  <c r="AK296" i="24"/>
  <c r="AJ296" i="24"/>
  <c r="AI296" i="24"/>
  <c r="AH296" i="24"/>
  <c r="AG296" i="24"/>
  <c r="AF296" i="24"/>
  <c r="AE296" i="24"/>
  <c r="AD296" i="24"/>
  <c r="AC296" i="24"/>
  <c r="AB296" i="24"/>
  <c r="AA296" i="24"/>
  <c r="Z296" i="24"/>
  <c r="Y296" i="24"/>
  <c r="X296" i="24"/>
  <c r="W296" i="24"/>
  <c r="V296" i="24"/>
  <c r="U296" i="24"/>
  <c r="T296" i="24"/>
  <c r="S296" i="24"/>
  <c r="R296" i="24"/>
  <c r="Q296" i="24"/>
  <c r="P296" i="24"/>
  <c r="O296" i="24"/>
  <c r="N296" i="24"/>
  <c r="M296" i="24"/>
  <c r="L296" i="24"/>
  <c r="K296" i="24"/>
  <c r="J296" i="24"/>
  <c r="I296" i="24"/>
  <c r="H296" i="24"/>
  <c r="BA295" i="24"/>
  <c r="AZ295" i="24"/>
  <c r="AY295" i="24"/>
  <c r="AX295" i="24"/>
  <c r="AW295" i="24"/>
  <c r="AV295" i="24"/>
  <c r="AU295" i="24"/>
  <c r="AT295" i="24"/>
  <c r="AS295" i="24"/>
  <c r="AR295" i="24"/>
  <c r="AQ295" i="24"/>
  <c r="AP295" i="24"/>
  <c r="AO295" i="24"/>
  <c r="AN295" i="24"/>
  <c r="AM295" i="24"/>
  <c r="AL295" i="24"/>
  <c r="AK295" i="24"/>
  <c r="AJ295" i="24"/>
  <c r="AI295" i="24"/>
  <c r="AH295" i="24"/>
  <c r="AG295" i="24"/>
  <c r="AF295" i="24"/>
  <c r="AE295" i="24"/>
  <c r="AD295" i="24"/>
  <c r="AC295" i="24"/>
  <c r="AB295" i="24"/>
  <c r="AA295" i="24"/>
  <c r="Z295" i="24"/>
  <c r="Y295" i="24"/>
  <c r="X295" i="24"/>
  <c r="W295" i="24"/>
  <c r="V295" i="24"/>
  <c r="U295" i="24"/>
  <c r="T295" i="24"/>
  <c r="S295" i="24"/>
  <c r="R295" i="24"/>
  <c r="Q295" i="24"/>
  <c r="P295" i="24"/>
  <c r="O295" i="24"/>
  <c r="N295" i="24"/>
  <c r="M295" i="24"/>
  <c r="L295" i="24"/>
  <c r="K295" i="24"/>
  <c r="J295" i="24"/>
  <c r="I295" i="24"/>
  <c r="H295" i="24"/>
  <c r="BA294" i="24"/>
  <c r="AZ294" i="24"/>
  <c r="AY294" i="24"/>
  <c r="AX294" i="24"/>
  <c r="AW294" i="24"/>
  <c r="AV294" i="24"/>
  <c r="AU294" i="24"/>
  <c r="AT294" i="24"/>
  <c r="AS294" i="24"/>
  <c r="AR294" i="24"/>
  <c r="AQ294" i="24"/>
  <c r="AP294" i="24"/>
  <c r="AO294" i="24"/>
  <c r="AN294" i="24"/>
  <c r="AM294" i="24"/>
  <c r="AL294" i="24"/>
  <c r="AK294" i="24"/>
  <c r="AJ294" i="24"/>
  <c r="AI294" i="24"/>
  <c r="AH294" i="24"/>
  <c r="AG294" i="24"/>
  <c r="AF294" i="24"/>
  <c r="AE294" i="24"/>
  <c r="AD294" i="24"/>
  <c r="AC294" i="24"/>
  <c r="AB294" i="24"/>
  <c r="AA294" i="24"/>
  <c r="Z294" i="24"/>
  <c r="Y294" i="24"/>
  <c r="X294" i="24"/>
  <c r="W294" i="24"/>
  <c r="V294" i="24"/>
  <c r="U294" i="24"/>
  <c r="T294" i="24"/>
  <c r="S294" i="24"/>
  <c r="R294" i="24"/>
  <c r="Q294" i="24"/>
  <c r="P294" i="24"/>
  <c r="O294" i="24"/>
  <c r="N294" i="24"/>
  <c r="M294" i="24"/>
  <c r="L294" i="24"/>
  <c r="K294" i="24"/>
  <c r="J294" i="24"/>
  <c r="I294" i="24"/>
  <c r="H294" i="24"/>
  <c r="BA293" i="24"/>
  <c r="AZ293" i="24"/>
  <c r="AY293" i="24"/>
  <c r="AX293" i="24"/>
  <c r="AW293" i="24"/>
  <c r="AV293" i="24"/>
  <c r="AU293" i="24"/>
  <c r="AT293" i="24"/>
  <c r="AS293" i="24"/>
  <c r="AR293" i="24"/>
  <c r="AQ293" i="24"/>
  <c r="AP293" i="24"/>
  <c r="AO293" i="24"/>
  <c r="AN293" i="24"/>
  <c r="AM293" i="24"/>
  <c r="AL293" i="24"/>
  <c r="AK293" i="24"/>
  <c r="AJ293" i="24"/>
  <c r="AI293" i="24"/>
  <c r="AH293" i="24"/>
  <c r="AG293" i="24"/>
  <c r="AF293" i="24"/>
  <c r="AE293" i="24"/>
  <c r="AD293" i="24"/>
  <c r="AC293" i="24"/>
  <c r="AB293" i="24"/>
  <c r="AA293" i="24"/>
  <c r="Z293" i="24"/>
  <c r="Y293" i="24"/>
  <c r="X293" i="24"/>
  <c r="W293" i="24"/>
  <c r="V293" i="24"/>
  <c r="U293" i="24"/>
  <c r="T293" i="24"/>
  <c r="S293" i="24"/>
  <c r="R293" i="24"/>
  <c r="Q293" i="24"/>
  <c r="P293" i="24"/>
  <c r="O293" i="24"/>
  <c r="N293" i="24"/>
  <c r="M293" i="24"/>
  <c r="L293" i="24"/>
  <c r="K293" i="24"/>
  <c r="J293" i="24"/>
  <c r="I293" i="24"/>
  <c r="H293" i="24"/>
  <c r="BA292" i="24"/>
  <c r="AZ292" i="24"/>
  <c r="AY292" i="24"/>
  <c r="AX292" i="24"/>
  <c r="AW292" i="24"/>
  <c r="AV292" i="24"/>
  <c r="AU292" i="24"/>
  <c r="AT292" i="24"/>
  <c r="AS292" i="24"/>
  <c r="AR292" i="24"/>
  <c r="AQ292" i="24"/>
  <c r="AP292" i="24"/>
  <c r="AO292" i="24"/>
  <c r="AN292" i="24"/>
  <c r="AM292" i="24"/>
  <c r="AL292" i="24"/>
  <c r="AK292" i="24"/>
  <c r="AJ292" i="24"/>
  <c r="AI292" i="24"/>
  <c r="AH292" i="24"/>
  <c r="AG292" i="24"/>
  <c r="AF292" i="24"/>
  <c r="AE292" i="24"/>
  <c r="AD292" i="24"/>
  <c r="AC292" i="24"/>
  <c r="AB292" i="24"/>
  <c r="AA292" i="24"/>
  <c r="Z292" i="24"/>
  <c r="Y292" i="24"/>
  <c r="X292" i="24"/>
  <c r="W292" i="24"/>
  <c r="V292" i="24"/>
  <c r="U292" i="24"/>
  <c r="T292" i="24"/>
  <c r="S292" i="24"/>
  <c r="R292" i="24"/>
  <c r="Q292" i="24"/>
  <c r="P292" i="24"/>
  <c r="O292" i="24"/>
  <c r="N292" i="24"/>
  <c r="M292" i="24"/>
  <c r="L292" i="24"/>
  <c r="K292" i="24"/>
  <c r="J292" i="24"/>
  <c r="I292" i="24"/>
  <c r="H292" i="24"/>
  <c r="BA291" i="24"/>
  <c r="AZ291" i="24"/>
  <c r="AY291" i="24"/>
  <c r="AX291" i="24"/>
  <c r="AW291" i="24"/>
  <c r="AV291" i="24"/>
  <c r="AU291" i="24"/>
  <c r="AT291" i="24"/>
  <c r="AS291" i="24"/>
  <c r="AR291" i="24"/>
  <c r="AQ291" i="24"/>
  <c r="AP291" i="24"/>
  <c r="AO291" i="24"/>
  <c r="AN291" i="24"/>
  <c r="AM291" i="24"/>
  <c r="AL291" i="24"/>
  <c r="AK291" i="24"/>
  <c r="AJ291" i="24"/>
  <c r="AI291" i="24"/>
  <c r="AH291" i="24"/>
  <c r="AG291" i="24"/>
  <c r="AF291" i="24"/>
  <c r="AE291" i="24"/>
  <c r="AD291" i="24"/>
  <c r="AC291" i="24"/>
  <c r="AB291" i="24"/>
  <c r="AA291" i="24"/>
  <c r="Z291" i="24"/>
  <c r="Y291" i="24"/>
  <c r="X291" i="24"/>
  <c r="W291" i="24"/>
  <c r="V291" i="24"/>
  <c r="U291" i="24"/>
  <c r="T291" i="24"/>
  <c r="S291" i="24"/>
  <c r="R291" i="24"/>
  <c r="Q291" i="24"/>
  <c r="P291" i="24"/>
  <c r="O291" i="24"/>
  <c r="N291" i="24"/>
  <c r="M291" i="24"/>
  <c r="L291" i="24"/>
  <c r="K291" i="24"/>
  <c r="J291" i="24"/>
  <c r="I291" i="24"/>
  <c r="H291" i="24"/>
  <c r="BA290" i="24"/>
  <c r="AZ290" i="24"/>
  <c r="AY290" i="24"/>
  <c r="AX290" i="24"/>
  <c r="AW290" i="24"/>
  <c r="AV290" i="24"/>
  <c r="AU290" i="24"/>
  <c r="AT290" i="24"/>
  <c r="AS290" i="24"/>
  <c r="AR290" i="24"/>
  <c r="AQ290" i="24"/>
  <c r="AP290" i="24"/>
  <c r="AO290" i="24"/>
  <c r="AN290" i="24"/>
  <c r="AM290" i="24"/>
  <c r="AL290" i="24"/>
  <c r="AK290" i="24"/>
  <c r="AJ290" i="24"/>
  <c r="AI290" i="24"/>
  <c r="AH290" i="24"/>
  <c r="AG290" i="24"/>
  <c r="AF290" i="24"/>
  <c r="AE290" i="24"/>
  <c r="AD290" i="24"/>
  <c r="AC290" i="24"/>
  <c r="AB290" i="24"/>
  <c r="AA290" i="24"/>
  <c r="Z290" i="24"/>
  <c r="Y290" i="24"/>
  <c r="X290" i="24"/>
  <c r="W290" i="24"/>
  <c r="V290" i="24"/>
  <c r="U290" i="24"/>
  <c r="T290" i="24"/>
  <c r="S290" i="24"/>
  <c r="R290" i="24"/>
  <c r="Q290" i="24"/>
  <c r="P290" i="24"/>
  <c r="O290" i="24"/>
  <c r="N290" i="24"/>
  <c r="M290" i="24"/>
  <c r="L290" i="24"/>
  <c r="K290" i="24"/>
  <c r="J290" i="24"/>
  <c r="I290" i="24"/>
  <c r="H290" i="24"/>
  <c r="BA289" i="24"/>
  <c r="AZ289" i="24"/>
  <c r="AY289" i="24"/>
  <c r="AX289" i="24"/>
  <c r="AW289" i="24"/>
  <c r="AV289" i="24"/>
  <c r="AU289" i="24"/>
  <c r="AT289" i="24"/>
  <c r="AS289" i="24"/>
  <c r="AR289" i="24"/>
  <c r="AQ289" i="24"/>
  <c r="AP289" i="24"/>
  <c r="AO289" i="24"/>
  <c r="AN289" i="24"/>
  <c r="AM289" i="24"/>
  <c r="AL289" i="24"/>
  <c r="AK289" i="24"/>
  <c r="AJ289" i="24"/>
  <c r="AI289" i="24"/>
  <c r="AH289" i="24"/>
  <c r="AG289" i="24"/>
  <c r="AF289" i="24"/>
  <c r="AE289" i="24"/>
  <c r="AD289" i="24"/>
  <c r="AC289" i="24"/>
  <c r="AB289" i="24"/>
  <c r="AA289" i="24"/>
  <c r="Z289" i="24"/>
  <c r="Y289" i="24"/>
  <c r="X289" i="24"/>
  <c r="W289" i="24"/>
  <c r="V289" i="24"/>
  <c r="U289" i="24"/>
  <c r="T289" i="24"/>
  <c r="S289" i="24"/>
  <c r="R289" i="24"/>
  <c r="Q289" i="24"/>
  <c r="P289" i="24"/>
  <c r="O289" i="24"/>
  <c r="N289" i="24"/>
  <c r="M289" i="24"/>
  <c r="L289" i="24"/>
  <c r="K289" i="24"/>
  <c r="J289" i="24"/>
  <c r="I289" i="24"/>
  <c r="H289" i="24"/>
  <c r="BA288" i="24"/>
  <c r="AZ288" i="24"/>
  <c r="AY288" i="24"/>
  <c r="AX288" i="24"/>
  <c r="AW288" i="24"/>
  <c r="AV288" i="24"/>
  <c r="AU288" i="24"/>
  <c r="AT288" i="24"/>
  <c r="AS288" i="24"/>
  <c r="AR288" i="24"/>
  <c r="AQ288" i="24"/>
  <c r="AP288" i="24"/>
  <c r="AO288" i="24"/>
  <c r="AN288" i="24"/>
  <c r="AM288" i="24"/>
  <c r="AL288" i="24"/>
  <c r="AK288" i="24"/>
  <c r="AJ288" i="24"/>
  <c r="AI288" i="24"/>
  <c r="AH288" i="24"/>
  <c r="AG288" i="24"/>
  <c r="AF288" i="24"/>
  <c r="AE288" i="24"/>
  <c r="AD288" i="24"/>
  <c r="AC288" i="24"/>
  <c r="AB288" i="24"/>
  <c r="AA288" i="24"/>
  <c r="Z288" i="24"/>
  <c r="Y288" i="24"/>
  <c r="X288" i="24"/>
  <c r="W288" i="24"/>
  <c r="V288" i="24"/>
  <c r="U288" i="24"/>
  <c r="T288" i="24"/>
  <c r="S288" i="24"/>
  <c r="R288" i="24"/>
  <c r="Q288" i="24"/>
  <c r="P288" i="24"/>
  <c r="O288" i="24"/>
  <c r="N288" i="24"/>
  <c r="M288" i="24"/>
  <c r="L288" i="24"/>
  <c r="K288" i="24"/>
  <c r="J288" i="24"/>
  <c r="I288" i="24"/>
  <c r="H288" i="24"/>
  <c r="BA287" i="24"/>
  <c r="AZ287" i="24"/>
  <c r="AY287" i="24"/>
  <c r="AX287" i="24"/>
  <c r="AW287" i="24"/>
  <c r="AV287" i="24"/>
  <c r="AU287" i="24"/>
  <c r="AT287" i="24"/>
  <c r="AS287" i="24"/>
  <c r="AR287" i="24"/>
  <c r="AQ287" i="24"/>
  <c r="AP287" i="24"/>
  <c r="AO287" i="24"/>
  <c r="AN287" i="24"/>
  <c r="AM287" i="24"/>
  <c r="AL287" i="24"/>
  <c r="AK287" i="24"/>
  <c r="AJ287" i="24"/>
  <c r="AI287" i="24"/>
  <c r="AH287" i="24"/>
  <c r="AG287" i="24"/>
  <c r="AF287" i="24"/>
  <c r="AE287" i="24"/>
  <c r="AD287" i="24"/>
  <c r="AC287" i="24"/>
  <c r="AB287" i="24"/>
  <c r="AA287" i="24"/>
  <c r="Z287" i="24"/>
  <c r="Y287" i="24"/>
  <c r="X287" i="24"/>
  <c r="W287" i="24"/>
  <c r="V287" i="24"/>
  <c r="U287" i="24"/>
  <c r="T287" i="24"/>
  <c r="S287" i="24"/>
  <c r="R287" i="24"/>
  <c r="Q287" i="24"/>
  <c r="P287" i="24"/>
  <c r="O287" i="24"/>
  <c r="N287" i="24"/>
  <c r="M287" i="24"/>
  <c r="L287" i="24"/>
  <c r="K287" i="24"/>
  <c r="J287" i="24"/>
  <c r="I287" i="24"/>
  <c r="H287" i="24"/>
  <c r="BA286" i="24"/>
  <c r="AZ286" i="24"/>
  <c r="AY286" i="24"/>
  <c r="AX286" i="24"/>
  <c r="AW286" i="24"/>
  <c r="AV286" i="24"/>
  <c r="AU286" i="24"/>
  <c r="AT286" i="24"/>
  <c r="AS286" i="24"/>
  <c r="AR286" i="24"/>
  <c r="AQ286" i="24"/>
  <c r="AP286" i="24"/>
  <c r="AO286" i="24"/>
  <c r="AN286" i="24"/>
  <c r="AM286" i="24"/>
  <c r="AL286" i="24"/>
  <c r="AK286" i="24"/>
  <c r="AJ286" i="24"/>
  <c r="AI286" i="24"/>
  <c r="AH286" i="24"/>
  <c r="AG286" i="24"/>
  <c r="AF286" i="24"/>
  <c r="AE286" i="24"/>
  <c r="AD286" i="24"/>
  <c r="AC286" i="24"/>
  <c r="AB286" i="24"/>
  <c r="AA286" i="24"/>
  <c r="Z286" i="24"/>
  <c r="Y286" i="24"/>
  <c r="X286" i="24"/>
  <c r="W286" i="24"/>
  <c r="V286" i="24"/>
  <c r="U286" i="24"/>
  <c r="T286" i="24"/>
  <c r="S286" i="24"/>
  <c r="R286" i="24"/>
  <c r="Q286" i="24"/>
  <c r="P286" i="24"/>
  <c r="O286" i="24"/>
  <c r="N286" i="24"/>
  <c r="M286" i="24"/>
  <c r="L286" i="24"/>
  <c r="K286" i="24"/>
  <c r="J286" i="24"/>
  <c r="I286" i="24"/>
  <c r="H286" i="24"/>
  <c r="BA285" i="24"/>
  <c r="AZ285" i="24"/>
  <c r="AY285" i="24"/>
  <c r="AX285" i="24"/>
  <c r="AW285" i="24"/>
  <c r="AV285" i="24"/>
  <c r="AU285" i="24"/>
  <c r="AT285" i="24"/>
  <c r="AS285" i="24"/>
  <c r="AR285" i="24"/>
  <c r="AQ285" i="24"/>
  <c r="AP285" i="24"/>
  <c r="AO285" i="24"/>
  <c r="AN285" i="24"/>
  <c r="AM285" i="24"/>
  <c r="AL285" i="24"/>
  <c r="AK285" i="24"/>
  <c r="AJ285" i="24"/>
  <c r="AI285" i="24"/>
  <c r="AH285" i="24"/>
  <c r="AG285" i="24"/>
  <c r="AF285" i="24"/>
  <c r="AE285" i="24"/>
  <c r="AD285" i="24"/>
  <c r="AC285" i="24"/>
  <c r="AB285" i="24"/>
  <c r="AA285" i="24"/>
  <c r="Z285" i="24"/>
  <c r="Y285" i="24"/>
  <c r="X285" i="24"/>
  <c r="W285" i="24"/>
  <c r="V285" i="24"/>
  <c r="U285" i="24"/>
  <c r="T285" i="24"/>
  <c r="S285" i="24"/>
  <c r="R285" i="24"/>
  <c r="Q285" i="24"/>
  <c r="P285" i="24"/>
  <c r="O285" i="24"/>
  <c r="N285" i="24"/>
  <c r="M285" i="24"/>
  <c r="L285" i="24"/>
  <c r="K285" i="24"/>
  <c r="J285" i="24"/>
  <c r="I285" i="24"/>
  <c r="H285" i="24"/>
  <c r="BA284" i="24"/>
  <c r="AZ284" i="24"/>
  <c r="AY284" i="24"/>
  <c r="AX284" i="24"/>
  <c r="AW284" i="24"/>
  <c r="AV284" i="24"/>
  <c r="AU284" i="24"/>
  <c r="AT284" i="24"/>
  <c r="AS284" i="24"/>
  <c r="AR284" i="24"/>
  <c r="AQ284" i="24"/>
  <c r="AP284" i="24"/>
  <c r="AO284" i="24"/>
  <c r="AN284" i="24"/>
  <c r="AM284" i="24"/>
  <c r="AL284" i="24"/>
  <c r="AK284" i="24"/>
  <c r="AJ284" i="24"/>
  <c r="AI284" i="24"/>
  <c r="AH284" i="24"/>
  <c r="AG284" i="24"/>
  <c r="AF284" i="24"/>
  <c r="AE284" i="24"/>
  <c r="AD284" i="24"/>
  <c r="AC284" i="24"/>
  <c r="AB284" i="24"/>
  <c r="AA284" i="24"/>
  <c r="Z284" i="24"/>
  <c r="Y284" i="24"/>
  <c r="X284" i="24"/>
  <c r="W284" i="24"/>
  <c r="V284" i="24"/>
  <c r="U284" i="24"/>
  <c r="T284" i="24"/>
  <c r="S284" i="24"/>
  <c r="R284" i="24"/>
  <c r="Q284" i="24"/>
  <c r="P284" i="24"/>
  <c r="O284" i="24"/>
  <c r="N284" i="24"/>
  <c r="M284" i="24"/>
  <c r="L284" i="24"/>
  <c r="K284" i="24"/>
  <c r="J284" i="24"/>
  <c r="I284" i="24"/>
  <c r="H284" i="24"/>
  <c r="BA283" i="24"/>
  <c r="AZ283" i="24"/>
  <c r="AY283" i="24"/>
  <c r="AX283" i="24"/>
  <c r="AW283" i="24"/>
  <c r="AV283" i="24"/>
  <c r="AU283" i="24"/>
  <c r="AT283" i="24"/>
  <c r="AS283" i="24"/>
  <c r="AR283" i="24"/>
  <c r="AQ283" i="24"/>
  <c r="AP283" i="24"/>
  <c r="AO283" i="24"/>
  <c r="AN283" i="24"/>
  <c r="AM283" i="24"/>
  <c r="AL283" i="24"/>
  <c r="AK283" i="24"/>
  <c r="AJ283" i="24"/>
  <c r="AI283" i="24"/>
  <c r="AH283" i="24"/>
  <c r="AG283" i="24"/>
  <c r="AF283" i="24"/>
  <c r="AE283" i="24"/>
  <c r="AD283" i="24"/>
  <c r="AC283" i="24"/>
  <c r="AB283" i="24"/>
  <c r="AA283" i="24"/>
  <c r="Z283" i="24"/>
  <c r="Y283" i="24"/>
  <c r="X283" i="24"/>
  <c r="W283" i="24"/>
  <c r="V283" i="24"/>
  <c r="U283" i="24"/>
  <c r="T283" i="24"/>
  <c r="S283" i="24"/>
  <c r="R283" i="24"/>
  <c r="Q283" i="24"/>
  <c r="P283" i="24"/>
  <c r="O283" i="24"/>
  <c r="N283" i="24"/>
  <c r="M283" i="24"/>
  <c r="L283" i="24"/>
  <c r="K283" i="24"/>
  <c r="J283" i="24"/>
  <c r="I283" i="24"/>
  <c r="H283" i="24"/>
  <c r="BA282" i="24"/>
  <c r="AZ282" i="24"/>
  <c r="AY282" i="24"/>
  <c r="AX282" i="24"/>
  <c r="AW282" i="24"/>
  <c r="AV282" i="24"/>
  <c r="AU282" i="24"/>
  <c r="AT282" i="24"/>
  <c r="AS282" i="24"/>
  <c r="AR282" i="24"/>
  <c r="AQ282" i="24"/>
  <c r="AP282" i="24"/>
  <c r="AO282" i="24"/>
  <c r="AN282" i="24"/>
  <c r="AM282" i="24"/>
  <c r="AL282" i="24"/>
  <c r="AK282" i="24"/>
  <c r="AJ282" i="24"/>
  <c r="AI282" i="24"/>
  <c r="AH282" i="24"/>
  <c r="AG282" i="24"/>
  <c r="AF282" i="24"/>
  <c r="AE282" i="24"/>
  <c r="AD282" i="24"/>
  <c r="AC282" i="24"/>
  <c r="AB282" i="24"/>
  <c r="AA282" i="24"/>
  <c r="Z282" i="24"/>
  <c r="Y282" i="24"/>
  <c r="X282" i="24"/>
  <c r="W282" i="24"/>
  <c r="V282" i="24"/>
  <c r="U282" i="24"/>
  <c r="T282" i="24"/>
  <c r="S282" i="24"/>
  <c r="R282" i="24"/>
  <c r="Q282" i="24"/>
  <c r="P282" i="24"/>
  <c r="O282" i="24"/>
  <c r="N282" i="24"/>
  <c r="M282" i="24"/>
  <c r="L282" i="24"/>
  <c r="K282" i="24"/>
  <c r="J282" i="24"/>
  <c r="I282" i="24"/>
  <c r="H282" i="24"/>
  <c r="BA281" i="24"/>
  <c r="AZ281" i="24"/>
  <c r="AY281" i="24"/>
  <c r="AX281" i="24"/>
  <c r="AW281" i="24"/>
  <c r="AV281" i="24"/>
  <c r="AU281" i="24"/>
  <c r="AT281" i="24"/>
  <c r="AS281" i="24"/>
  <c r="AR281" i="24"/>
  <c r="AQ281" i="24"/>
  <c r="AP281" i="24"/>
  <c r="AO281" i="24"/>
  <c r="AN281" i="24"/>
  <c r="AM281" i="24"/>
  <c r="AL281" i="24"/>
  <c r="AK281" i="24"/>
  <c r="AJ281" i="24"/>
  <c r="AI281" i="24"/>
  <c r="AH281" i="24"/>
  <c r="AG281" i="24"/>
  <c r="AF281" i="24"/>
  <c r="AE281" i="24"/>
  <c r="AD281" i="24"/>
  <c r="AC281" i="24"/>
  <c r="AB281" i="24"/>
  <c r="AA281" i="24"/>
  <c r="Z281" i="24"/>
  <c r="Y281" i="24"/>
  <c r="X281" i="24"/>
  <c r="W281" i="24"/>
  <c r="V281" i="24"/>
  <c r="U281" i="24"/>
  <c r="T281" i="24"/>
  <c r="S281" i="24"/>
  <c r="R281" i="24"/>
  <c r="Q281" i="24"/>
  <c r="P281" i="24"/>
  <c r="O281" i="24"/>
  <c r="N281" i="24"/>
  <c r="M281" i="24"/>
  <c r="L281" i="24"/>
  <c r="K281" i="24"/>
  <c r="J281" i="24"/>
  <c r="I281" i="24"/>
  <c r="H281" i="24"/>
  <c r="BA280" i="24"/>
  <c r="AZ280" i="24"/>
  <c r="AY280" i="24"/>
  <c r="AX280" i="24"/>
  <c r="AW280" i="24"/>
  <c r="AV280" i="24"/>
  <c r="AU280" i="24"/>
  <c r="AT280" i="24"/>
  <c r="AS280" i="24"/>
  <c r="AR280" i="24"/>
  <c r="AQ280" i="24"/>
  <c r="AP280" i="24"/>
  <c r="AO280" i="24"/>
  <c r="AN280" i="24"/>
  <c r="AM280" i="24"/>
  <c r="AL280" i="24"/>
  <c r="AK280" i="24"/>
  <c r="AJ280" i="24"/>
  <c r="AI280" i="24"/>
  <c r="AH280" i="24"/>
  <c r="AG280" i="24"/>
  <c r="AF280" i="24"/>
  <c r="AE280" i="24"/>
  <c r="AD280" i="24"/>
  <c r="AC280" i="24"/>
  <c r="AB280" i="24"/>
  <c r="AA280" i="24"/>
  <c r="Z280" i="24"/>
  <c r="Y280" i="24"/>
  <c r="X280" i="24"/>
  <c r="W280" i="24"/>
  <c r="V280" i="24"/>
  <c r="U280" i="24"/>
  <c r="T280" i="24"/>
  <c r="S280" i="24"/>
  <c r="R280" i="24"/>
  <c r="Q280" i="24"/>
  <c r="P280" i="24"/>
  <c r="O280" i="24"/>
  <c r="N280" i="24"/>
  <c r="M280" i="24"/>
  <c r="L280" i="24"/>
  <c r="K280" i="24"/>
  <c r="J280" i="24"/>
  <c r="I280" i="24"/>
  <c r="H280" i="24"/>
  <c r="BA279" i="24"/>
  <c r="AZ279" i="24"/>
  <c r="AY279" i="24"/>
  <c r="AX279" i="24"/>
  <c r="AW279" i="24"/>
  <c r="AV279" i="24"/>
  <c r="AU279" i="24"/>
  <c r="AT279" i="24"/>
  <c r="AS279" i="24"/>
  <c r="AR279" i="24"/>
  <c r="AQ279" i="24"/>
  <c r="AP279" i="24"/>
  <c r="AO279" i="24"/>
  <c r="AN279" i="24"/>
  <c r="AM279" i="24"/>
  <c r="AL279" i="24"/>
  <c r="AK279" i="24"/>
  <c r="AJ279" i="24"/>
  <c r="AI279" i="24"/>
  <c r="AH279" i="24"/>
  <c r="AG279" i="24"/>
  <c r="AF279" i="24"/>
  <c r="AE279" i="24"/>
  <c r="AD279" i="24"/>
  <c r="AC279" i="24"/>
  <c r="AB279" i="24"/>
  <c r="AA279" i="24"/>
  <c r="Z279" i="24"/>
  <c r="Y279" i="24"/>
  <c r="X279" i="24"/>
  <c r="W279" i="24"/>
  <c r="V279" i="24"/>
  <c r="U279" i="24"/>
  <c r="T279" i="24"/>
  <c r="S279" i="24"/>
  <c r="R279" i="24"/>
  <c r="Q279" i="24"/>
  <c r="P279" i="24"/>
  <c r="O279" i="24"/>
  <c r="N279" i="24"/>
  <c r="M279" i="24"/>
  <c r="L279" i="24"/>
  <c r="K279" i="24"/>
  <c r="J279" i="24"/>
  <c r="I279" i="24"/>
  <c r="H279" i="24"/>
  <c r="BA278" i="24"/>
  <c r="AZ278" i="24"/>
  <c r="AY278" i="24"/>
  <c r="AX278" i="24"/>
  <c r="AW278" i="24"/>
  <c r="AV278" i="24"/>
  <c r="AU278" i="24"/>
  <c r="AT278" i="24"/>
  <c r="AS278" i="24"/>
  <c r="AR278" i="24"/>
  <c r="AQ278" i="24"/>
  <c r="AP278" i="24"/>
  <c r="AO278" i="24"/>
  <c r="AN278" i="24"/>
  <c r="AM278" i="24"/>
  <c r="AL278" i="24"/>
  <c r="AK278" i="24"/>
  <c r="AJ278" i="24"/>
  <c r="AI278" i="24"/>
  <c r="AH278" i="24"/>
  <c r="AG278" i="24"/>
  <c r="AF278" i="24"/>
  <c r="AE278" i="24"/>
  <c r="AD278" i="24"/>
  <c r="AC278" i="24"/>
  <c r="AB278" i="24"/>
  <c r="AA278" i="24"/>
  <c r="Z278" i="24"/>
  <c r="Y278" i="24"/>
  <c r="X278" i="24"/>
  <c r="W278" i="24"/>
  <c r="V278" i="24"/>
  <c r="U278" i="24"/>
  <c r="T278" i="24"/>
  <c r="S278" i="24"/>
  <c r="R278" i="24"/>
  <c r="Q278" i="24"/>
  <c r="P278" i="24"/>
  <c r="O278" i="24"/>
  <c r="N278" i="24"/>
  <c r="M278" i="24"/>
  <c r="L278" i="24"/>
  <c r="K278" i="24"/>
  <c r="J278" i="24"/>
  <c r="I278" i="24"/>
  <c r="H278" i="24"/>
  <c r="BA277" i="24"/>
  <c r="AZ277" i="24"/>
  <c r="AY277" i="24"/>
  <c r="AX277" i="24"/>
  <c r="AW277" i="24"/>
  <c r="AV277" i="24"/>
  <c r="AU277" i="24"/>
  <c r="AT277" i="24"/>
  <c r="AS277" i="24"/>
  <c r="AR277" i="24"/>
  <c r="AQ277" i="24"/>
  <c r="AP277" i="24"/>
  <c r="AO277" i="24"/>
  <c r="AN277" i="24"/>
  <c r="AM277" i="24"/>
  <c r="AL277" i="24"/>
  <c r="AK277" i="24"/>
  <c r="AJ277" i="24"/>
  <c r="AI277" i="24"/>
  <c r="AH277" i="24"/>
  <c r="AG277" i="24"/>
  <c r="AF277" i="24"/>
  <c r="AE277" i="24"/>
  <c r="AD277" i="24"/>
  <c r="AC277" i="24"/>
  <c r="AB277" i="24"/>
  <c r="AA277" i="24"/>
  <c r="Z277" i="24"/>
  <c r="Y277" i="24"/>
  <c r="X277" i="24"/>
  <c r="W277" i="24"/>
  <c r="V277" i="24"/>
  <c r="U277" i="24"/>
  <c r="T277" i="24"/>
  <c r="S277" i="24"/>
  <c r="R277" i="24"/>
  <c r="Q277" i="24"/>
  <c r="P277" i="24"/>
  <c r="O277" i="24"/>
  <c r="N277" i="24"/>
  <c r="M277" i="24"/>
  <c r="L277" i="24"/>
  <c r="K277" i="24"/>
  <c r="J277" i="24"/>
  <c r="I277" i="24"/>
  <c r="H277" i="24"/>
  <c r="BA276" i="24"/>
  <c r="AZ276" i="24"/>
  <c r="AY276" i="24"/>
  <c r="AX276" i="24"/>
  <c r="AW276" i="24"/>
  <c r="AV276" i="24"/>
  <c r="AU276" i="24"/>
  <c r="AT276" i="24"/>
  <c r="AS276" i="24"/>
  <c r="AR276" i="24"/>
  <c r="AQ276" i="24"/>
  <c r="AP276" i="24"/>
  <c r="AO276" i="24"/>
  <c r="AN276" i="24"/>
  <c r="AM276" i="24"/>
  <c r="AL276" i="24"/>
  <c r="AK276" i="24"/>
  <c r="AJ276" i="24"/>
  <c r="AI276" i="24"/>
  <c r="AH276" i="24"/>
  <c r="AG276" i="24"/>
  <c r="AF276" i="24"/>
  <c r="AE276" i="24"/>
  <c r="AD276" i="24"/>
  <c r="AC276" i="24"/>
  <c r="AB276" i="24"/>
  <c r="AA276" i="24"/>
  <c r="Z276" i="24"/>
  <c r="Y276" i="24"/>
  <c r="X276" i="24"/>
  <c r="W276" i="24"/>
  <c r="V276" i="24"/>
  <c r="U276" i="24"/>
  <c r="T276" i="24"/>
  <c r="S276" i="24"/>
  <c r="R276" i="24"/>
  <c r="Q276" i="24"/>
  <c r="P276" i="24"/>
  <c r="O276" i="24"/>
  <c r="N276" i="24"/>
  <c r="M276" i="24"/>
  <c r="L276" i="24"/>
  <c r="K276" i="24"/>
  <c r="J276" i="24"/>
  <c r="I276" i="24"/>
  <c r="H276" i="24"/>
  <c r="BA275" i="24"/>
  <c r="AZ275" i="24"/>
  <c r="AY275" i="24"/>
  <c r="AX275" i="24"/>
  <c r="AW275" i="24"/>
  <c r="AV275" i="24"/>
  <c r="AU275" i="24"/>
  <c r="AT275" i="24"/>
  <c r="AS275" i="24"/>
  <c r="AR275" i="24"/>
  <c r="AQ275" i="24"/>
  <c r="AP275" i="24"/>
  <c r="AO275" i="24"/>
  <c r="AN275" i="24"/>
  <c r="AM275" i="24"/>
  <c r="AL275" i="24"/>
  <c r="AK275" i="24"/>
  <c r="AJ275" i="24"/>
  <c r="AI275" i="24"/>
  <c r="AH275" i="24"/>
  <c r="AG275" i="24"/>
  <c r="AF275" i="24"/>
  <c r="AE275" i="24"/>
  <c r="AD275" i="24"/>
  <c r="AC275" i="24"/>
  <c r="AB275" i="24"/>
  <c r="AA275" i="24"/>
  <c r="Z275" i="24"/>
  <c r="Y275" i="24"/>
  <c r="X275" i="24"/>
  <c r="W275" i="24"/>
  <c r="V275" i="24"/>
  <c r="U275" i="24"/>
  <c r="T275" i="24"/>
  <c r="S275" i="24"/>
  <c r="R275" i="24"/>
  <c r="Q275" i="24"/>
  <c r="P275" i="24"/>
  <c r="O275" i="24"/>
  <c r="N275" i="24"/>
  <c r="M275" i="24"/>
  <c r="L275" i="24"/>
  <c r="K275" i="24"/>
  <c r="J275" i="24"/>
  <c r="I275" i="24"/>
  <c r="H275" i="24"/>
  <c r="BA274" i="24"/>
  <c r="AZ274" i="24"/>
  <c r="AY274" i="24"/>
  <c r="AX274" i="24"/>
  <c r="AW274" i="24"/>
  <c r="AV274" i="24"/>
  <c r="AU274" i="24"/>
  <c r="AT274" i="24"/>
  <c r="AS274" i="24"/>
  <c r="AR274" i="24"/>
  <c r="AQ274" i="24"/>
  <c r="AP274" i="24"/>
  <c r="AO274" i="24"/>
  <c r="AN274" i="24"/>
  <c r="AM274" i="24"/>
  <c r="AL274" i="24"/>
  <c r="AK274" i="24"/>
  <c r="AJ274" i="24"/>
  <c r="AI274" i="24"/>
  <c r="AH274" i="24"/>
  <c r="AG274" i="24"/>
  <c r="AF274" i="24"/>
  <c r="AE274" i="24"/>
  <c r="AD274" i="24"/>
  <c r="AC274" i="24"/>
  <c r="AB274" i="24"/>
  <c r="AA274" i="24"/>
  <c r="Z274" i="24"/>
  <c r="Y274" i="24"/>
  <c r="X274" i="24"/>
  <c r="W274" i="24"/>
  <c r="V274" i="24"/>
  <c r="U274" i="24"/>
  <c r="T274" i="24"/>
  <c r="S274" i="24"/>
  <c r="R274" i="24"/>
  <c r="Q274" i="24"/>
  <c r="P274" i="24"/>
  <c r="O274" i="24"/>
  <c r="N274" i="24"/>
  <c r="M274" i="24"/>
  <c r="L274" i="24"/>
  <c r="K274" i="24"/>
  <c r="J274" i="24"/>
  <c r="I274" i="24"/>
  <c r="H274" i="24"/>
  <c r="BA273" i="24"/>
  <c r="AZ273" i="24"/>
  <c r="AY273" i="24"/>
  <c r="AX273" i="24"/>
  <c r="AW273" i="24"/>
  <c r="AV273" i="24"/>
  <c r="AU273" i="24"/>
  <c r="AT273" i="24"/>
  <c r="AS273" i="24"/>
  <c r="AR273" i="24"/>
  <c r="AQ273" i="24"/>
  <c r="AP273" i="24"/>
  <c r="AO273" i="24"/>
  <c r="AN273" i="24"/>
  <c r="AM273" i="24"/>
  <c r="AL273" i="24"/>
  <c r="AK273" i="24"/>
  <c r="AJ273" i="24"/>
  <c r="AI273" i="24"/>
  <c r="AH273" i="24"/>
  <c r="AG273" i="24"/>
  <c r="AF273" i="24"/>
  <c r="AE273" i="24"/>
  <c r="AD273" i="24"/>
  <c r="AC273" i="24"/>
  <c r="AB273" i="24"/>
  <c r="AA273" i="24"/>
  <c r="Z273" i="24"/>
  <c r="Y273" i="24"/>
  <c r="X273" i="24"/>
  <c r="W273" i="24"/>
  <c r="V273" i="24"/>
  <c r="U273" i="24"/>
  <c r="T273" i="24"/>
  <c r="S273" i="24"/>
  <c r="R273" i="24"/>
  <c r="Q273" i="24"/>
  <c r="P273" i="24"/>
  <c r="O273" i="24"/>
  <c r="N273" i="24"/>
  <c r="M273" i="24"/>
  <c r="L273" i="24"/>
  <c r="K273" i="24"/>
  <c r="J273" i="24"/>
  <c r="I273" i="24"/>
  <c r="H273" i="24"/>
  <c r="BA272" i="24"/>
  <c r="AZ272" i="24"/>
  <c r="AY272" i="24"/>
  <c r="AX272" i="24"/>
  <c r="AW272" i="24"/>
  <c r="AV272" i="24"/>
  <c r="AU272" i="24"/>
  <c r="AT272" i="24"/>
  <c r="AS272" i="24"/>
  <c r="AR272" i="24"/>
  <c r="AQ272" i="24"/>
  <c r="AP272" i="24"/>
  <c r="AO272" i="24"/>
  <c r="AN272" i="24"/>
  <c r="AM272" i="24"/>
  <c r="AL272" i="24"/>
  <c r="AK272" i="24"/>
  <c r="AJ272" i="24"/>
  <c r="AI272" i="24"/>
  <c r="AH272" i="24"/>
  <c r="AG272" i="24"/>
  <c r="AF272" i="24"/>
  <c r="AE272" i="24"/>
  <c r="AD272" i="24"/>
  <c r="AC272" i="24"/>
  <c r="AB272" i="24"/>
  <c r="AA272" i="24"/>
  <c r="Z272" i="24"/>
  <c r="Y272" i="24"/>
  <c r="X272" i="24"/>
  <c r="W272" i="24"/>
  <c r="V272" i="24"/>
  <c r="U272" i="24"/>
  <c r="T272" i="24"/>
  <c r="S272" i="24"/>
  <c r="R272" i="24"/>
  <c r="Q272" i="24"/>
  <c r="P272" i="24"/>
  <c r="O272" i="24"/>
  <c r="N272" i="24"/>
  <c r="M272" i="24"/>
  <c r="L272" i="24"/>
  <c r="K272" i="24"/>
  <c r="J272" i="24"/>
  <c r="I272" i="24"/>
  <c r="H272" i="24"/>
  <c r="BA271" i="24"/>
  <c r="AZ271" i="24"/>
  <c r="AY271" i="24"/>
  <c r="AX271" i="24"/>
  <c r="AW271" i="24"/>
  <c r="AV271" i="24"/>
  <c r="AU271" i="24"/>
  <c r="AT271" i="24"/>
  <c r="AS271" i="24"/>
  <c r="AR271" i="24"/>
  <c r="AQ271" i="24"/>
  <c r="AP271" i="24"/>
  <c r="AO271" i="24"/>
  <c r="AN271" i="24"/>
  <c r="AM271" i="24"/>
  <c r="AL271" i="24"/>
  <c r="AK271" i="24"/>
  <c r="AJ271" i="24"/>
  <c r="AI271" i="24"/>
  <c r="AH271" i="24"/>
  <c r="AG271" i="24"/>
  <c r="AF271" i="24"/>
  <c r="AE271" i="24"/>
  <c r="AD271" i="24"/>
  <c r="AC271" i="24"/>
  <c r="AB271" i="24"/>
  <c r="AA271" i="24"/>
  <c r="Z271" i="24"/>
  <c r="Y271" i="24"/>
  <c r="X271" i="24"/>
  <c r="W271" i="24"/>
  <c r="V271" i="24"/>
  <c r="U271" i="24"/>
  <c r="T271" i="24"/>
  <c r="S271" i="24"/>
  <c r="R271" i="24"/>
  <c r="Q271" i="24"/>
  <c r="P271" i="24"/>
  <c r="O271" i="24"/>
  <c r="N271" i="24"/>
  <c r="M271" i="24"/>
  <c r="L271" i="24"/>
  <c r="K271" i="24"/>
  <c r="J271" i="24"/>
  <c r="I271" i="24"/>
  <c r="H271" i="24"/>
  <c r="BA270" i="24"/>
  <c r="AZ270" i="24"/>
  <c r="AY270" i="24"/>
  <c r="AX270" i="24"/>
  <c r="AW270" i="24"/>
  <c r="AV270" i="24"/>
  <c r="AU270" i="24"/>
  <c r="AT270" i="24"/>
  <c r="AS270" i="24"/>
  <c r="AR270" i="24"/>
  <c r="AQ270" i="24"/>
  <c r="AP270" i="24"/>
  <c r="AO270" i="24"/>
  <c r="AN270" i="24"/>
  <c r="AM270" i="24"/>
  <c r="AL270" i="24"/>
  <c r="AK270" i="24"/>
  <c r="AJ270" i="24"/>
  <c r="AI270" i="24"/>
  <c r="AH270" i="24"/>
  <c r="AG270" i="24"/>
  <c r="AF270" i="24"/>
  <c r="AE270" i="24"/>
  <c r="AD270" i="24"/>
  <c r="AC270" i="24"/>
  <c r="AB270" i="24"/>
  <c r="AA270" i="24"/>
  <c r="Z270" i="24"/>
  <c r="Y270" i="24"/>
  <c r="X270" i="24"/>
  <c r="W270" i="24"/>
  <c r="V270" i="24"/>
  <c r="U270" i="24"/>
  <c r="T270" i="24"/>
  <c r="S270" i="24"/>
  <c r="R270" i="24"/>
  <c r="Q270" i="24"/>
  <c r="P270" i="24"/>
  <c r="O270" i="24"/>
  <c r="N270" i="24"/>
  <c r="M270" i="24"/>
  <c r="L270" i="24"/>
  <c r="K270" i="24"/>
  <c r="J270" i="24"/>
  <c r="I270" i="24"/>
  <c r="H270" i="24"/>
  <c r="BA269" i="24"/>
  <c r="AZ269" i="24"/>
  <c r="AY269" i="24"/>
  <c r="AX269" i="24"/>
  <c r="AW269" i="24"/>
  <c r="AV269" i="24"/>
  <c r="AU269" i="24"/>
  <c r="AT269" i="24"/>
  <c r="AS269" i="24"/>
  <c r="AR269" i="24"/>
  <c r="AQ269" i="24"/>
  <c r="AP269" i="24"/>
  <c r="AO269" i="24"/>
  <c r="AN269" i="24"/>
  <c r="AM269" i="24"/>
  <c r="AL269" i="24"/>
  <c r="AK269" i="24"/>
  <c r="AJ269" i="24"/>
  <c r="AI269" i="24"/>
  <c r="AH269" i="24"/>
  <c r="AG269" i="24"/>
  <c r="AF269" i="24"/>
  <c r="AE269" i="24"/>
  <c r="AD269" i="24"/>
  <c r="AC269" i="24"/>
  <c r="AB269" i="24"/>
  <c r="AA269" i="24"/>
  <c r="Z269" i="24"/>
  <c r="Y269" i="24"/>
  <c r="X269" i="24"/>
  <c r="W269" i="24"/>
  <c r="V269" i="24"/>
  <c r="U269" i="24"/>
  <c r="T269" i="24"/>
  <c r="S269" i="24"/>
  <c r="R269" i="24"/>
  <c r="Q269" i="24"/>
  <c r="P269" i="24"/>
  <c r="O269" i="24"/>
  <c r="N269" i="24"/>
  <c r="M269" i="24"/>
  <c r="L269" i="24"/>
  <c r="K269" i="24"/>
  <c r="J269" i="24"/>
  <c r="I269" i="24"/>
  <c r="H269" i="24"/>
  <c r="BA268" i="24"/>
  <c r="AZ268" i="24"/>
  <c r="AY268" i="24"/>
  <c r="AX268" i="24"/>
  <c r="AW268" i="24"/>
  <c r="AV268" i="24"/>
  <c r="AU268" i="24"/>
  <c r="AT268" i="24"/>
  <c r="AS268" i="24"/>
  <c r="AR268" i="24"/>
  <c r="AQ268" i="24"/>
  <c r="AP268" i="24"/>
  <c r="AO268" i="24"/>
  <c r="AN268" i="24"/>
  <c r="AM268" i="24"/>
  <c r="AL268" i="24"/>
  <c r="AK268" i="24"/>
  <c r="AJ268" i="24"/>
  <c r="AI268" i="24"/>
  <c r="AH268" i="24"/>
  <c r="AG268" i="24"/>
  <c r="AF268" i="24"/>
  <c r="AE268" i="24"/>
  <c r="AD268" i="24"/>
  <c r="AC268" i="24"/>
  <c r="AB268" i="24"/>
  <c r="AA268" i="24"/>
  <c r="Z268" i="24"/>
  <c r="Y268" i="24"/>
  <c r="X268" i="24"/>
  <c r="W268" i="24"/>
  <c r="V268" i="24"/>
  <c r="U268" i="24"/>
  <c r="T268" i="24"/>
  <c r="S268" i="24"/>
  <c r="R268" i="24"/>
  <c r="Q268" i="24"/>
  <c r="P268" i="24"/>
  <c r="O268" i="24"/>
  <c r="N268" i="24"/>
  <c r="M268" i="24"/>
  <c r="L268" i="24"/>
  <c r="K268" i="24"/>
  <c r="J268" i="24"/>
  <c r="I268" i="24"/>
  <c r="H268" i="24"/>
  <c r="BA267" i="24"/>
  <c r="AZ267" i="24"/>
  <c r="AY267" i="24"/>
  <c r="AX267" i="24"/>
  <c r="AW267" i="24"/>
  <c r="AV267" i="24"/>
  <c r="AU267" i="24"/>
  <c r="AT267" i="24"/>
  <c r="AS267" i="24"/>
  <c r="AR267" i="24"/>
  <c r="AQ267" i="24"/>
  <c r="AP267" i="24"/>
  <c r="AO267" i="24"/>
  <c r="AN267" i="24"/>
  <c r="AM267" i="24"/>
  <c r="AL267" i="24"/>
  <c r="AK267" i="24"/>
  <c r="AJ267" i="24"/>
  <c r="AI267" i="24"/>
  <c r="AH267" i="24"/>
  <c r="AG267" i="24"/>
  <c r="AF267" i="24"/>
  <c r="AE267" i="24"/>
  <c r="AD267" i="24"/>
  <c r="AC267" i="24"/>
  <c r="AB267" i="24"/>
  <c r="AA267" i="24"/>
  <c r="Z267" i="24"/>
  <c r="Y267" i="24"/>
  <c r="X267" i="24"/>
  <c r="W267" i="24"/>
  <c r="V267" i="24"/>
  <c r="U267" i="24"/>
  <c r="T267" i="24"/>
  <c r="S267" i="24"/>
  <c r="R267" i="24"/>
  <c r="Q267" i="24"/>
  <c r="P267" i="24"/>
  <c r="O267" i="24"/>
  <c r="N267" i="24"/>
  <c r="M267" i="24"/>
  <c r="L267" i="24"/>
  <c r="K267" i="24"/>
  <c r="J267" i="24"/>
  <c r="I267" i="24"/>
  <c r="H267" i="24"/>
  <c r="BA266" i="24"/>
  <c r="AZ266" i="24"/>
  <c r="AY266" i="24"/>
  <c r="AX266" i="24"/>
  <c r="AW266" i="24"/>
  <c r="AV266" i="24"/>
  <c r="AU266" i="24"/>
  <c r="AT266" i="24"/>
  <c r="AS266" i="24"/>
  <c r="AR266" i="24"/>
  <c r="AQ266" i="24"/>
  <c r="AP266" i="24"/>
  <c r="AO266" i="24"/>
  <c r="AN266" i="24"/>
  <c r="AM266" i="24"/>
  <c r="AL266" i="24"/>
  <c r="AK266" i="24"/>
  <c r="AJ266" i="24"/>
  <c r="AI266" i="24"/>
  <c r="AH266" i="24"/>
  <c r="AG266" i="24"/>
  <c r="AF266" i="24"/>
  <c r="AE266" i="24"/>
  <c r="AD266" i="24"/>
  <c r="AC266" i="24"/>
  <c r="AB266" i="24"/>
  <c r="AA266" i="24"/>
  <c r="Z266" i="24"/>
  <c r="Y266" i="24"/>
  <c r="X266" i="24"/>
  <c r="W266" i="24"/>
  <c r="V266" i="24"/>
  <c r="U266" i="24"/>
  <c r="T266" i="24"/>
  <c r="S266" i="24"/>
  <c r="R266" i="24"/>
  <c r="Q266" i="24"/>
  <c r="P266" i="24"/>
  <c r="O266" i="24"/>
  <c r="N266" i="24"/>
  <c r="M266" i="24"/>
  <c r="L266" i="24"/>
  <c r="K266" i="24"/>
  <c r="J266" i="24"/>
  <c r="I266" i="24"/>
  <c r="H266" i="24"/>
  <c r="BA265" i="24"/>
  <c r="AZ265" i="24"/>
  <c r="AY265" i="24"/>
  <c r="AX265" i="24"/>
  <c r="AW265" i="24"/>
  <c r="AV265" i="24"/>
  <c r="AU265" i="24"/>
  <c r="AT265" i="24"/>
  <c r="AS265" i="24"/>
  <c r="AR265" i="24"/>
  <c r="AQ265" i="24"/>
  <c r="AP265" i="24"/>
  <c r="AO265" i="24"/>
  <c r="AN265" i="24"/>
  <c r="AM265" i="24"/>
  <c r="AL265" i="24"/>
  <c r="AK265" i="24"/>
  <c r="AJ265" i="24"/>
  <c r="AI265" i="24"/>
  <c r="AH265" i="24"/>
  <c r="AG265" i="24"/>
  <c r="AF265" i="24"/>
  <c r="AE265" i="24"/>
  <c r="AD265" i="24"/>
  <c r="AC265" i="24"/>
  <c r="AB265" i="24"/>
  <c r="AA265" i="24"/>
  <c r="Z265" i="24"/>
  <c r="Y265" i="24"/>
  <c r="X265" i="24"/>
  <c r="W265" i="24"/>
  <c r="V265" i="24"/>
  <c r="U265" i="24"/>
  <c r="T265" i="24"/>
  <c r="S265" i="24"/>
  <c r="R265" i="24"/>
  <c r="Q265" i="24"/>
  <c r="P265" i="24"/>
  <c r="O265" i="24"/>
  <c r="N265" i="24"/>
  <c r="M265" i="24"/>
  <c r="L265" i="24"/>
  <c r="K265" i="24"/>
  <c r="J265" i="24"/>
  <c r="I265" i="24"/>
  <c r="H265" i="24"/>
  <c r="BA264" i="24"/>
  <c r="AZ264" i="24"/>
  <c r="AY264" i="24"/>
  <c r="AX264" i="24"/>
  <c r="AW264" i="24"/>
  <c r="AV264" i="24"/>
  <c r="AU264" i="24"/>
  <c r="AT264" i="24"/>
  <c r="AS264" i="24"/>
  <c r="AR264" i="24"/>
  <c r="AQ264" i="24"/>
  <c r="AP264" i="24"/>
  <c r="AO264" i="24"/>
  <c r="AN264" i="24"/>
  <c r="AM264" i="24"/>
  <c r="AL264" i="24"/>
  <c r="AK264" i="24"/>
  <c r="AJ264" i="24"/>
  <c r="AI264" i="24"/>
  <c r="AH264" i="24"/>
  <c r="AG264" i="24"/>
  <c r="AF264" i="24"/>
  <c r="AE264" i="24"/>
  <c r="AD264" i="24"/>
  <c r="AC264" i="24"/>
  <c r="AB264" i="24"/>
  <c r="AA264" i="24"/>
  <c r="Z264" i="24"/>
  <c r="Y264" i="24"/>
  <c r="X264" i="24"/>
  <c r="W264" i="24"/>
  <c r="V264" i="24"/>
  <c r="U264" i="24"/>
  <c r="T264" i="24"/>
  <c r="S264" i="24"/>
  <c r="R264" i="24"/>
  <c r="Q264" i="24"/>
  <c r="P264" i="24"/>
  <c r="O264" i="24"/>
  <c r="N264" i="24"/>
  <c r="M264" i="24"/>
  <c r="L264" i="24"/>
  <c r="K264" i="24"/>
  <c r="J264" i="24"/>
  <c r="I264" i="24"/>
  <c r="H264" i="24"/>
  <c r="BA263" i="24"/>
  <c r="AZ263" i="24"/>
  <c r="AY263" i="24"/>
  <c r="AX263" i="24"/>
  <c r="AW263" i="24"/>
  <c r="AV263" i="24"/>
  <c r="AU263" i="24"/>
  <c r="AT263" i="24"/>
  <c r="AS263" i="24"/>
  <c r="AR263" i="24"/>
  <c r="AQ263" i="24"/>
  <c r="AP263" i="24"/>
  <c r="AO263" i="24"/>
  <c r="AN263" i="24"/>
  <c r="AM263" i="24"/>
  <c r="AL263" i="24"/>
  <c r="AK263" i="24"/>
  <c r="AJ263" i="24"/>
  <c r="AI263" i="24"/>
  <c r="AH263" i="24"/>
  <c r="AG263" i="24"/>
  <c r="AF263" i="24"/>
  <c r="AE263" i="24"/>
  <c r="AD263" i="24"/>
  <c r="AC263" i="24"/>
  <c r="AB263" i="24"/>
  <c r="AA263" i="24"/>
  <c r="Z263" i="24"/>
  <c r="Y263" i="24"/>
  <c r="X263" i="24"/>
  <c r="W263" i="24"/>
  <c r="V263" i="24"/>
  <c r="U263" i="24"/>
  <c r="T263" i="24"/>
  <c r="S263" i="24"/>
  <c r="R263" i="24"/>
  <c r="Q263" i="24"/>
  <c r="P263" i="24"/>
  <c r="O263" i="24"/>
  <c r="N263" i="24"/>
  <c r="M263" i="24"/>
  <c r="L263" i="24"/>
  <c r="K263" i="24"/>
  <c r="J263" i="24"/>
  <c r="I263" i="24"/>
  <c r="H263" i="24"/>
  <c r="BA262" i="24"/>
  <c r="AZ262" i="24"/>
  <c r="AY262" i="24"/>
  <c r="AX262" i="24"/>
  <c r="AW262" i="24"/>
  <c r="AV262" i="24"/>
  <c r="AU262" i="24"/>
  <c r="AT262" i="24"/>
  <c r="AS262" i="24"/>
  <c r="AR262" i="24"/>
  <c r="AQ262" i="24"/>
  <c r="AP262" i="24"/>
  <c r="AO262" i="24"/>
  <c r="AN262" i="24"/>
  <c r="AM262" i="24"/>
  <c r="AL262" i="24"/>
  <c r="AK262" i="24"/>
  <c r="AJ262" i="24"/>
  <c r="AI262" i="24"/>
  <c r="AH262" i="24"/>
  <c r="AG262" i="24"/>
  <c r="AF262" i="24"/>
  <c r="AE262" i="24"/>
  <c r="AD262" i="24"/>
  <c r="AC262" i="24"/>
  <c r="AB262" i="24"/>
  <c r="AA262" i="24"/>
  <c r="Z262" i="24"/>
  <c r="Y262" i="24"/>
  <c r="X262" i="24"/>
  <c r="W262" i="24"/>
  <c r="V262" i="24"/>
  <c r="U262" i="24"/>
  <c r="T262" i="24"/>
  <c r="S262" i="24"/>
  <c r="R262" i="24"/>
  <c r="Q262" i="24"/>
  <c r="P262" i="24"/>
  <c r="O262" i="24"/>
  <c r="N262" i="24"/>
  <c r="M262" i="24"/>
  <c r="L262" i="24"/>
  <c r="K262" i="24"/>
  <c r="J262" i="24"/>
  <c r="I262" i="24"/>
  <c r="H262" i="24"/>
  <c r="BA261" i="24"/>
  <c r="AZ261" i="24"/>
  <c r="AY261" i="24"/>
  <c r="AX261" i="24"/>
  <c r="AW261" i="24"/>
  <c r="AV261" i="24"/>
  <c r="AU261" i="24"/>
  <c r="AT261" i="24"/>
  <c r="AS261" i="24"/>
  <c r="AR261" i="24"/>
  <c r="AQ261" i="24"/>
  <c r="AP261" i="24"/>
  <c r="AO261" i="24"/>
  <c r="AN261" i="24"/>
  <c r="AM261" i="24"/>
  <c r="AL261" i="24"/>
  <c r="AK261" i="24"/>
  <c r="AJ261" i="24"/>
  <c r="AI261" i="24"/>
  <c r="AH261" i="24"/>
  <c r="AG261" i="24"/>
  <c r="AF261" i="24"/>
  <c r="AE261" i="24"/>
  <c r="AD261" i="24"/>
  <c r="AC261" i="24"/>
  <c r="AB261" i="24"/>
  <c r="AA261" i="24"/>
  <c r="Z261" i="24"/>
  <c r="Y261" i="24"/>
  <c r="X261" i="24"/>
  <c r="W261" i="24"/>
  <c r="V261" i="24"/>
  <c r="U261" i="24"/>
  <c r="T261" i="24"/>
  <c r="S261" i="24"/>
  <c r="R261" i="24"/>
  <c r="Q261" i="24"/>
  <c r="P261" i="24"/>
  <c r="O261" i="24"/>
  <c r="N261" i="24"/>
  <c r="M261" i="24"/>
  <c r="L261" i="24"/>
  <c r="K261" i="24"/>
  <c r="J261" i="24"/>
  <c r="I261" i="24"/>
  <c r="H261" i="24"/>
  <c r="BA260" i="24"/>
  <c r="AZ260" i="24"/>
  <c r="AY260" i="24"/>
  <c r="AX260" i="24"/>
  <c r="AW260" i="24"/>
  <c r="AV260" i="24"/>
  <c r="AU260" i="24"/>
  <c r="AT260" i="24"/>
  <c r="AS260" i="24"/>
  <c r="AR260" i="24"/>
  <c r="AQ260" i="24"/>
  <c r="AP260" i="24"/>
  <c r="AO260" i="24"/>
  <c r="AN260" i="24"/>
  <c r="AM260" i="24"/>
  <c r="AL260" i="24"/>
  <c r="AK260" i="24"/>
  <c r="AJ260" i="24"/>
  <c r="AI260" i="24"/>
  <c r="AH260" i="24"/>
  <c r="AG260" i="24"/>
  <c r="AF260" i="24"/>
  <c r="AE260" i="24"/>
  <c r="AD260" i="24"/>
  <c r="AC260" i="24"/>
  <c r="AB260" i="24"/>
  <c r="AA260" i="24"/>
  <c r="Z260" i="24"/>
  <c r="Y260" i="24"/>
  <c r="X260" i="24"/>
  <c r="W260" i="24"/>
  <c r="V260" i="24"/>
  <c r="U260" i="24"/>
  <c r="T260" i="24"/>
  <c r="S260" i="24"/>
  <c r="R260" i="24"/>
  <c r="Q260" i="24"/>
  <c r="P260" i="24"/>
  <c r="O260" i="24"/>
  <c r="N260" i="24"/>
  <c r="M260" i="24"/>
  <c r="L260" i="24"/>
  <c r="K260" i="24"/>
  <c r="J260" i="24"/>
  <c r="I260" i="24"/>
  <c r="H260" i="24"/>
  <c r="BA259" i="24"/>
  <c r="AZ259" i="24"/>
  <c r="AY259" i="24"/>
  <c r="AX259" i="24"/>
  <c r="AW259" i="24"/>
  <c r="AV259" i="24"/>
  <c r="AU259" i="24"/>
  <c r="AT259" i="24"/>
  <c r="AS259" i="24"/>
  <c r="AR259" i="24"/>
  <c r="AQ259" i="24"/>
  <c r="AP259" i="24"/>
  <c r="AO259" i="24"/>
  <c r="AN259" i="24"/>
  <c r="AM259" i="24"/>
  <c r="AL259" i="24"/>
  <c r="AK259" i="24"/>
  <c r="AJ259" i="24"/>
  <c r="AI259" i="24"/>
  <c r="AH259" i="24"/>
  <c r="AG259" i="24"/>
  <c r="AF259" i="24"/>
  <c r="AE259" i="24"/>
  <c r="AD259" i="24"/>
  <c r="AC259" i="24"/>
  <c r="AB259" i="24"/>
  <c r="AA259" i="24"/>
  <c r="Z259" i="24"/>
  <c r="Y259" i="24"/>
  <c r="X259" i="24"/>
  <c r="W259" i="24"/>
  <c r="V259" i="24"/>
  <c r="U259" i="24"/>
  <c r="T259" i="24"/>
  <c r="S259" i="24"/>
  <c r="R259" i="24"/>
  <c r="Q259" i="24"/>
  <c r="P259" i="24"/>
  <c r="O259" i="24"/>
  <c r="N259" i="24"/>
  <c r="M259" i="24"/>
  <c r="L259" i="24"/>
  <c r="K259" i="24"/>
  <c r="J259" i="24"/>
  <c r="I259" i="24"/>
  <c r="H259" i="24"/>
  <c r="BA258" i="24"/>
  <c r="AZ258" i="24"/>
  <c r="AY258" i="24"/>
  <c r="AX258" i="24"/>
  <c r="AW258" i="24"/>
  <c r="AV258" i="24"/>
  <c r="AU258" i="24"/>
  <c r="AT258" i="24"/>
  <c r="AS258" i="24"/>
  <c r="AR258" i="24"/>
  <c r="AQ258" i="24"/>
  <c r="AP258" i="24"/>
  <c r="AO258" i="24"/>
  <c r="AN258" i="24"/>
  <c r="AM258" i="24"/>
  <c r="AL258" i="24"/>
  <c r="AK258" i="24"/>
  <c r="AJ258" i="24"/>
  <c r="AI258" i="24"/>
  <c r="AH258" i="24"/>
  <c r="AG258" i="24"/>
  <c r="AF258" i="24"/>
  <c r="AE258" i="24"/>
  <c r="AD258" i="24"/>
  <c r="AC258" i="24"/>
  <c r="AB258" i="24"/>
  <c r="AA258" i="24"/>
  <c r="Z258" i="24"/>
  <c r="Y258" i="24"/>
  <c r="X258" i="24"/>
  <c r="W258" i="24"/>
  <c r="V258" i="24"/>
  <c r="U258" i="24"/>
  <c r="T258" i="24"/>
  <c r="S258" i="24"/>
  <c r="R258" i="24"/>
  <c r="Q258" i="24"/>
  <c r="P258" i="24"/>
  <c r="O258" i="24"/>
  <c r="N258" i="24"/>
  <c r="M258" i="24"/>
  <c r="L258" i="24"/>
  <c r="K258" i="24"/>
  <c r="J258" i="24"/>
  <c r="I258" i="24"/>
  <c r="H258" i="24"/>
  <c r="BA257" i="24"/>
  <c r="AZ257" i="24"/>
  <c r="AY257" i="24"/>
  <c r="AX257" i="24"/>
  <c r="AW257" i="24"/>
  <c r="AV257" i="24"/>
  <c r="AU257" i="24"/>
  <c r="AT257" i="24"/>
  <c r="AS257" i="24"/>
  <c r="AR257" i="24"/>
  <c r="AQ257" i="24"/>
  <c r="AP257" i="24"/>
  <c r="AO257" i="24"/>
  <c r="AN257" i="24"/>
  <c r="AM257" i="24"/>
  <c r="AL257" i="24"/>
  <c r="AK257" i="24"/>
  <c r="AJ257" i="24"/>
  <c r="AI257" i="24"/>
  <c r="AH257" i="24"/>
  <c r="AG257" i="24"/>
  <c r="AF257" i="24"/>
  <c r="AE257" i="24"/>
  <c r="AD257" i="24"/>
  <c r="AC257" i="24"/>
  <c r="AB257" i="24"/>
  <c r="AA257" i="24"/>
  <c r="Z257" i="24"/>
  <c r="Y257" i="24"/>
  <c r="X257" i="24"/>
  <c r="W257" i="24"/>
  <c r="V257" i="24"/>
  <c r="U257" i="24"/>
  <c r="T257" i="24"/>
  <c r="S257" i="24"/>
  <c r="R257" i="24"/>
  <c r="Q257" i="24"/>
  <c r="P257" i="24"/>
  <c r="O257" i="24"/>
  <c r="N257" i="24"/>
  <c r="M257" i="24"/>
  <c r="L257" i="24"/>
  <c r="K257" i="24"/>
  <c r="J257" i="24"/>
  <c r="I257" i="24"/>
  <c r="H257" i="24"/>
  <c r="BA256" i="24"/>
  <c r="AZ256" i="24"/>
  <c r="AY256" i="24"/>
  <c r="AX256" i="24"/>
  <c r="AW256" i="24"/>
  <c r="AV256" i="24"/>
  <c r="AU256" i="24"/>
  <c r="AT256" i="24"/>
  <c r="AS256" i="24"/>
  <c r="AR256" i="24"/>
  <c r="AQ256" i="24"/>
  <c r="AP256" i="24"/>
  <c r="AO256" i="24"/>
  <c r="AN256" i="24"/>
  <c r="AM256" i="24"/>
  <c r="AL256" i="24"/>
  <c r="AK256" i="24"/>
  <c r="AJ256" i="24"/>
  <c r="AI256" i="24"/>
  <c r="AH256" i="24"/>
  <c r="AG256" i="24"/>
  <c r="AF256" i="24"/>
  <c r="AE256" i="24"/>
  <c r="AD256" i="24"/>
  <c r="AC256" i="24"/>
  <c r="AB256" i="24"/>
  <c r="AA256" i="24"/>
  <c r="Z256" i="24"/>
  <c r="Y256" i="24"/>
  <c r="X256" i="24"/>
  <c r="W256" i="24"/>
  <c r="V256" i="24"/>
  <c r="U256" i="24"/>
  <c r="T256" i="24"/>
  <c r="S256" i="24"/>
  <c r="R256" i="24"/>
  <c r="Q256" i="24"/>
  <c r="P256" i="24"/>
  <c r="O256" i="24"/>
  <c r="N256" i="24"/>
  <c r="M256" i="24"/>
  <c r="L256" i="24"/>
  <c r="K256" i="24"/>
  <c r="J256" i="24"/>
  <c r="I256" i="24"/>
  <c r="H256" i="24"/>
  <c r="BA255" i="24"/>
  <c r="AZ255" i="24"/>
  <c r="AY255" i="24"/>
  <c r="AX255" i="24"/>
  <c r="AW255" i="24"/>
  <c r="AV255" i="24"/>
  <c r="AU255" i="24"/>
  <c r="AT255" i="24"/>
  <c r="AS255" i="24"/>
  <c r="AR255" i="24"/>
  <c r="AQ255" i="24"/>
  <c r="AP255" i="24"/>
  <c r="AO255" i="24"/>
  <c r="AN255" i="24"/>
  <c r="AM255" i="24"/>
  <c r="AL255" i="24"/>
  <c r="AK255" i="24"/>
  <c r="AJ255" i="24"/>
  <c r="AI255" i="24"/>
  <c r="AH255" i="24"/>
  <c r="AG255" i="24"/>
  <c r="AF255" i="24"/>
  <c r="AE255" i="24"/>
  <c r="AD255" i="24"/>
  <c r="AC255" i="24"/>
  <c r="AB255" i="24"/>
  <c r="AA255" i="24"/>
  <c r="Z255" i="24"/>
  <c r="Y255" i="24"/>
  <c r="X255" i="24"/>
  <c r="W255" i="24"/>
  <c r="V255" i="24"/>
  <c r="U255" i="24"/>
  <c r="T255" i="24"/>
  <c r="S255" i="24"/>
  <c r="R255" i="24"/>
  <c r="Q255" i="24"/>
  <c r="P255" i="24"/>
  <c r="O255" i="24"/>
  <c r="N255" i="24"/>
  <c r="M255" i="24"/>
  <c r="L255" i="24"/>
  <c r="K255" i="24"/>
  <c r="J255" i="24"/>
  <c r="I255" i="24"/>
  <c r="H255" i="24"/>
  <c r="BA254" i="24"/>
  <c r="AZ254" i="24"/>
  <c r="AY254" i="24"/>
  <c r="AX254" i="24"/>
  <c r="AW254" i="24"/>
  <c r="AV254" i="24"/>
  <c r="AU254" i="24"/>
  <c r="AT254" i="24"/>
  <c r="AS254" i="24"/>
  <c r="AR254" i="24"/>
  <c r="AQ254" i="24"/>
  <c r="AP254" i="24"/>
  <c r="AO254" i="24"/>
  <c r="AN254" i="24"/>
  <c r="AM254" i="24"/>
  <c r="AL254" i="24"/>
  <c r="AK254" i="24"/>
  <c r="AJ254" i="24"/>
  <c r="AI254" i="24"/>
  <c r="AH254" i="24"/>
  <c r="AG254" i="24"/>
  <c r="AF254" i="24"/>
  <c r="AE254" i="24"/>
  <c r="AD254" i="24"/>
  <c r="AC254" i="24"/>
  <c r="AB254" i="24"/>
  <c r="AA254" i="24"/>
  <c r="Z254" i="24"/>
  <c r="Y254" i="24"/>
  <c r="X254" i="24"/>
  <c r="W254" i="24"/>
  <c r="V254" i="24"/>
  <c r="U254" i="24"/>
  <c r="T254" i="24"/>
  <c r="S254" i="24"/>
  <c r="R254" i="24"/>
  <c r="Q254" i="24"/>
  <c r="P254" i="24"/>
  <c r="O254" i="24"/>
  <c r="N254" i="24"/>
  <c r="M254" i="24"/>
  <c r="L254" i="24"/>
  <c r="K254" i="24"/>
  <c r="J254" i="24"/>
  <c r="I254" i="24"/>
  <c r="H254" i="24"/>
  <c r="BA253" i="24"/>
  <c r="AZ253" i="24"/>
  <c r="AY253" i="24"/>
  <c r="AX253" i="24"/>
  <c r="AW253" i="24"/>
  <c r="AV253" i="24"/>
  <c r="AU253" i="24"/>
  <c r="AT253" i="24"/>
  <c r="AS253" i="24"/>
  <c r="AR253" i="24"/>
  <c r="AQ253" i="24"/>
  <c r="AP253" i="24"/>
  <c r="AO253" i="24"/>
  <c r="AN253" i="24"/>
  <c r="AM253" i="24"/>
  <c r="AL253" i="24"/>
  <c r="AK253" i="24"/>
  <c r="AJ253" i="24"/>
  <c r="AI253" i="24"/>
  <c r="AH253" i="24"/>
  <c r="AG253" i="24"/>
  <c r="AF253" i="24"/>
  <c r="AE253" i="24"/>
  <c r="AD253" i="24"/>
  <c r="AC253" i="24"/>
  <c r="AB253" i="24"/>
  <c r="AA253" i="24"/>
  <c r="Z253" i="24"/>
  <c r="Y253" i="24"/>
  <c r="X253" i="24"/>
  <c r="W253" i="24"/>
  <c r="V253" i="24"/>
  <c r="U253" i="24"/>
  <c r="T253" i="24"/>
  <c r="S253" i="24"/>
  <c r="R253" i="24"/>
  <c r="Q253" i="24"/>
  <c r="P253" i="24"/>
  <c r="O253" i="24"/>
  <c r="N253" i="24"/>
  <c r="M253" i="24"/>
  <c r="L253" i="24"/>
  <c r="K253" i="24"/>
  <c r="J253" i="24"/>
  <c r="I253" i="24"/>
  <c r="H253" i="24"/>
  <c r="BA252" i="24"/>
  <c r="AZ252" i="24"/>
  <c r="AY252" i="24"/>
  <c r="AX252" i="24"/>
  <c r="AW252" i="24"/>
  <c r="AV252" i="24"/>
  <c r="AU252" i="24"/>
  <c r="AT252" i="24"/>
  <c r="AS252" i="24"/>
  <c r="AR252" i="24"/>
  <c r="AQ252" i="24"/>
  <c r="AP252" i="24"/>
  <c r="AO252" i="24"/>
  <c r="AN252" i="24"/>
  <c r="AM252" i="24"/>
  <c r="AL252" i="24"/>
  <c r="AK252" i="24"/>
  <c r="AJ252" i="24"/>
  <c r="AI252" i="24"/>
  <c r="AH252" i="24"/>
  <c r="AG252" i="24"/>
  <c r="AF252" i="24"/>
  <c r="AE252" i="24"/>
  <c r="AD252" i="24"/>
  <c r="AC252" i="24"/>
  <c r="AB252" i="24"/>
  <c r="AA252" i="24"/>
  <c r="Z252" i="24"/>
  <c r="Y252" i="24"/>
  <c r="X252" i="24"/>
  <c r="W252" i="24"/>
  <c r="V252" i="24"/>
  <c r="U252" i="24"/>
  <c r="T252" i="24"/>
  <c r="S252" i="24"/>
  <c r="R252" i="24"/>
  <c r="Q252" i="24"/>
  <c r="P252" i="24"/>
  <c r="O252" i="24"/>
  <c r="N252" i="24"/>
  <c r="M252" i="24"/>
  <c r="L252" i="24"/>
  <c r="K252" i="24"/>
  <c r="J252" i="24"/>
  <c r="I252" i="24"/>
  <c r="H252" i="24"/>
  <c r="BA251" i="24"/>
  <c r="AZ251" i="24"/>
  <c r="AY251" i="24"/>
  <c r="AX251" i="24"/>
  <c r="AW251" i="24"/>
  <c r="AV251" i="24"/>
  <c r="AU251" i="24"/>
  <c r="AT251" i="24"/>
  <c r="AS251" i="24"/>
  <c r="AR251" i="24"/>
  <c r="AQ251" i="24"/>
  <c r="AP251" i="24"/>
  <c r="AO251" i="24"/>
  <c r="AN251" i="24"/>
  <c r="AM251" i="24"/>
  <c r="AL251" i="24"/>
  <c r="AK251" i="24"/>
  <c r="AJ251" i="24"/>
  <c r="AI251" i="24"/>
  <c r="AH251" i="24"/>
  <c r="AG251" i="24"/>
  <c r="AF251" i="24"/>
  <c r="AE251" i="24"/>
  <c r="AD251" i="24"/>
  <c r="AC251" i="24"/>
  <c r="AB251" i="24"/>
  <c r="AA251" i="24"/>
  <c r="Z251" i="24"/>
  <c r="Y251" i="24"/>
  <c r="X251" i="24"/>
  <c r="W251" i="24"/>
  <c r="V251" i="24"/>
  <c r="U251" i="24"/>
  <c r="T251" i="24"/>
  <c r="S251" i="24"/>
  <c r="R251" i="24"/>
  <c r="Q251" i="24"/>
  <c r="P251" i="24"/>
  <c r="O251" i="24"/>
  <c r="N251" i="24"/>
  <c r="M251" i="24"/>
  <c r="L251" i="24"/>
  <c r="K251" i="24"/>
  <c r="J251" i="24"/>
  <c r="I251" i="24"/>
  <c r="H251" i="24"/>
  <c r="BA250" i="24"/>
  <c r="AZ250" i="24"/>
  <c r="AY250" i="24"/>
  <c r="AX250" i="24"/>
  <c r="AW250" i="24"/>
  <c r="AV250" i="24"/>
  <c r="AU250" i="24"/>
  <c r="AT250" i="24"/>
  <c r="AS250" i="24"/>
  <c r="AR250" i="24"/>
  <c r="AQ250" i="24"/>
  <c r="AP250" i="24"/>
  <c r="AO250" i="24"/>
  <c r="AN250" i="24"/>
  <c r="AM250" i="24"/>
  <c r="AL250" i="24"/>
  <c r="AK250" i="24"/>
  <c r="AJ250" i="24"/>
  <c r="AI250" i="24"/>
  <c r="AH250" i="24"/>
  <c r="AG250" i="24"/>
  <c r="AF250" i="24"/>
  <c r="AE250" i="24"/>
  <c r="AD250" i="24"/>
  <c r="AC250" i="24"/>
  <c r="AB250" i="24"/>
  <c r="AA250" i="24"/>
  <c r="Z250" i="24"/>
  <c r="Y250" i="24"/>
  <c r="X250" i="24"/>
  <c r="W250" i="24"/>
  <c r="V250" i="24"/>
  <c r="U250" i="24"/>
  <c r="T250" i="24"/>
  <c r="S250" i="24"/>
  <c r="R250" i="24"/>
  <c r="Q250" i="24"/>
  <c r="P250" i="24"/>
  <c r="O250" i="24"/>
  <c r="N250" i="24"/>
  <c r="M250" i="24"/>
  <c r="L250" i="24"/>
  <c r="K250" i="24"/>
  <c r="J250" i="24"/>
  <c r="I250" i="24"/>
  <c r="H250" i="24"/>
  <c r="BA249" i="24"/>
  <c r="AZ249" i="24"/>
  <c r="AY249" i="24"/>
  <c r="AX249" i="24"/>
  <c r="AW249" i="24"/>
  <c r="AV249" i="24"/>
  <c r="AU249" i="24"/>
  <c r="AT249" i="24"/>
  <c r="AS249" i="24"/>
  <c r="AR249" i="24"/>
  <c r="AQ249" i="24"/>
  <c r="AP249" i="24"/>
  <c r="AO249" i="24"/>
  <c r="AN249" i="24"/>
  <c r="AM249" i="24"/>
  <c r="AL249" i="24"/>
  <c r="AK249" i="24"/>
  <c r="AJ249" i="24"/>
  <c r="AI249" i="24"/>
  <c r="AH249" i="24"/>
  <c r="AG249" i="24"/>
  <c r="AF249" i="24"/>
  <c r="AE249" i="24"/>
  <c r="AD249" i="24"/>
  <c r="AC249" i="24"/>
  <c r="AB249" i="24"/>
  <c r="AA249" i="24"/>
  <c r="Z249" i="24"/>
  <c r="Y249" i="24"/>
  <c r="X249" i="24"/>
  <c r="W249" i="24"/>
  <c r="V249" i="24"/>
  <c r="U249" i="24"/>
  <c r="T249" i="24"/>
  <c r="S249" i="24"/>
  <c r="R249" i="24"/>
  <c r="Q249" i="24"/>
  <c r="P249" i="24"/>
  <c r="O249" i="24"/>
  <c r="N249" i="24"/>
  <c r="M249" i="24"/>
  <c r="L249" i="24"/>
  <c r="K249" i="24"/>
  <c r="J249" i="24"/>
  <c r="I249" i="24"/>
  <c r="H249" i="24"/>
  <c r="BA248" i="24"/>
  <c r="AZ248" i="24"/>
  <c r="AY248" i="24"/>
  <c r="AX248" i="24"/>
  <c r="AW248" i="24"/>
  <c r="AV248" i="24"/>
  <c r="AU248" i="24"/>
  <c r="AT248" i="24"/>
  <c r="AS248" i="24"/>
  <c r="AR248" i="24"/>
  <c r="AQ248" i="24"/>
  <c r="AP248" i="24"/>
  <c r="AO248" i="24"/>
  <c r="AN248" i="24"/>
  <c r="AM248" i="24"/>
  <c r="AL248" i="24"/>
  <c r="AK248" i="24"/>
  <c r="AJ248" i="24"/>
  <c r="AI248" i="24"/>
  <c r="AH248" i="24"/>
  <c r="AG248" i="24"/>
  <c r="AF248" i="24"/>
  <c r="AE248" i="24"/>
  <c r="AD248" i="24"/>
  <c r="AC248" i="24"/>
  <c r="AB248" i="24"/>
  <c r="AA248" i="24"/>
  <c r="Z248" i="24"/>
  <c r="Y248" i="24"/>
  <c r="X248" i="24"/>
  <c r="W248" i="24"/>
  <c r="V248" i="24"/>
  <c r="U248" i="24"/>
  <c r="T248" i="24"/>
  <c r="S248" i="24"/>
  <c r="R248" i="24"/>
  <c r="Q248" i="24"/>
  <c r="P248" i="24"/>
  <c r="O248" i="24"/>
  <c r="N248" i="24"/>
  <c r="M248" i="24"/>
  <c r="L248" i="24"/>
  <c r="K248" i="24"/>
  <c r="J248" i="24"/>
  <c r="I248" i="24"/>
  <c r="H248" i="24"/>
  <c r="BA247" i="24"/>
  <c r="AZ247" i="24"/>
  <c r="AY247" i="24"/>
  <c r="AX247" i="24"/>
  <c r="AW247" i="24"/>
  <c r="AV247" i="24"/>
  <c r="AU247" i="24"/>
  <c r="AT247" i="24"/>
  <c r="AS247" i="24"/>
  <c r="AR247" i="24"/>
  <c r="AQ247" i="24"/>
  <c r="AP247" i="24"/>
  <c r="AO247" i="24"/>
  <c r="AN247" i="24"/>
  <c r="AM247" i="24"/>
  <c r="AL247" i="24"/>
  <c r="AK247" i="24"/>
  <c r="AJ247" i="24"/>
  <c r="AI247" i="24"/>
  <c r="AH247" i="24"/>
  <c r="AG247" i="24"/>
  <c r="AF247" i="24"/>
  <c r="AE247" i="24"/>
  <c r="AD247" i="24"/>
  <c r="AC247" i="24"/>
  <c r="AB247" i="24"/>
  <c r="AA247" i="24"/>
  <c r="Z247" i="24"/>
  <c r="Y247" i="24"/>
  <c r="X247" i="24"/>
  <c r="W247" i="24"/>
  <c r="V247" i="24"/>
  <c r="U247" i="24"/>
  <c r="T247" i="24"/>
  <c r="S247" i="24"/>
  <c r="R247" i="24"/>
  <c r="Q247" i="24"/>
  <c r="P247" i="24"/>
  <c r="O247" i="24"/>
  <c r="N247" i="24"/>
  <c r="M247" i="24"/>
  <c r="L247" i="24"/>
  <c r="K247" i="24"/>
  <c r="J247" i="24"/>
  <c r="I247" i="24"/>
  <c r="H247" i="24"/>
  <c r="BA246" i="24"/>
  <c r="AZ246" i="24"/>
  <c r="AY246" i="24"/>
  <c r="AX246" i="24"/>
  <c r="AW246" i="24"/>
  <c r="AV246" i="24"/>
  <c r="AU246" i="24"/>
  <c r="AT246" i="24"/>
  <c r="AS246" i="24"/>
  <c r="AR246" i="24"/>
  <c r="AQ246" i="24"/>
  <c r="AP246" i="24"/>
  <c r="AO246" i="24"/>
  <c r="AN246" i="24"/>
  <c r="AM246" i="24"/>
  <c r="AL246" i="24"/>
  <c r="AK246" i="24"/>
  <c r="AJ246" i="24"/>
  <c r="AI246" i="24"/>
  <c r="AH246" i="24"/>
  <c r="AG246" i="24"/>
  <c r="AF246" i="24"/>
  <c r="AE246" i="24"/>
  <c r="AD246" i="24"/>
  <c r="AC246" i="24"/>
  <c r="AB246" i="24"/>
  <c r="AA246" i="24"/>
  <c r="Z246" i="24"/>
  <c r="Y246" i="24"/>
  <c r="X246" i="24"/>
  <c r="W246" i="24"/>
  <c r="V246" i="24"/>
  <c r="U246" i="24"/>
  <c r="T246" i="24"/>
  <c r="S246" i="24"/>
  <c r="R246" i="24"/>
  <c r="Q246" i="24"/>
  <c r="P246" i="24"/>
  <c r="O246" i="24"/>
  <c r="N246" i="24"/>
  <c r="M246" i="24"/>
  <c r="L246" i="24"/>
  <c r="K246" i="24"/>
  <c r="J246" i="24"/>
  <c r="I246" i="24"/>
  <c r="H246" i="24"/>
  <c r="BA245" i="24"/>
  <c r="AZ245" i="24"/>
  <c r="AY245" i="24"/>
  <c r="AX245" i="24"/>
  <c r="AW245" i="24"/>
  <c r="AV245" i="24"/>
  <c r="AU245" i="24"/>
  <c r="AT245" i="24"/>
  <c r="AS245" i="24"/>
  <c r="AR245" i="24"/>
  <c r="AQ245" i="24"/>
  <c r="AP245" i="24"/>
  <c r="AO245" i="24"/>
  <c r="AN245" i="24"/>
  <c r="AM245" i="24"/>
  <c r="AL245" i="24"/>
  <c r="AK245" i="24"/>
  <c r="AJ245" i="24"/>
  <c r="AI245" i="24"/>
  <c r="AH245" i="24"/>
  <c r="AG245" i="24"/>
  <c r="AF245" i="24"/>
  <c r="AE245" i="24"/>
  <c r="AD245" i="24"/>
  <c r="AC245" i="24"/>
  <c r="AB245" i="24"/>
  <c r="AA245" i="24"/>
  <c r="Z245" i="24"/>
  <c r="Y245" i="24"/>
  <c r="X245" i="24"/>
  <c r="W245" i="24"/>
  <c r="V245" i="24"/>
  <c r="U245" i="24"/>
  <c r="T245" i="24"/>
  <c r="S245" i="24"/>
  <c r="R245" i="24"/>
  <c r="Q245" i="24"/>
  <c r="P245" i="24"/>
  <c r="O245" i="24"/>
  <c r="N245" i="24"/>
  <c r="M245" i="24"/>
  <c r="L245" i="24"/>
  <c r="K245" i="24"/>
  <c r="J245" i="24"/>
  <c r="I245" i="24"/>
  <c r="H245" i="24"/>
  <c r="BA244" i="24"/>
  <c r="AZ244" i="24"/>
  <c r="AY244" i="24"/>
  <c r="AX244" i="24"/>
  <c r="AW244" i="24"/>
  <c r="AV244" i="24"/>
  <c r="AU244" i="24"/>
  <c r="AT244" i="24"/>
  <c r="AS244" i="24"/>
  <c r="AR244" i="24"/>
  <c r="AQ244" i="24"/>
  <c r="AP244" i="24"/>
  <c r="AO244" i="24"/>
  <c r="AN244" i="24"/>
  <c r="AM244" i="24"/>
  <c r="AL244" i="24"/>
  <c r="AK244" i="24"/>
  <c r="AJ244" i="24"/>
  <c r="AI244" i="24"/>
  <c r="AH244" i="24"/>
  <c r="AG244" i="24"/>
  <c r="AF244" i="24"/>
  <c r="AE244" i="24"/>
  <c r="AD244" i="24"/>
  <c r="AC244" i="24"/>
  <c r="AB244" i="24"/>
  <c r="AA244" i="24"/>
  <c r="Z244" i="24"/>
  <c r="Y244" i="24"/>
  <c r="X244" i="24"/>
  <c r="W244" i="24"/>
  <c r="V244" i="24"/>
  <c r="U244" i="24"/>
  <c r="T244" i="24"/>
  <c r="S244" i="24"/>
  <c r="R244" i="24"/>
  <c r="Q244" i="24"/>
  <c r="P244" i="24"/>
  <c r="O244" i="24"/>
  <c r="N244" i="24"/>
  <c r="M244" i="24"/>
  <c r="L244" i="24"/>
  <c r="K244" i="24"/>
  <c r="J244" i="24"/>
  <c r="I244" i="24"/>
  <c r="H244" i="24"/>
  <c r="BA243" i="24"/>
  <c r="AZ243" i="24"/>
  <c r="AY243" i="24"/>
  <c r="AX243" i="24"/>
  <c r="AW243" i="24"/>
  <c r="AV243" i="24"/>
  <c r="AU243" i="24"/>
  <c r="AT243" i="24"/>
  <c r="AS243" i="24"/>
  <c r="AR243" i="24"/>
  <c r="AQ243" i="24"/>
  <c r="AP243" i="24"/>
  <c r="AO243" i="24"/>
  <c r="AN243" i="24"/>
  <c r="AM243" i="24"/>
  <c r="AL243" i="24"/>
  <c r="AK243" i="24"/>
  <c r="AJ243" i="24"/>
  <c r="AI243" i="24"/>
  <c r="AH243" i="24"/>
  <c r="AG243" i="24"/>
  <c r="AF243" i="24"/>
  <c r="AE243" i="24"/>
  <c r="AD243" i="24"/>
  <c r="AC243" i="24"/>
  <c r="AB243" i="24"/>
  <c r="AA243" i="24"/>
  <c r="Z243" i="24"/>
  <c r="Y243" i="24"/>
  <c r="X243" i="24"/>
  <c r="W243" i="24"/>
  <c r="V243" i="24"/>
  <c r="U243" i="24"/>
  <c r="T243" i="24"/>
  <c r="S243" i="24"/>
  <c r="R243" i="24"/>
  <c r="Q243" i="24"/>
  <c r="P243" i="24"/>
  <c r="O243" i="24"/>
  <c r="N243" i="24"/>
  <c r="M243" i="24"/>
  <c r="L243" i="24"/>
  <c r="K243" i="24"/>
  <c r="J243" i="24"/>
  <c r="I243" i="24"/>
  <c r="H243" i="24"/>
  <c r="BA242" i="24"/>
  <c r="AZ242" i="24"/>
  <c r="AY242" i="24"/>
  <c r="AX242" i="24"/>
  <c r="AW242" i="24"/>
  <c r="AV242" i="24"/>
  <c r="AU242" i="24"/>
  <c r="AT242" i="24"/>
  <c r="AS242" i="24"/>
  <c r="AR242" i="24"/>
  <c r="AQ242" i="24"/>
  <c r="AP242" i="24"/>
  <c r="AO242" i="24"/>
  <c r="AN242" i="24"/>
  <c r="AM242" i="24"/>
  <c r="AL242" i="24"/>
  <c r="AK242" i="24"/>
  <c r="AJ242" i="24"/>
  <c r="AI242" i="24"/>
  <c r="AH242" i="24"/>
  <c r="AG242" i="24"/>
  <c r="AF242" i="24"/>
  <c r="AE242" i="24"/>
  <c r="AD242" i="24"/>
  <c r="AC242" i="24"/>
  <c r="AB242" i="24"/>
  <c r="AA242" i="24"/>
  <c r="Z242" i="24"/>
  <c r="Y242" i="24"/>
  <c r="X242" i="24"/>
  <c r="W242" i="24"/>
  <c r="V242" i="24"/>
  <c r="U242" i="24"/>
  <c r="T242" i="24"/>
  <c r="S242" i="24"/>
  <c r="R242" i="24"/>
  <c r="Q242" i="24"/>
  <c r="P242" i="24"/>
  <c r="O242" i="24"/>
  <c r="N242" i="24"/>
  <c r="M242" i="24"/>
  <c r="L242" i="24"/>
  <c r="K242" i="24"/>
  <c r="J242" i="24"/>
  <c r="I242" i="24"/>
  <c r="H242" i="24"/>
  <c r="BA241" i="24"/>
  <c r="AZ241" i="24"/>
  <c r="AY241" i="24"/>
  <c r="AX241" i="24"/>
  <c r="AW241" i="24"/>
  <c r="AV241" i="24"/>
  <c r="AU241" i="24"/>
  <c r="AT241" i="24"/>
  <c r="AS241" i="24"/>
  <c r="AR241" i="24"/>
  <c r="AQ241" i="24"/>
  <c r="AP241" i="24"/>
  <c r="AO241" i="24"/>
  <c r="AN241" i="24"/>
  <c r="AM241" i="24"/>
  <c r="AL241" i="24"/>
  <c r="AK241" i="24"/>
  <c r="AJ241" i="24"/>
  <c r="AI241" i="24"/>
  <c r="AH241" i="24"/>
  <c r="AG241" i="24"/>
  <c r="AF241" i="24"/>
  <c r="AE241" i="24"/>
  <c r="AD241" i="24"/>
  <c r="AC241" i="24"/>
  <c r="AB241" i="24"/>
  <c r="AA241" i="24"/>
  <c r="Z241" i="24"/>
  <c r="Y241" i="24"/>
  <c r="X241" i="24"/>
  <c r="W241" i="24"/>
  <c r="V241" i="24"/>
  <c r="U241" i="24"/>
  <c r="T241" i="24"/>
  <c r="S241" i="24"/>
  <c r="R241" i="24"/>
  <c r="Q241" i="24"/>
  <c r="P241" i="24"/>
  <c r="O241" i="24"/>
  <c r="N241" i="24"/>
  <c r="M241" i="24"/>
  <c r="L241" i="24"/>
  <c r="K241" i="24"/>
  <c r="J241" i="24"/>
  <c r="I241" i="24"/>
  <c r="H241" i="24"/>
  <c r="BA240" i="24"/>
  <c r="AZ240" i="24"/>
  <c r="AY240" i="24"/>
  <c r="AX240" i="24"/>
  <c r="AW240" i="24"/>
  <c r="AV240" i="24"/>
  <c r="AU240" i="24"/>
  <c r="AT240" i="24"/>
  <c r="AS240" i="24"/>
  <c r="AR240" i="24"/>
  <c r="AQ240" i="24"/>
  <c r="AP240" i="24"/>
  <c r="AO240" i="24"/>
  <c r="AN240" i="24"/>
  <c r="AM240" i="24"/>
  <c r="AL240" i="24"/>
  <c r="AK240" i="24"/>
  <c r="AJ240" i="24"/>
  <c r="AI240" i="24"/>
  <c r="AH240" i="24"/>
  <c r="AG240" i="24"/>
  <c r="AF240" i="24"/>
  <c r="AE240" i="24"/>
  <c r="AD240" i="24"/>
  <c r="AC240" i="24"/>
  <c r="AB240" i="24"/>
  <c r="AA240" i="24"/>
  <c r="Z240" i="24"/>
  <c r="Y240" i="24"/>
  <c r="X240" i="24"/>
  <c r="W240" i="24"/>
  <c r="V240" i="24"/>
  <c r="U240" i="24"/>
  <c r="T240" i="24"/>
  <c r="S240" i="24"/>
  <c r="R240" i="24"/>
  <c r="Q240" i="24"/>
  <c r="P240" i="24"/>
  <c r="O240" i="24"/>
  <c r="N240" i="24"/>
  <c r="M240" i="24"/>
  <c r="L240" i="24"/>
  <c r="K240" i="24"/>
  <c r="J240" i="24"/>
  <c r="I240" i="24"/>
  <c r="H240" i="24"/>
  <c r="BA239" i="24"/>
  <c r="AZ239" i="24"/>
  <c r="AY239" i="24"/>
  <c r="AX239" i="24"/>
  <c r="AW239" i="24"/>
  <c r="AV239" i="24"/>
  <c r="AU239" i="24"/>
  <c r="AT239" i="24"/>
  <c r="AS239" i="24"/>
  <c r="AR239" i="24"/>
  <c r="AQ239" i="24"/>
  <c r="AP239" i="24"/>
  <c r="AO239" i="24"/>
  <c r="AN239" i="24"/>
  <c r="AM239" i="24"/>
  <c r="AL239" i="24"/>
  <c r="AK239" i="24"/>
  <c r="AJ239" i="24"/>
  <c r="AI239" i="24"/>
  <c r="AH239" i="24"/>
  <c r="AG239" i="24"/>
  <c r="AF239" i="24"/>
  <c r="AE239" i="24"/>
  <c r="AD239" i="24"/>
  <c r="AC239" i="24"/>
  <c r="AB239" i="24"/>
  <c r="AA239" i="24"/>
  <c r="Z239" i="24"/>
  <c r="Y239" i="24"/>
  <c r="X239" i="24"/>
  <c r="W239" i="24"/>
  <c r="V239" i="24"/>
  <c r="U239" i="24"/>
  <c r="T239" i="24"/>
  <c r="S239" i="24"/>
  <c r="R239" i="24"/>
  <c r="Q239" i="24"/>
  <c r="P239" i="24"/>
  <c r="O239" i="24"/>
  <c r="N239" i="24"/>
  <c r="M239" i="24"/>
  <c r="L239" i="24"/>
  <c r="K239" i="24"/>
  <c r="J239" i="24"/>
  <c r="I239" i="24"/>
  <c r="H239" i="24"/>
  <c r="BA238" i="24"/>
  <c r="AZ238" i="24"/>
  <c r="AY238" i="24"/>
  <c r="AX238" i="24"/>
  <c r="AW238" i="24"/>
  <c r="AV238" i="24"/>
  <c r="AU238" i="24"/>
  <c r="AT238" i="24"/>
  <c r="AS238" i="24"/>
  <c r="AR238" i="24"/>
  <c r="AQ238" i="24"/>
  <c r="AP238" i="24"/>
  <c r="AO238" i="24"/>
  <c r="AN238" i="24"/>
  <c r="AM238" i="24"/>
  <c r="AL238" i="24"/>
  <c r="AK238" i="24"/>
  <c r="AJ238" i="24"/>
  <c r="AI238" i="24"/>
  <c r="AH238" i="24"/>
  <c r="AG238" i="24"/>
  <c r="AF238" i="24"/>
  <c r="AE238" i="24"/>
  <c r="AD238" i="24"/>
  <c r="AC238" i="24"/>
  <c r="AB238" i="24"/>
  <c r="AA238" i="24"/>
  <c r="Z238" i="24"/>
  <c r="Y238" i="24"/>
  <c r="X238" i="24"/>
  <c r="W238" i="24"/>
  <c r="V238" i="24"/>
  <c r="U238" i="24"/>
  <c r="T238" i="24"/>
  <c r="S238" i="24"/>
  <c r="R238" i="24"/>
  <c r="Q238" i="24"/>
  <c r="P238" i="24"/>
  <c r="O238" i="24"/>
  <c r="N238" i="24"/>
  <c r="M238" i="24"/>
  <c r="L238" i="24"/>
  <c r="K238" i="24"/>
  <c r="J238" i="24"/>
  <c r="I238" i="24"/>
  <c r="H238" i="24"/>
  <c r="BA237" i="24"/>
  <c r="AZ237" i="24"/>
  <c r="AY237" i="24"/>
  <c r="AX237" i="24"/>
  <c r="AW237" i="24"/>
  <c r="AV237" i="24"/>
  <c r="AU237" i="24"/>
  <c r="AT237" i="24"/>
  <c r="AS237" i="24"/>
  <c r="AR237" i="24"/>
  <c r="AQ237" i="24"/>
  <c r="AP237" i="24"/>
  <c r="AO237" i="24"/>
  <c r="AN237" i="24"/>
  <c r="AM237" i="24"/>
  <c r="AL237" i="24"/>
  <c r="AK237" i="24"/>
  <c r="AJ237" i="24"/>
  <c r="AI237" i="24"/>
  <c r="AH237" i="24"/>
  <c r="AG237" i="24"/>
  <c r="AF237" i="24"/>
  <c r="AE237" i="24"/>
  <c r="AD237" i="24"/>
  <c r="AC237" i="24"/>
  <c r="AB237" i="24"/>
  <c r="AA237" i="24"/>
  <c r="Z237" i="24"/>
  <c r="Y237" i="24"/>
  <c r="X237" i="24"/>
  <c r="W237" i="24"/>
  <c r="V237" i="24"/>
  <c r="U237" i="24"/>
  <c r="T237" i="24"/>
  <c r="S237" i="24"/>
  <c r="R237" i="24"/>
  <c r="Q237" i="24"/>
  <c r="P237" i="24"/>
  <c r="O237" i="24"/>
  <c r="N237" i="24"/>
  <c r="M237" i="24"/>
  <c r="L237" i="24"/>
  <c r="K237" i="24"/>
  <c r="J237" i="24"/>
  <c r="I237" i="24"/>
  <c r="H237" i="24"/>
  <c r="BA236" i="24"/>
  <c r="AZ236" i="24"/>
  <c r="AY236" i="24"/>
  <c r="AX236" i="24"/>
  <c r="AW236" i="24"/>
  <c r="AV236" i="24"/>
  <c r="AU236" i="24"/>
  <c r="AT236" i="24"/>
  <c r="AS236" i="24"/>
  <c r="AR236" i="24"/>
  <c r="AQ236" i="24"/>
  <c r="AP236" i="24"/>
  <c r="AO236" i="24"/>
  <c r="AN236" i="24"/>
  <c r="AM236" i="24"/>
  <c r="AL236" i="24"/>
  <c r="AK236" i="24"/>
  <c r="AJ236" i="24"/>
  <c r="AI236" i="24"/>
  <c r="AH236" i="24"/>
  <c r="AG236" i="24"/>
  <c r="AF236" i="24"/>
  <c r="AE236" i="24"/>
  <c r="AD236" i="24"/>
  <c r="AC236" i="24"/>
  <c r="AB236" i="24"/>
  <c r="AA236" i="24"/>
  <c r="Z236" i="24"/>
  <c r="Y236" i="24"/>
  <c r="X236" i="24"/>
  <c r="W236" i="24"/>
  <c r="V236" i="24"/>
  <c r="U236" i="24"/>
  <c r="T236" i="24"/>
  <c r="S236" i="24"/>
  <c r="R236" i="24"/>
  <c r="Q236" i="24"/>
  <c r="P236" i="24"/>
  <c r="O236" i="24"/>
  <c r="N236" i="24"/>
  <c r="M236" i="24"/>
  <c r="L236" i="24"/>
  <c r="K236" i="24"/>
  <c r="J236" i="24"/>
  <c r="I236" i="24"/>
  <c r="H236" i="24"/>
  <c r="BA235" i="24"/>
  <c r="AZ235" i="24"/>
  <c r="AY235" i="24"/>
  <c r="AX235" i="24"/>
  <c r="AW235" i="24"/>
  <c r="AV235" i="24"/>
  <c r="AU235" i="24"/>
  <c r="AT235" i="24"/>
  <c r="AS235" i="24"/>
  <c r="AR235" i="24"/>
  <c r="AQ235" i="24"/>
  <c r="AP235" i="24"/>
  <c r="AO235" i="24"/>
  <c r="AN235" i="24"/>
  <c r="AM235" i="24"/>
  <c r="AL235" i="24"/>
  <c r="AK235" i="24"/>
  <c r="AJ235" i="24"/>
  <c r="AI235" i="24"/>
  <c r="AH235" i="24"/>
  <c r="AG235" i="24"/>
  <c r="AF235" i="24"/>
  <c r="AE235" i="24"/>
  <c r="AD235" i="24"/>
  <c r="AC235" i="24"/>
  <c r="AB235" i="24"/>
  <c r="AA235" i="24"/>
  <c r="Z235" i="24"/>
  <c r="Y235" i="24"/>
  <c r="X235" i="24"/>
  <c r="W235" i="24"/>
  <c r="V235" i="24"/>
  <c r="U235" i="24"/>
  <c r="T235" i="24"/>
  <c r="S235" i="24"/>
  <c r="R235" i="24"/>
  <c r="Q235" i="24"/>
  <c r="P235" i="24"/>
  <c r="O235" i="24"/>
  <c r="N235" i="24"/>
  <c r="M235" i="24"/>
  <c r="L235" i="24"/>
  <c r="K235" i="24"/>
  <c r="J235" i="24"/>
  <c r="I235" i="24"/>
  <c r="H235" i="24"/>
  <c r="BA234" i="24"/>
  <c r="AZ234" i="24"/>
  <c r="AY234" i="24"/>
  <c r="AX234" i="24"/>
  <c r="AW234" i="24"/>
  <c r="AV234" i="24"/>
  <c r="AU234" i="24"/>
  <c r="AT234" i="24"/>
  <c r="AS234" i="24"/>
  <c r="AR234" i="24"/>
  <c r="AQ234" i="24"/>
  <c r="AP234" i="24"/>
  <c r="AO234" i="24"/>
  <c r="AN234" i="24"/>
  <c r="AM234" i="24"/>
  <c r="AL234" i="24"/>
  <c r="AK234" i="24"/>
  <c r="AJ234" i="24"/>
  <c r="AI234" i="24"/>
  <c r="AH234" i="24"/>
  <c r="AG234" i="24"/>
  <c r="AF234" i="24"/>
  <c r="AE234" i="24"/>
  <c r="AD234" i="24"/>
  <c r="AC234" i="24"/>
  <c r="AB234" i="24"/>
  <c r="AA234" i="24"/>
  <c r="Z234" i="24"/>
  <c r="Y234" i="24"/>
  <c r="X234" i="24"/>
  <c r="W234" i="24"/>
  <c r="V234" i="24"/>
  <c r="U234" i="24"/>
  <c r="T234" i="24"/>
  <c r="S234" i="24"/>
  <c r="R234" i="24"/>
  <c r="Q234" i="24"/>
  <c r="P234" i="24"/>
  <c r="O234" i="24"/>
  <c r="N234" i="24"/>
  <c r="M234" i="24"/>
  <c r="L234" i="24"/>
  <c r="K234" i="24"/>
  <c r="J234" i="24"/>
  <c r="I234" i="24"/>
  <c r="H234" i="24"/>
  <c r="BA233" i="24"/>
  <c r="AZ233" i="24"/>
  <c r="AY233" i="24"/>
  <c r="AX233" i="24"/>
  <c r="AW233" i="24"/>
  <c r="AV233" i="24"/>
  <c r="AU233" i="24"/>
  <c r="AT233" i="24"/>
  <c r="AS233" i="24"/>
  <c r="AR233" i="24"/>
  <c r="AQ233" i="24"/>
  <c r="AP233" i="24"/>
  <c r="AO233" i="24"/>
  <c r="AN233" i="24"/>
  <c r="AM233" i="24"/>
  <c r="AL233" i="24"/>
  <c r="AK233" i="24"/>
  <c r="AJ233" i="24"/>
  <c r="AI233" i="24"/>
  <c r="AH233" i="24"/>
  <c r="AG233" i="24"/>
  <c r="AF233" i="24"/>
  <c r="AE233" i="24"/>
  <c r="AD233" i="24"/>
  <c r="AC233" i="24"/>
  <c r="AB233" i="24"/>
  <c r="AA233" i="24"/>
  <c r="Z233" i="24"/>
  <c r="Y233" i="24"/>
  <c r="X233" i="24"/>
  <c r="W233" i="24"/>
  <c r="V233" i="24"/>
  <c r="U233" i="24"/>
  <c r="T233" i="24"/>
  <c r="S233" i="24"/>
  <c r="R233" i="24"/>
  <c r="Q233" i="24"/>
  <c r="P233" i="24"/>
  <c r="O233" i="24"/>
  <c r="N233" i="24"/>
  <c r="M233" i="24"/>
  <c r="L233" i="24"/>
  <c r="K233" i="24"/>
  <c r="J233" i="24"/>
  <c r="I233" i="24"/>
  <c r="H233" i="24"/>
  <c r="BA232" i="24"/>
  <c r="AZ232" i="24"/>
  <c r="AY232" i="24"/>
  <c r="AX232" i="24"/>
  <c r="AW232" i="24"/>
  <c r="AV232" i="24"/>
  <c r="AU232" i="24"/>
  <c r="AT232" i="24"/>
  <c r="AS232" i="24"/>
  <c r="AR232" i="24"/>
  <c r="AQ232" i="24"/>
  <c r="AP232" i="24"/>
  <c r="AO232" i="24"/>
  <c r="AN232" i="24"/>
  <c r="AM232" i="24"/>
  <c r="AL232" i="24"/>
  <c r="AK232" i="24"/>
  <c r="AJ232" i="24"/>
  <c r="AI232" i="24"/>
  <c r="AH232" i="24"/>
  <c r="AG232" i="24"/>
  <c r="AF232" i="24"/>
  <c r="AE232" i="24"/>
  <c r="AD232" i="24"/>
  <c r="AC232" i="24"/>
  <c r="AB232" i="24"/>
  <c r="AA232" i="24"/>
  <c r="Z232" i="24"/>
  <c r="Y232" i="24"/>
  <c r="X232" i="24"/>
  <c r="W232" i="24"/>
  <c r="V232" i="24"/>
  <c r="U232" i="24"/>
  <c r="T232" i="24"/>
  <c r="S232" i="24"/>
  <c r="R232" i="24"/>
  <c r="Q232" i="24"/>
  <c r="P232" i="24"/>
  <c r="O232" i="24"/>
  <c r="N232" i="24"/>
  <c r="M232" i="24"/>
  <c r="L232" i="24"/>
  <c r="K232" i="24"/>
  <c r="J232" i="24"/>
  <c r="I232" i="24"/>
  <c r="H232" i="24"/>
  <c r="BA231" i="24"/>
  <c r="AZ231" i="24"/>
  <c r="AY231" i="24"/>
  <c r="AX231" i="24"/>
  <c r="AW231" i="24"/>
  <c r="AV231" i="24"/>
  <c r="AU231" i="24"/>
  <c r="AT231" i="24"/>
  <c r="AS231" i="24"/>
  <c r="AR231" i="24"/>
  <c r="AQ231" i="24"/>
  <c r="AP231" i="24"/>
  <c r="AO231" i="24"/>
  <c r="AN231" i="24"/>
  <c r="AM231" i="24"/>
  <c r="AL231" i="24"/>
  <c r="AK231" i="24"/>
  <c r="AJ231" i="24"/>
  <c r="AI231" i="24"/>
  <c r="AH231" i="24"/>
  <c r="AG231" i="24"/>
  <c r="AF231" i="24"/>
  <c r="AE231" i="24"/>
  <c r="AD231" i="24"/>
  <c r="AC231" i="24"/>
  <c r="AB231" i="24"/>
  <c r="AA231" i="24"/>
  <c r="Z231" i="24"/>
  <c r="Y231" i="24"/>
  <c r="X231" i="24"/>
  <c r="W231" i="24"/>
  <c r="V231" i="24"/>
  <c r="U231" i="24"/>
  <c r="T231" i="24"/>
  <c r="S231" i="24"/>
  <c r="R231" i="24"/>
  <c r="Q231" i="24"/>
  <c r="P231" i="24"/>
  <c r="O231" i="24"/>
  <c r="N231" i="24"/>
  <c r="M231" i="24"/>
  <c r="L231" i="24"/>
  <c r="K231" i="24"/>
  <c r="J231" i="24"/>
  <c r="I231" i="24"/>
  <c r="H231" i="24"/>
  <c r="BA230" i="24"/>
  <c r="AZ230" i="24"/>
  <c r="AY230" i="24"/>
  <c r="AX230" i="24"/>
  <c r="AW230" i="24"/>
  <c r="AV230" i="24"/>
  <c r="AU230" i="24"/>
  <c r="AT230" i="24"/>
  <c r="AS230" i="24"/>
  <c r="AR230" i="24"/>
  <c r="AQ230" i="24"/>
  <c r="AP230" i="24"/>
  <c r="AO230" i="24"/>
  <c r="AN230" i="24"/>
  <c r="AM230" i="24"/>
  <c r="AL230" i="24"/>
  <c r="AK230" i="24"/>
  <c r="AJ230" i="24"/>
  <c r="AI230" i="24"/>
  <c r="AH230" i="24"/>
  <c r="AG230" i="24"/>
  <c r="AF230" i="24"/>
  <c r="AE230" i="24"/>
  <c r="AD230" i="24"/>
  <c r="AC230" i="24"/>
  <c r="AB230" i="24"/>
  <c r="AA230" i="24"/>
  <c r="Z230" i="24"/>
  <c r="Y230" i="24"/>
  <c r="X230" i="24"/>
  <c r="W230" i="24"/>
  <c r="V230" i="24"/>
  <c r="U230" i="24"/>
  <c r="T230" i="24"/>
  <c r="S230" i="24"/>
  <c r="R230" i="24"/>
  <c r="Q230" i="24"/>
  <c r="P230" i="24"/>
  <c r="O230" i="24"/>
  <c r="N230" i="24"/>
  <c r="M230" i="24"/>
  <c r="L230" i="24"/>
  <c r="K230" i="24"/>
  <c r="J230" i="24"/>
  <c r="I230" i="24"/>
  <c r="H230" i="24"/>
  <c r="BA229" i="24"/>
  <c r="AZ229" i="24"/>
  <c r="AY229" i="24"/>
  <c r="AX229" i="24"/>
  <c r="AW229" i="24"/>
  <c r="AV229" i="24"/>
  <c r="AU229" i="24"/>
  <c r="AT229" i="24"/>
  <c r="AS229" i="24"/>
  <c r="AR229" i="24"/>
  <c r="AQ229" i="24"/>
  <c r="AP229" i="24"/>
  <c r="AO229" i="24"/>
  <c r="AN229" i="24"/>
  <c r="AM229" i="24"/>
  <c r="AL229" i="24"/>
  <c r="AK229" i="24"/>
  <c r="AJ229" i="24"/>
  <c r="AI229" i="24"/>
  <c r="AH229" i="24"/>
  <c r="AG229" i="24"/>
  <c r="AF229" i="24"/>
  <c r="AE229" i="24"/>
  <c r="AD229" i="24"/>
  <c r="AC229" i="24"/>
  <c r="AB229" i="24"/>
  <c r="AA229" i="24"/>
  <c r="Z229" i="24"/>
  <c r="Y229" i="24"/>
  <c r="X229" i="24"/>
  <c r="W229" i="24"/>
  <c r="V229" i="24"/>
  <c r="U229" i="24"/>
  <c r="T229" i="24"/>
  <c r="S229" i="24"/>
  <c r="R229" i="24"/>
  <c r="Q229" i="24"/>
  <c r="P229" i="24"/>
  <c r="O229" i="24"/>
  <c r="N229" i="24"/>
  <c r="M229" i="24"/>
  <c r="L229" i="24"/>
  <c r="K229" i="24"/>
  <c r="J229" i="24"/>
  <c r="I229" i="24"/>
  <c r="H229" i="24"/>
  <c r="BA228" i="24"/>
  <c r="AZ228" i="24"/>
  <c r="AY228" i="24"/>
  <c r="AX228" i="24"/>
  <c r="AW228" i="24"/>
  <c r="AV228" i="24"/>
  <c r="AU228" i="24"/>
  <c r="AT228" i="24"/>
  <c r="AS228" i="24"/>
  <c r="AR228" i="24"/>
  <c r="AQ228" i="24"/>
  <c r="AP228" i="24"/>
  <c r="AO228" i="24"/>
  <c r="AN228" i="24"/>
  <c r="AM228" i="24"/>
  <c r="AL228" i="24"/>
  <c r="AK228" i="24"/>
  <c r="AJ228" i="24"/>
  <c r="AI228" i="24"/>
  <c r="AH228" i="24"/>
  <c r="AG228" i="24"/>
  <c r="AF228" i="24"/>
  <c r="AE228" i="24"/>
  <c r="AD228" i="24"/>
  <c r="AC228" i="24"/>
  <c r="AB228" i="24"/>
  <c r="AA228" i="24"/>
  <c r="Z228" i="24"/>
  <c r="Y228" i="24"/>
  <c r="X228" i="24"/>
  <c r="W228" i="24"/>
  <c r="V228" i="24"/>
  <c r="U228" i="24"/>
  <c r="T228" i="24"/>
  <c r="S228" i="24"/>
  <c r="R228" i="24"/>
  <c r="Q228" i="24"/>
  <c r="P228" i="24"/>
  <c r="O228" i="24"/>
  <c r="N228" i="24"/>
  <c r="M228" i="24"/>
  <c r="L228" i="24"/>
  <c r="K228" i="24"/>
  <c r="J228" i="24"/>
  <c r="I228" i="24"/>
  <c r="H228" i="24"/>
  <c r="BA227" i="24"/>
  <c r="AZ227" i="24"/>
  <c r="AY227" i="24"/>
  <c r="AX227" i="24"/>
  <c r="AW227" i="24"/>
  <c r="AV227" i="24"/>
  <c r="AU227" i="24"/>
  <c r="AT227" i="24"/>
  <c r="AS227" i="24"/>
  <c r="AR227" i="24"/>
  <c r="AQ227" i="24"/>
  <c r="AP227" i="24"/>
  <c r="AO227" i="24"/>
  <c r="AN227" i="24"/>
  <c r="AM227" i="24"/>
  <c r="AL227" i="24"/>
  <c r="AK227" i="24"/>
  <c r="AJ227" i="24"/>
  <c r="AI227" i="24"/>
  <c r="AH227" i="24"/>
  <c r="AG227" i="24"/>
  <c r="AF227" i="24"/>
  <c r="AE227" i="24"/>
  <c r="AD227" i="24"/>
  <c r="AC227" i="24"/>
  <c r="AB227" i="24"/>
  <c r="AA227" i="24"/>
  <c r="Z227" i="24"/>
  <c r="Y227" i="24"/>
  <c r="X227" i="24"/>
  <c r="W227" i="24"/>
  <c r="V227" i="24"/>
  <c r="U227" i="24"/>
  <c r="T227" i="24"/>
  <c r="S227" i="24"/>
  <c r="R227" i="24"/>
  <c r="Q227" i="24"/>
  <c r="P227" i="24"/>
  <c r="O227" i="24"/>
  <c r="N227" i="24"/>
  <c r="M227" i="24"/>
  <c r="L227" i="24"/>
  <c r="K227" i="24"/>
  <c r="J227" i="24"/>
  <c r="I227" i="24"/>
  <c r="H227" i="24"/>
  <c r="BA226" i="24"/>
  <c r="AZ226" i="24"/>
  <c r="AY226" i="24"/>
  <c r="AX226" i="24"/>
  <c r="AW226" i="24"/>
  <c r="AV226" i="24"/>
  <c r="AU226" i="24"/>
  <c r="AT226" i="24"/>
  <c r="AS226" i="24"/>
  <c r="AR226" i="24"/>
  <c r="AQ226" i="24"/>
  <c r="AP226" i="24"/>
  <c r="AO226" i="24"/>
  <c r="AN226" i="24"/>
  <c r="AM226" i="24"/>
  <c r="AL226" i="24"/>
  <c r="AK226" i="24"/>
  <c r="AJ226" i="24"/>
  <c r="AI226" i="24"/>
  <c r="AH226" i="24"/>
  <c r="AG226" i="24"/>
  <c r="AF226" i="24"/>
  <c r="AE226" i="24"/>
  <c r="AD226" i="24"/>
  <c r="AC226" i="24"/>
  <c r="AB226" i="24"/>
  <c r="AA226" i="24"/>
  <c r="Z226" i="24"/>
  <c r="Y226" i="24"/>
  <c r="X226" i="24"/>
  <c r="W226" i="24"/>
  <c r="V226" i="24"/>
  <c r="U226" i="24"/>
  <c r="T226" i="24"/>
  <c r="S226" i="24"/>
  <c r="R226" i="24"/>
  <c r="Q226" i="24"/>
  <c r="P226" i="24"/>
  <c r="O226" i="24"/>
  <c r="N226" i="24"/>
  <c r="M226" i="24"/>
  <c r="L226" i="24"/>
  <c r="K226" i="24"/>
  <c r="J226" i="24"/>
  <c r="I226" i="24"/>
  <c r="H226" i="24"/>
  <c r="BA225" i="24"/>
  <c r="AZ225" i="24"/>
  <c r="AY225" i="24"/>
  <c r="AX225" i="24"/>
  <c r="AW225" i="24"/>
  <c r="AV225" i="24"/>
  <c r="AU225" i="24"/>
  <c r="AT225" i="24"/>
  <c r="AS225" i="24"/>
  <c r="AR225" i="24"/>
  <c r="AQ225" i="24"/>
  <c r="AP225" i="24"/>
  <c r="AO225" i="24"/>
  <c r="AN225" i="24"/>
  <c r="AM225" i="24"/>
  <c r="AL225" i="24"/>
  <c r="AK225" i="24"/>
  <c r="AJ225" i="24"/>
  <c r="AI225" i="24"/>
  <c r="AH225" i="24"/>
  <c r="AG225" i="24"/>
  <c r="AF225" i="24"/>
  <c r="AE225" i="24"/>
  <c r="AD225" i="24"/>
  <c r="AC225" i="24"/>
  <c r="AB225" i="24"/>
  <c r="AA225" i="24"/>
  <c r="Z225" i="24"/>
  <c r="Y225" i="24"/>
  <c r="X225" i="24"/>
  <c r="W225" i="24"/>
  <c r="V225" i="24"/>
  <c r="U225" i="24"/>
  <c r="T225" i="24"/>
  <c r="S225" i="24"/>
  <c r="R225" i="24"/>
  <c r="Q225" i="24"/>
  <c r="P225" i="24"/>
  <c r="O225" i="24"/>
  <c r="N225" i="24"/>
  <c r="M225" i="24"/>
  <c r="L225" i="24"/>
  <c r="K225" i="24"/>
  <c r="J225" i="24"/>
  <c r="I225" i="24"/>
  <c r="H225" i="24"/>
  <c r="BA224" i="24"/>
  <c r="AZ224" i="24"/>
  <c r="AY224" i="24"/>
  <c r="AX224" i="24"/>
  <c r="AW224" i="24"/>
  <c r="AV224" i="24"/>
  <c r="AU224" i="24"/>
  <c r="AT224" i="24"/>
  <c r="AS224" i="24"/>
  <c r="AR224" i="24"/>
  <c r="AQ224" i="24"/>
  <c r="AP224" i="24"/>
  <c r="AO224" i="24"/>
  <c r="AN224" i="24"/>
  <c r="AM224" i="24"/>
  <c r="AL224" i="24"/>
  <c r="AK224" i="24"/>
  <c r="AJ224" i="24"/>
  <c r="AI224" i="24"/>
  <c r="AH224" i="24"/>
  <c r="AG224" i="24"/>
  <c r="AF224" i="24"/>
  <c r="AE224" i="24"/>
  <c r="AD224" i="24"/>
  <c r="AC224" i="24"/>
  <c r="AB224" i="24"/>
  <c r="AA224" i="24"/>
  <c r="Z224" i="24"/>
  <c r="Y224" i="24"/>
  <c r="X224" i="24"/>
  <c r="W224" i="24"/>
  <c r="V224" i="24"/>
  <c r="U224" i="24"/>
  <c r="T224" i="24"/>
  <c r="S224" i="24"/>
  <c r="R224" i="24"/>
  <c r="Q224" i="24"/>
  <c r="P224" i="24"/>
  <c r="O224" i="24"/>
  <c r="N224" i="24"/>
  <c r="M224" i="24"/>
  <c r="L224" i="24"/>
  <c r="K224" i="24"/>
  <c r="J224" i="24"/>
  <c r="I224" i="24"/>
  <c r="H224" i="24"/>
  <c r="BA223" i="24"/>
  <c r="AZ223" i="24"/>
  <c r="AY223" i="24"/>
  <c r="AX223" i="24"/>
  <c r="AW223" i="24"/>
  <c r="AV223" i="24"/>
  <c r="AU223" i="24"/>
  <c r="AT223" i="24"/>
  <c r="AS223" i="24"/>
  <c r="AR223" i="24"/>
  <c r="AQ223" i="24"/>
  <c r="AP223" i="24"/>
  <c r="AO223" i="24"/>
  <c r="AN223" i="24"/>
  <c r="AM223" i="24"/>
  <c r="AL223" i="24"/>
  <c r="AK223" i="24"/>
  <c r="AJ223" i="24"/>
  <c r="AI223" i="24"/>
  <c r="AH223" i="24"/>
  <c r="AG223" i="24"/>
  <c r="AF223" i="24"/>
  <c r="AE223" i="24"/>
  <c r="AD223" i="24"/>
  <c r="AC223" i="24"/>
  <c r="AB223" i="24"/>
  <c r="AA223" i="24"/>
  <c r="Z223" i="24"/>
  <c r="Y223" i="24"/>
  <c r="X223" i="24"/>
  <c r="W223" i="24"/>
  <c r="V223" i="24"/>
  <c r="U223" i="24"/>
  <c r="T223" i="24"/>
  <c r="S223" i="24"/>
  <c r="R223" i="24"/>
  <c r="Q223" i="24"/>
  <c r="P223" i="24"/>
  <c r="O223" i="24"/>
  <c r="N223" i="24"/>
  <c r="M223" i="24"/>
  <c r="L223" i="24"/>
  <c r="K223" i="24"/>
  <c r="J223" i="24"/>
  <c r="I223" i="24"/>
  <c r="H223" i="24"/>
  <c r="BA222" i="24"/>
  <c r="AZ222" i="24"/>
  <c r="AY222" i="24"/>
  <c r="AX222" i="24"/>
  <c r="AW222" i="24"/>
  <c r="AV222" i="24"/>
  <c r="AU222" i="24"/>
  <c r="AT222" i="24"/>
  <c r="AS222" i="24"/>
  <c r="AR222" i="24"/>
  <c r="AQ222" i="24"/>
  <c r="AP222" i="24"/>
  <c r="AO222" i="24"/>
  <c r="AN222" i="24"/>
  <c r="AM222" i="24"/>
  <c r="AL222" i="24"/>
  <c r="AK222" i="24"/>
  <c r="AJ222" i="24"/>
  <c r="AI222" i="24"/>
  <c r="AH222" i="24"/>
  <c r="AG222" i="24"/>
  <c r="AF222" i="24"/>
  <c r="AE222" i="24"/>
  <c r="AD222" i="24"/>
  <c r="AC222" i="24"/>
  <c r="AB222" i="24"/>
  <c r="AA222" i="24"/>
  <c r="Z222" i="24"/>
  <c r="Y222" i="24"/>
  <c r="X222" i="24"/>
  <c r="W222" i="24"/>
  <c r="V222" i="24"/>
  <c r="U222" i="24"/>
  <c r="T222" i="24"/>
  <c r="S222" i="24"/>
  <c r="R222" i="24"/>
  <c r="Q222" i="24"/>
  <c r="P222" i="24"/>
  <c r="O222" i="24"/>
  <c r="N222" i="24"/>
  <c r="M222" i="24"/>
  <c r="L222" i="24"/>
  <c r="K222" i="24"/>
  <c r="J222" i="24"/>
  <c r="I222" i="24"/>
  <c r="H222" i="24"/>
  <c r="BA221" i="24"/>
  <c r="AZ221" i="24"/>
  <c r="AY221" i="24"/>
  <c r="AX221" i="24"/>
  <c r="AW221" i="24"/>
  <c r="AV221" i="24"/>
  <c r="AU221" i="24"/>
  <c r="AT221" i="24"/>
  <c r="AS221" i="24"/>
  <c r="AR221" i="24"/>
  <c r="AQ221" i="24"/>
  <c r="AP221" i="24"/>
  <c r="AO221" i="24"/>
  <c r="AN221" i="24"/>
  <c r="AM221" i="24"/>
  <c r="AL221" i="24"/>
  <c r="AK221" i="24"/>
  <c r="AJ221" i="24"/>
  <c r="AI221" i="24"/>
  <c r="AH221" i="24"/>
  <c r="AG221" i="24"/>
  <c r="AF221" i="24"/>
  <c r="AE221" i="24"/>
  <c r="AD221" i="24"/>
  <c r="AC221" i="24"/>
  <c r="AB221" i="24"/>
  <c r="AA221" i="24"/>
  <c r="Z221" i="24"/>
  <c r="Y221" i="24"/>
  <c r="X221" i="24"/>
  <c r="W221" i="24"/>
  <c r="V221" i="24"/>
  <c r="U221" i="24"/>
  <c r="T221" i="24"/>
  <c r="S221" i="24"/>
  <c r="R221" i="24"/>
  <c r="Q221" i="24"/>
  <c r="P221" i="24"/>
  <c r="O221" i="24"/>
  <c r="N221" i="24"/>
  <c r="M221" i="24"/>
  <c r="L221" i="24"/>
  <c r="K221" i="24"/>
  <c r="J221" i="24"/>
  <c r="I221" i="24"/>
  <c r="H221" i="24"/>
  <c r="BA220" i="24"/>
  <c r="AZ220" i="24"/>
  <c r="AY220" i="24"/>
  <c r="AX220" i="24"/>
  <c r="AW220" i="24"/>
  <c r="AV220" i="24"/>
  <c r="AU220" i="24"/>
  <c r="AT220" i="24"/>
  <c r="AS220" i="24"/>
  <c r="AR220" i="24"/>
  <c r="AQ220" i="24"/>
  <c r="AP220" i="24"/>
  <c r="AO220" i="24"/>
  <c r="AN220" i="24"/>
  <c r="AM220" i="24"/>
  <c r="AL220" i="24"/>
  <c r="AK220" i="24"/>
  <c r="AJ220" i="24"/>
  <c r="AI220" i="24"/>
  <c r="AH220" i="24"/>
  <c r="AG220" i="24"/>
  <c r="AF220" i="24"/>
  <c r="AE220" i="24"/>
  <c r="AD220" i="24"/>
  <c r="AC220" i="24"/>
  <c r="AB220" i="24"/>
  <c r="AA220" i="24"/>
  <c r="Z220" i="24"/>
  <c r="Y220" i="24"/>
  <c r="X220" i="24"/>
  <c r="W220" i="24"/>
  <c r="V220" i="24"/>
  <c r="U220" i="24"/>
  <c r="T220" i="24"/>
  <c r="S220" i="24"/>
  <c r="R220" i="24"/>
  <c r="Q220" i="24"/>
  <c r="P220" i="24"/>
  <c r="O220" i="24"/>
  <c r="N220" i="24"/>
  <c r="M220" i="24"/>
  <c r="L220" i="24"/>
  <c r="K220" i="24"/>
  <c r="J220" i="24"/>
  <c r="I220" i="24"/>
  <c r="H220" i="24"/>
  <c r="BA219" i="24"/>
  <c r="AZ219" i="24"/>
  <c r="AY219" i="24"/>
  <c r="AX219" i="24"/>
  <c r="AW219" i="24"/>
  <c r="AV219" i="24"/>
  <c r="AU219" i="24"/>
  <c r="AT219" i="24"/>
  <c r="AS219" i="24"/>
  <c r="AR219" i="24"/>
  <c r="AQ219" i="24"/>
  <c r="AP219" i="24"/>
  <c r="AO219" i="24"/>
  <c r="AN219" i="24"/>
  <c r="AM219" i="24"/>
  <c r="AL219" i="24"/>
  <c r="AK219" i="24"/>
  <c r="AJ219" i="24"/>
  <c r="AI219" i="24"/>
  <c r="AH219" i="24"/>
  <c r="AG219" i="24"/>
  <c r="AF219" i="24"/>
  <c r="AE219" i="24"/>
  <c r="AD219" i="24"/>
  <c r="AC219" i="24"/>
  <c r="AB219" i="24"/>
  <c r="AA219" i="24"/>
  <c r="Z219" i="24"/>
  <c r="Y219" i="24"/>
  <c r="X219" i="24"/>
  <c r="W219" i="24"/>
  <c r="V219" i="24"/>
  <c r="U219" i="24"/>
  <c r="T219" i="24"/>
  <c r="S219" i="24"/>
  <c r="R219" i="24"/>
  <c r="Q219" i="24"/>
  <c r="P219" i="24"/>
  <c r="O219" i="24"/>
  <c r="N219" i="24"/>
  <c r="M219" i="24"/>
  <c r="L219" i="24"/>
  <c r="K219" i="24"/>
  <c r="J219" i="24"/>
  <c r="I219" i="24"/>
  <c r="H219" i="24"/>
  <c r="BA218" i="24"/>
  <c r="AZ218" i="24"/>
  <c r="AY218" i="24"/>
  <c r="AX218" i="24"/>
  <c r="AW218" i="24"/>
  <c r="AV218" i="24"/>
  <c r="AU218" i="24"/>
  <c r="AT218" i="24"/>
  <c r="AS218" i="24"/>
  <c r="AR218" i="24"/>
  <c r="AQ218" i="24"/>
  <c r="AP218" i="24"/>
  <c r="AO218" i="24"/>
  <c r="AN218" i="24"/>
  <c r="AM218" i="24"/>
  <c r="AL218" i="24"/>
  <c r="AK218" i="24"/>
  <c r="AJ218" i="24"/>
  <c r="AI218" i="24"/>
  <c r="AH218" i="24"/>
  <c r="AG218" i="24"/>
  <c r="AF218" i="24"/>
  <c r="AE218" i="24"/>
  <c r="AD218" i="24"/>
  <c r="AC218" i="24"/>
  <c r="AB218" i="24"/>
  <c r="AA218" i="24"/>
  <c r="Z218" i="24"/>
  <c r="Y218" i="24"/>
  <c r="X218" i="24"/>
  <c r="W218" i="24"/>
  <c r="V218" i="24"/>
  <c r="U218" i="24"/>
  <c r="T218" i="24"/>
  <c r="S218" i="24"/>
  <c r="R218" i="24"/>
  <c r="Q218" i="24"/>
  <c r="P218" i="24"/>
  <c r="O218" i="24"/>
  <c r="N218" i="24"/>
  <c r="M218" i="24"/>
  <c r="L218" i="24"/>
  <c r="K218" i="24"/>
  <c r="J218" i="24"/>
  <c r="I218" i="24"/>
  <c r="H218" i="24"/>
  <c r="BA217" i="24"/>
  <c r="AZ217" i="24"/>
  <c r="AY217" i="24"/>
  <c r="AX217" i="24"/>
  <c r="AW217" i="24"/>
  <c r="AV217" i="24"/>
  <c r="AU217" i="24"/>
  <c r="AT217" i="24"/>
  <c r="AS217" i="24"/>
  <c r="AR217" i="24"/>
  <c r="AQ217" i="24"/>
  <c r="AP217" i="24"/>
  <c r="AO217" i="24"/>
  <c r="AN217" i="24"/>
  <c r="AM217" i="24"/>
  <c r="AL217" i="24"/>
  <c r="AK217" i="24"/>
  <c r="AJ217" i="24"/>
  <c r="AI217" i="24"/>
  <c r="AH217" i="24"/>
  <c r="AG217" i="24"/>
  <c r="AF217" i="24"/>
  <c r="AE217" i="24"/>
  <c r="AD217" i="24"/>
  <c r="AC217" i="24"/>
  <c r="AB217" i="24"/>
  <c r="AA217" i="24"/>
  <c r="Z217" i="24"/>
  <c r="Y217" i="24"/>
  <c r="X217" i="24"/>
  <c r="W217" i="24"/>
  <c r="V217" i="24"/>
  <c r="U217" i="24"/>
  <c r="T217" i="24"/>
  <c r="S217" i="24"/>
  <c r="R217" i="24"/>
  <c r="Q217" i="24"/>
  <c r="P217" i="24"/>
  <c r="O217" i="24"/>
  <c r="N217" i="24"/>
  <c r="M217" i="24"/>
  <c r="L217" i="24"/>
  <c r="K217" i="24"/>
  <c r="J217" i="24"/>
  <c r="I217" i="24"/>
  <c r="H217" i="24"/>
  <c r="BA216" i="24"/>
  <c r="AZ216" i="24"/>
  <c r="AY216" i="24"/>
  <c r="AX216" i="24"/>
  <c r="AW216" i="24"/>
  <c r="AV216" i="24"/>
  <c r="AU216" i="24"/>
  <c r="AT216" i="24"/>
  <c r="AS216" i="24"/>
  <c r="AR216" i="24"/>
  <c r="AQ216" i="24"/>
  <c r="AP216" i="24"/>
  <c r="AO216" i="24"/>
  <c r="AN216" i="24"/>
  <c r="AM216" i="24"/>
  <c r="AL216" i="24"/>
  <c r="AK216" i="24"/>
  <c r="AJ216" i="24"/>
  <c r="AI216" i="24"/>
  <c r="AH216" i="24"/>
  <c r="AG216" i="24"/>
  <c r="AF216" i="24"/>
  <c r="AE216" i="24"/>
  <c r="AD216" i="24"/>
  <c r="AC216" i="24"/>
  <c r="AB216" i="24"/>
  <c r="AA216" i="24"/>
  <c r="Z216" i="24"/>
  <c r="Y216" i="24"/>
  <c r="X216" i="24"/>
  <c r="W216" i="24"/>
  <c r="V216" i="24"/>
  <c r="U216" i="24"/>
  <c r="T216" i="24"/>
  <c r="S216" i="24"/>
  <c r="R216" i="24"/>
  <c r="Q216" i="24"/>
  <c r="P216" i="24"/>
  <c r="O216" i="24"/>
  <c r="N216" i="24"/>
  <c r="M216" i="24"/>
  <c r="L216" i="24"/>
  <c r="K216" i="24"/>
  <c r="J216" i="24"/>
  <c r="I216" i="24"/>
  <c r="H216" i="24"/>
  <c r="BA215" i="24"/>
  <c r="AZ215" i="24"/>
  <c r="AY215" i="24"/>
  <c r="AX215" i="24"/>
  <c r="AW215" i="24"/>
  <c r="AV215" i="24"/>
  <c r="AU215" i="24"/>
  <c r="AT215" i="24"/>
  <c r="AS215" i="24"/>
  <c r="AR215" i="24"/>
  <c r="AQ215" i="24"/>
  <c r="AP215" i="24"/>
  <c r="AO215" i="24"/>
  <c r="AN215" i="24"/>
  <c r="AM215" i="24"/>
  <c r="AL215" i="24"/>
  <c r="AK215" i="24"/>
  <c r="AJ215" i="24"/>
  <c r="AI215" i="24"/>
  <c r="AH215" i="24"/>
  <c r="AG215" i="24"/>
  <c r="AF215" i="24"/>
  <c r="AE215" i="24"/>
  <c r="AD215" i="24"/>
  <c r="AC215" i="24"/>
  <c r="AB215" i="24"/>
  <c r="AA215" i="24"/>
  <c r="Z215" i="24"/>
  <c r="Y215" i="24"/>
  <c r="X215" i="24"/>
  <c r="W215" i="24"/>
  <c r="V215" i="24"/>
  <c r="U215" i="24"/>
  <c r="T215" i="24"/>
  <c r="S215" i="24"/>
  <c r="R215" i="24"/>
  <c r="Q215" i="24"/>
  <c r="P215" i="24"/>
  <c r="O215" i="24"/>
  <c r="N215" i="24"/>
  <c r="M215" i="24"/>
  <c r="L215" i="24"/>
  <c r="K215" i="24"/>
  <c r="J215" i="24"/>
  <c r="I215" i="24"/>
  <c r="H215" i="24"/>
  <c r="BA214" i="24"/>
  <c r="AZ214" i="24"/>
  <c r="AY214" i="24"/>
  <c r="AX214" i="24"/>
  <c r="AW214" i="24"/>
  <c r="AV214" i="24"/>
  <c r="AU214" i="24"/>
  <c r="AT214" i="24"/>
  <c r="AS214" i="24"/>
  <c r="AR214" i="24"/>
  <c r="AQ214" i="24"/>
  <c r="AP214" i="24"/>
  <c r="AO214" i="24"/>
  <c r="AN214" i="24"/>
  <c r="AM214" i="24"/>
  <c r="AL214" i="24"/>
  <c r="AK214" i="24"/>
  <c r="AJ214" i="24"/>
  <c r="AI214" i="24"/>
  <c r="AH214" i="24"/>
  <c r="AG214" i="24"/>
  <c r="AF214" i="24"/>
  <c r="AE214" i="24"/>
  <c r="AD214" i="24"/>
  <c r="AC214" i="24"/>
  <c r="AB214" i="24"/>
  <c r="AA214" i="24"/>
  <c r="Z214" i="24"/>
  <c r="Y214" i="24"/>
  <c r="X214" i="24"/>
  <c r="W214" i="24"/>
  <c r="V214" i="24"/>
  <c r="U214" i="24"/>
  <c r="T214" i="24"/>
  <c r="S214" i="24"/>
  <c r="R214" i="24"/>
  <c r="Q214" i="24"/>
  <c r="P214" i="24"/>
  <c r="O214" i="24"/>
  <c r="N214" i="24"/>
  <c r="M214" i="24"/>
  <c r="L214" i="24"/>
  <c r="K214" i="24"/>
  <c r="J214" i="24"/>
  <c r="I214" i="24"/>
  <c r="H214" i="24"/>
  <c r="BA213" i="24"/>
  <c r="AZ213" i="24"/>
  <c r="AY213" i="24"/>
  <c r="AX213" i="24"/>
  <c r="AW213" i="24"/>
  <c r="AV213" i="24"/>
  <c r="AU213" i="24"/>
  <c r="AT213" i="24"/>
  <c r="AS213" i="24"/>
  <c r="AR213" i="24"/>
  <c r="AQ213" i="24"/>
  <c r="AP213" i="24"/>
  <c r="AO213" i="24"/>
  <c r="AN213" i="24"/>
  <c r="AM213" i="24"/>
  <c r="AL213" i="24"/>
  <c r="AK213" i="24"/>
  <c r="AJ213" i="24"/>
  <c r="AI213" i="24"/>
  <c r="AH213" i="24"/>
  <c r="AG213" i="24"/>
  <c r="AF213" i="24"/>
  <c r="AE213" i="24"/>
  <c r="AD213" i="24"/>
  <c r="AC213" i="24"/>
  <c r="AB213" i="24"/>
  <c r="AA213" i="24"/>
  <c r="Z213" i="24"/>
  <c r="Y213" i="24"/>
  <c r="X213" i="24"/>
  <c r="W213" i="24"/>
  <c r="V213" i="24"/>
  <c r="U213" i="24"/>
  <c r="T213" i="24"/>
  <c r="S213" i="24"/>
  <c r="R213" i="24"/>
  <c r="Q213" i="24"/>
  <c r="P213" i="24"/>
  <c r="O213" i="24"/>
  <c r="N213" i="24"/>
  <c r="M213" i="24"/>
  <c r="L213" i="24"/>
  <c r="K213" i="24"/>
  <c r="J213" i="24"/>
  <c r="I213" i="24"/>
  <c r="H213" i="24"/>
  <c r="BA212" i="24"/>
  <c r="AZ212" i="24"/>
  <c r="AY212" i="24"/>
  <c r="AX212" i="24"/>
  <c r="AW212" i="24"/>
  <c r="AV212" i="24"/>
  <c r="AU212" i="24"/>
  <c r="AT212" i="24"/>
  <c r="AS212" i="24"/>
  <c r="AR212" i="24"/>
  <c r="AQ212" i="24"/>
  <c r="AP212" i="24"/>
  <c r="AO212" i="24"/>
  <c r="AN212" i="24"/>
  <c r="AM212" i="24"/>
  <c r="AL212" i="24"/>
  <c r="AK212" i="24"/>
  <c r="AJ212" i="24"/>
  <c r="AI212" i="24"/>
  <c r="AH212" i="24"/>
  <c r="AG212" i="24"/>
  <c r="AF212" i="24"/>
  <c r="AE212" i="24"/>
  <c r="AD212" i="24"/>
  <c r="AC212" i="24"/>
  <c r="AB212" i="24"/>
  <c r="AA212" i="24"/>
  <c r="Z212" i="24"/>
  <c r="Y212" i="24"/>
  <c r="X212" i="24"/>
  <c r="W212" i="24"/>
  <c r="V212" i="24"/>
  <c r="U212" i="24"/>
  <c r="T212" i="24"/>
  <c r="S212" i="24"/>
  <c r="R212" i="24"/>
  <c r="Q212" i="24"/>
  <c r="P212" i="24"/>
  <c r="O212" i="24"/>
  <c r="N212" i="24"/>
  <c r="M212" i="24"/>
  <c r="L212" i="24"/>
  <c r="K212" i="24"/>
  <c r="J212" i="24"/>
  <c r="I212" i="24"/>
  <c r="H212" i="24"/>
  <c r="BA211" i="24"/>
  <c r="AZ211" i="24"/>
  <c r="AY211" i="24"/>
  <c r="AX211" i="24"/>
  <c r="AW211" i="24"/>
  <c r="AV211" i="24"/>
  <c r="AU211" i="24"/>
  <c r="AT211" i="24"/>
  <c r="AS211" i="24"/>
  <c r="AR211" i="24"/>
  <c r="AQ211" i="24"/>
  <c r="AP211" i="24"/>
  <c r="AO211" i="24"/>
  <c r="AN211" i="24"/>
  <c r="AM211" i="24"/>
  <c r="AL211" i="24"/>
  <c r="AK211" i="24"/>
  <c r="AJ211" i="24"/>
  <c r="AI211" i="24"/>
  <c r="AH211" i="24"/>
  <c r="AG211" i="24"/>
  <c r="AF211" i="24"/>
  <c r="AE211" i="24"/>
  <c r="AD211" i="24"/>
  <c r="AC211" i="24"/>
  <c r="AB211" i="24"/>
  <c r="AA211" i="24"/>
  <c r="Z211" i="24"/>
  <c r="Y211" i="24"/>
  <c r="X211" i="24"/>
  <c r="W211" i="24"/>
  <c r="V211" i="24"/>
  <c r="U211" i="24"/>
  <c r="T211" i="24"/>
  <c r="S211" i="24"/>
  <c r="R211" i="24"/>
  <c r="Q211" i="24"/>
  <c r="P211" i="24"/>
  <c r="O211" i="24"/>
  <c r="N211" i="24"/>
  <c r="M211" i="24"/>
  <c r="L211" i="24"/>
  <c r="K211" i="24"/>
  <c r="J211" i="24"/>
  <c r="I211" i="24"/>
  <c r="H211" i="24"/>
  <c r="BA210" i="24"/>
  <c r="AZ210" i="24"/>
  <c r="AY210" i="24"/>
  <c r="AX210" i="24"/>
  <c r="AW210" i="24"/>
  <c r="AV210" i="24"/>
  <c r="AU210" i="24"/>
  <c r="AT210" i="24"/>
  <c r="AS210" i="24"/>
  <c r="AR210" i="24"/>
  <c r="AQ210" i="24"/>
  <c r="AP210" i="24"/>
  <c r="AO210" i="24"/>
  <c r="AN210" i="24"/>
  <c r="AM210" i="24"/>
  <c r="AL210" i="24"/>
  <c r="AK210" i="24"/>
  <c r="AJ210" i="24"/>
  <c r="AI210" i="24"/>
  <c r="AH210" i="24"/>
  <c r="AG210" i="24"/>
  <c r="AF210" i="24"/>
  <c r="AE210" i="24"/>
  <c r="AD210" i="24"/>
  <c r="AC210" i="24"/>
  <c r="AB210" i="24"/>
  <c r="AA210" i="24"/>
  <c r="Z210" i="24"/>
  <c r="Y210" i="24"/>
  <c r="X210" i="24"/>
  <c r="W210" i="24"/>
  <c r="V210" i="24"/>
  <c r="U210" i="24"/>
  <c r="T210" i="24"/>
  <c r="S210" i="24"/>
  <c r="R210" i="24"/>
  <c r="Q210" i="24"/>
  <c r="P210" i="24"/>
  <c r="O210" i="24"/>
  <c r="N210" i="24"/>
  <c r="M210" i="24"/>
  <c r="L210" i="24"/>
  <c r="K210" i="24"/>
  <c r="J210" i="24"/>
  <c r="I210" i="24"/>
  <c r="H210" i="24"/>
  <c r="BA209" i="24"/>
  <c r="AZ209" i="24"/>
  <c r="AY209" i="24"/>
  <c r="AX209" i="24"/>
  <c r="AW209" i="24"/>
  <c r="AV209" i="24"/>
  <c r="AU209" i="24"/>
  <c r="AT209" i="24"/>
  <c r="AS209" i="24"/>
  <c r="AR209" i="24"/>
  <c r="AQ209" i="24"/>
  <c r="AP209" i="24"/>
  <c r="AO209" i="24"/>
  <c r="AN209" i="24"/>
  <c r="AM209" i="24"/>
  <c r="AL209" i="24"/>
  <c r="AK209" i="24"/>
  <c r="AJ209" i="24"/>
  <c r="AI209" i="24"/>
  <c r="AH209" i="24"/>
  <c r="AG209" i="24"/>
  <c r="AF209" i="24"/>
  <c r="AE209" i="24"/>
  <c r="AD209" i="24"/>
  <c r="AC209" i="24"/>
  <c r="AB209" i="24"/>
  <c r="AA209" i="24"/>
  <c r="Z209" i="24"/>
  <c r="Y209" i="24"/>
  <c r="X209" i="24"/>
  <c r="W209" i="24"/>
  <c r="V209" i="24"/>
  <c r="U209" i="24"/>
  <c r="T209" i="24"/>
  <c r="S209" i="24"/>
  <c r="R209" i="24"/>
  <c r="Q209" i="24"/>
  <c r="P209" i="24"/>
  <c r="O209" i="24"/>
  <c r="N209" i="24"/>
  <c r="M209" i="24"/>
  <c r="L209" i="24"/>
  <c r="K209" i="24"/>
  <c r="J209" i="24"/>
  <c r="I209" i="24"/>
  <c r="H209" i="24"/>
  <c r="BA208" i="24"/>
  <c r="AZ208" i="24"/>
  <c r="AY208" i="24"/>
  <c r="AX208" i="24"/>
  <c r="AW208" i="24"/>
  <c r="AV208" i="24"/>
  <c r="AU208" i="24"/>
  <c r="AT208" i="24"/>
  <c r="AS208" i="24"/>
  <c r="AR208" i="24"/>
  <c r="AQ208" i="24"/>
  <c r="AP208" i="24"/>
  <c r="AO208" i="24"/>
  <c r="AN208" i="24"/>
  <c r="AM208" i="24"/>
  <c r="AL208" i="24"/>
  <c r="AK208" i="24"/>
  <c r="AJ208" i="24"/>
  <c r="AI208" i="24"/>
  <c r="AH208" i="24"/>
  <c r="AG208" i="24"/>
  <c r="AF208" i="24"/>
  <c r="AE208" i="24"/>
  <c r="AD208" i="24"/>
  <c r="AC208" i="24"/>
  <c r="AB208" i="24"/>
  <c r="AA208" i="24"/>
  <c r="Z208" i="24"/>
  <c r="Y208" i="24"/>
  <c r="X208" i="24"/>
  <c r="W208" i="24"/>
  <c r="V208" i="24"/>
  <c r="U208" i="24"/>
  <c r="T208" i="24"/>
  <c r="S208" i="24"/>
  <c r="R208" i="24"/>
  <c r="Q208" i="24"/>
  <c r="P208" i="24"/>
  <c r="O208" i="24"/>
  <c r="N208" i="24"/>
  <c r="M208" i="24"/>
  <c r="L208" i="24"/>
  <c r="K208" i="24"/>
  <c r="J208" i="24"/>
  <c r="I208" i="24"/>
  <c r="H208" i="24"/>
  <c r="BC509" i="24"/>
  <c r="BA207" i="24"/>
  <c r="AZ207" i="24"/>
  <c r="AY207" i="24"/>
  <c r="AX207" i="24"/>
  <c r="AW207" i="24"/>
  <c r="AV207" i="24"/>
  <c r="AU207" i="24"/>
  <c r="AT207" i="24"/>
  <c r="AS207" i="24"/>
  <c r="AR207" i="24"/>
  <c r="AQ207" i="24"/>
  <c r="AP207" i="24"/>
  <c r="AO207" i="24"/>
  <c r="AN207" i="24"/>
  <c r="AM207" i="24"/>
  <c r="AL207" i="24"/>
  <c r="AK207" i="24"/>
  <c r="AJ207" i="24"/>
  <c r="AI207" i="24"/>
  <c r="AH207" i="24"/>
  <c r="AG207" i="24"/>
  <c r="AF207" i="24"/>
  <c r="AE207" i="24"/>
  <c r="AD207" i="24"/>
  <c r="AC207" i="24"/>
  <c r="AB207" i="24"/>
  <c r="AA207" i="24"/>
  <c r="Z207" i="24"/>
  <c r="Y207" i="24"/>
  <c r="X207" i="24"/>
  <c r="W207" i="24"/>
  <c r="V207" i="24"/>
  <c r="U207" i="24"/>
  <c r="T207" i="24"/>
  <c r="S207" i="24"/>
  <c r="R207" i="24"/>
  <c r="Q207" i="24"/>
  <c r="P207" i="24"/>
  <c r="O207" i="24"/>
  <c r="N207" i="24"/>
  <c r="M207" i="24"/>
  <c r="L207" i="24"/>
  <c r="K207" i="24"/>
  <c r="J207" i="24"/>
  <c r="I207" i="24"/>
  <c r="H207" i="24"/>
  <c r="BA206" i="24"/>
  <c r="AZ206" i="24"/>
  <c r="AY206" i="24"/>
  <c r="AX206" i="24"/>
  <c r="AW206" i="24"/>
  <c r="AV206" i="24"/>
  <c r="AU206" i="24"/>
  <c r="AT206" i="24"/>
  <c r="AS206" i="24"/>
  <c r="AR206" i="24"/>
  <c r="AQ206" i="24"/>
  <c r="AP206" i="24"/>
  <c r="AO206" i="24"/>
  <c r="AN206" i="24"/>
  <c r="AM206" i="24"/>
  <c r="AL206" i="24"/>
  <c r="AK206" i="24"/>
  <c r="AJ206" i="24"/>
  <c r="AI206" i="24"/>
  <c r="AH206" i="24"/>
  <c r="AG206" i="24"/>
  <c r="AF206" i="24"/>
  <c r="AE206" i="24"/>
  <c r="AD206" i="24"/>
  <c r="AC206" i="24"/>
  <c r="AB206" i="24"/>
  <c r="AA206" i="24"/>
  <c r="Z206" i="24"/>
  <c r="Y206" i="24"/>
  <c r="X206" i="24"/>
  <c r="W206" i="24"/>
  <c r="V206" i="24"/>
  <c r="U206" i="24"/>
  <c r="T206" i="24"/>
  <c r="S206" i="24"/>
  <c r="R206" i="24"/>
  <c r="Q206" i="24"/>
  <c r="P206" i="24"/>
  <c r="O206" i="24"/>
  <c r="N206" i="24"/>
  <c r="M206" i="24"/>
  <c r="L206" i="24"/>
  <c r="K206" i="24"/>
  <c r="J206" i="24"/>
  <c r="I206" i="24"/>
  <c r="H206" i="24"/>
  <c r="BA205" i="24"/>
  <c r="AZ205" i="24"/>
  <c r="AY205" i="24"/>
  <c r="AX205" i="24"/>
  <c r="AW205" i="24"/>
  <c r="AV205" i="24"/>
  <c r="AU205" i="24"/>
  <c r="AT205" i="24"/>
  <c r="AS205" i="24"/>
  <c r="AR205" i="24"/>
  <c r="AQ205" i="24"/>
  <c r="AP205" i="24"/>
  <c r="AO205" i="24"/>
  <c r="AN205" i="24"/>
  <c r="AM205" i="24"/>
  <c r="AL205" i="24"/>
  <c r="AK205" i="24"/>
  <c r="AJ205" i="24"/>
  <c r="AI205" i="24"/>
  <c r="AH205" i="24"/>
  <c r="AG205" i="24"/>
  <c r="AF205" i="24"/>
  <c r="AE205" i="24"/>
  <c r="AD205" i="24"/>
  <c r="AC205" i="24"/>
  <c r="AB205" i="24"/>
  <c r="AA205" i="24"/>
  <c r="Z205" i="24"/>
  <c r="Y205" i="24"/>
  <c r="X205" i="24"/>
  <c r="W205" i="24"/>
  <c r="V205" i="24"/>
  <c r="U205" i="24"/>
  <c r="T205" i="24"/>
  <c r="S205" i="24"/>
  <c r="R205" i="24"/>
  <c r="Q205" i="24"/>
  <c r="P205" i="24"/>
  <c r="O205" i="24"/>
  <c r="N205" i="24"/>
  <c r="M205" i="24"/>
  <c r="L205" i="24"/>
  <c r="K205" i="24"/>
  <c r="J205" i="24"/>
  <c r="I205" i="24"/>
  <c r="H205" i="24"/>
  <c r="BA204" i="24"/>
  <c r="AZ204" i="24"/>
  <c r="AY204" i="24"/>
  <c r="AX204" i="24"/>
  <c r="AW204" i="24"/>
  <c r="AV204" i="24"/>
  <c r="AU204" i="24"/>
  <c r="AT204" i="24"/>
  <c r="AS204" i="24"/>
  <c r="AR204" i="24"/>
  <c r="AQ204" i="24"/>
  <c r="AP204" i="24"/>
  <c r="AO204" i="24"/>
  <c r="AN204" i="24"/>
  <c r="AM204" i="24"/>
  <c r="AL204" i="24"/>
  <c r="AK204" i="24"/>
  <c r="AJ204" i="24"/>
  <c r="AI204" i="24"/>
  <c r="AH204" i="24"/>
  <c r="AG204" i="24"/>
  <c r="AF204" i="24"/>
  <c r="AE204" i="24"/>
  <c r="AD204" i="24"/>
  <c r="AC204" i="24"/>
  <c r="AB204" i="24"/>
  <c r="AA204" i="24"/>
  <c r="Z204" i="24"/>
  <c r="Y204" i="24"/>
  <c r="X204" i="24"/>
  <c r="W204" i="24"/>
  <c r="V204" i="24"/>
  <c r="U204" i="24"/>
  <c r="T204" i="24"/>
  <c r="S204" i="24"/>
  <c r="R204" i="24"/>
  <c r="Q204" i="24"/>
  <c r="P204" i="24"/>
  <c r="O204" i="24"/>
  <c r="N204" i="24"/>
  <c r="M204" i="24"/>
  <c r="L204" i="24"/>
  <c r="K204" i="24"/>
  <c r="J204" i="24"/>
  <c r="I204" i="24"/>
  <c r="H204" i="24"/>
  <c r="BA203" i="24"/>
  <c r="AZ203" i="24"/>
  <c r="AY203" i="24"/>
  <c r="AX203" i="24"/>
  <c r="AW203" i="24"/>
  <c r="AV203" i="24"/>
  <c r="AU203" i="24"/>
  <c r="AT203" i="24"/>
  <c r="AS203" i="24"/>
  <c r="AR203" i="24"/>
  <c r="AQ203" i="24"/>
  <c r="AP203" i="24"/>
  <c r="AO203" i="24"/>
  <c r="AN203" i="24"/>
  <c r="AM203" i="24"/>
  <c r="AL203" i="24"/>
  <c r="AK203" i="24"/>
  <c r="AJ203" i="24"/>
  <c r="AI203" i="24"/>
  <c r="AH203" i="24"/>
  <c r="AG203" i="24"/>
  <c r="AF203" i="24"/>
  <c r="AE203" i="24"/>
  <c r="AD203" i="24"/>
  <c r="AC203" i="24"/>
  <c r="AB203" i="24"/>
  <c r="AA203" i="24"/>
  <c r="Z203" i="24"/>
  <c r="Y203" i="24"/>
  <c r="X203" i="24"/>
  <c r="W203" i="24"/>
  <c r="V203" i="24"/>
  <c r="U203" i="24"/>
  <c r="T203" i="24"/>
  <c r="S203" i="24"/>
  <c r="R203" i="24"/>
  <c r="Q203" i="24"/>
  <c r="P203" i="24"/>
  <c r="O203" i="24"/>
  <c r="N203" i="24"/>
  <c r="M203" i="24"/>
  <c r="L203" i="24"/>
  <c r="K203" i="24"/>
  <c r="J203" i="24"/>
  <c r="I203" i="24"/>
  <c r="H203" i="24"/>
  <c r="BA202" i="24"/>
  <c r="AZ202" i="24"/>
  <c r="AY202" i="24"/>
  <c r="AX202" i="24"/>
  <c r="AW202" i="24"/>
  <c r="AV202" i="24"/>
  <c r="AU202" i="24"/>
  <c r="AT202" i="24"/>
  <c r="AS202" i="24"/>
  <c r="AR202" i="24"/>
  <c r="AQ202" i="24"/>
  <c r="AP202" i="24"/>
  <c r="AO202" i="24"/>
  <c r="AN202" i="24"/>
  <c r="AM202" i="24"/>
  <c r="AL202" i="24"/>
  <c r="AK202" i="24"/>
  <c r="AJ202" i="24"/>
  <c r="AI202" i="24"/>
  <c r="AH202" i="24"/>
  <c r="AG202" i="24"/>
  <c r="AF202" i="24"/>
  <c r="AE202" i="24"/>
  <c r="AD202" i="24"/>
  <c r="AC202" i="24"/>
  <c r="AB202" i="24"/>
  <c r="AA202" i="24"/>
  <c r="Z202" i="24"/>
  <c r="Y202" i="24"/>
  <c r="X202" i="24"/>
  <c r="W202" i="24"/>
  <c r="V202" i="24"/>
  <c r="U202" i="24"/>
  <c r="T202" i="24"/>
  <c r="S202" i="24"/>
  <c r="R202" i="24"/>
  <c r="Q202" i="24"/>
  <c r="P202" i="24"/>
  <c r="O202" i="24"/>
  <c r="N202" i="24"/>
  <c r="M202" i="24"/>
  <c r="L202" i="24"/>
  <c r="K202" i="24"/>
  <c r="J202" i="24"/>
  <c r="I202" i="24"/>
  <c r="H202" i="24"/>
  <c r="BA201" i="24"/>
  <c r="AZ201" i="24"/>
  <c r="AY201" i="24"/>
  <c r="AX201" i="24"/>
  <c r="AW201" i="24"/>
  <c r="AV201" i="24"/>
  <c r="AU201" i="24"/>
  <c r="AT201" i="24"/>
  <c r="AS201" i="24"/>
  <c r="AR201" i="24"/>
  <c r="AQ201" i="24"/>
  <c r="AP201" i="24"/>
  <c r="AO201" i="24"/>
  <c r="AN201" i="24"/>
  <c r="AM201" i="24"/>
  <c r="AL201" i="24"/>
  <c r="AK201" i="24"/>
  <c r="AJ201" i="24"/>
  <c r="AI201" i="24"/>
  <c r="AH201" i="24"/>
  <c r="AG201" i="24"/>
  <c r="AF201" i="24"/>
  <c r="AE201" i="24"/>
  <c r="AD201" i="24"/>
  <c r="AC201" i="24"/>
  <c r="AB201" i="24"/>
  <c r="AA201" i="24"/>
  <c r="Z201" i="24"/>
  <c r="Y201" i="24"/>
  <c r="X201" i="24"/>
  <c r="W201" i="24"/>
  <c r="V201" i="24"/>
  <c r="U201" i="24"/>
  <c r="T201" i="24"/>
  <c r="S201" i="24"/>
  <c r="R201" i="24"/>
  <c r="Q201" i="24"/>
  <c r="P201" i="24"/>
  <c r="O201" i="24"/>
  <c r="N201" i="24"/>
  <c r="M201" i="24"/>
  <c r="L201" i="24"/>
  <c r="K201" i="24"/>
  <c r="J201" i="24"/>
  <c r="I201" i="24"/>
  <c r="H201" i="24"/>
  <c r="BA200" i="24"/>
  <c r="AZ200" i="24"/>
  <c r="AY200" i="24"/>
  <c r="AX200" i="24"/>
  <c r="AW200" i="24"/>
  <c r="AV200" i="24"/>
  <c r="AU200" i="24"/>
  <c r="AT200" i="24"/>
  <c r="AS200" i="24"/>
  <c r="AR200" i="24"/>
  <c r="AQ200" i="24"/>
  <c r="AP200" i="24"/>
  <c r="AO200" i="24"/>
  <c r="AN200" i="24"/>
  <c r="AM200" i="24"/>
  <c r="AL200" i="24"/>
  <c r="AK200" i="24"/>
  <c r="AJ200" i="24"/>
  <c r="AI200" i="24"/>
  <c r="AH200" i="24"/>
  <c r="AG200" i="24"/>
  <c r="AF200" i="24"/>
  <c r="AE200" i="24"/>
  <c r="AD200" i="24"/>
  <c r="AC200" i="24"/>
  <c r="AB200" i="24"/>
  <c r="AA200" i="24"/>
  <c r="Z200" i="24"/>
  <c r="Y200" i="24"/>
  <c r="X200" i="24"/>
  <c r="W200" i="24"/>
  <c r="V200" i="24"/>
  <c r="U200" i="24"/>
  <c r="T200" i="24"/>
  <c r="S200" i="24"/>
  <c r="R200" i="24"/>
  <c r="Q200" i="24"/>
  <c r="P200" i="24"/>
  <c r="O200" i="24"/>
  <c r="N200" i="24"/>
  <c r="M200" i="24"/>
  <c r="L200" i="24"/>
  <c r="K200" i="24"/>
  <c r="J200" i="24"/>
  <c r="I200" i="24"/>
  <c r="H200" i="24"/>
  <c r="BA199" i="24"/>
  <c r="AZ199" i="24"/>
  <c r="AY199" i="24"/>
  <c r="AX199" i="24"/>
  <c r="AW199" i="24"/>
  <c r="AV199" i="24"/>
  <c r="AU199" i="24"/>
  <c r="AT199" i="24"/>
  <c r="AS199" i="24"/>
  <c r="AR199" i="24"/>
  <c r="AQ199" i="24"/>
  <c r="AP199" i="24"/>
  <c r="AO199" i="24"/>
  <c r="AN199" i="24"/>
  <c r="AM199" i="24"/>
  <c r="AL199" i="24"/>
  <c r="AK199" i="24"/>
  <c r="AJ199" i="24"/>
  <c r="AI199" i="24"/>
  <c r="AH199" i="24"/>
  <c r="AG199" i="24"/>
  <c r="AF199" i="24"/>
  <c r="AE199" i="24"/>
  <c r="AD199" i="24"/>
  <c r="AC199" i="24"/>
  <c r="AB199" i="24"/>
  <c r="AA199" i="24"/>
  <c r="Z199" i="24"/>
  <c r="Y199" i="24"/>
  <c r="X199" i="24"/>
  <c r="W199" i="24"/>
  <c r="V199" i="24"/>
  <c r="U199" i="24"/>
  <c r="T199" i="24"/>
  <c r="S199" i="24"/>
  <c r="R199" i="24"/>
  <c r="Q199" i="24"/>
  <c r="P199" i="24"/>
  <c r="O199" i="24"/>
  <c r="N199" i="24"/>
  <c r="M199" i="24"/>
  <c r="L199" i="24"/>
  <c r="K199" i="24"/>
  <c r="J199" i="24"/>
  <c r="I199" i="24"/>
  <c r="H199" i="24"/>
  <c r="BA198" i="24"/>
  <c r="AZ198" i="24"/>
  <c r="AY198" i="24"/>
  <c r="AX198" i="24"/>
  <c r="AW198" i="24"/>
  <c r="AV198" i="24"/>
  <c r="AU198" i="24"/>
  <c r="AT198" i="24"/>
  <c r="AS198" i="24"/>
  <c r="AR198" i="24"/>
  <c r="AQ198" i="24"/>
  <c r="AP198" i="24"/>
  <c r="AO198" i="24"/>
  <c r="AN198" i="24"/>
  <c r="AM198" i="24"/>
  <c r="AL198" i="24"/>
  <c r="AK198" i="24"/>
  <c r="AJ198" i="24"/>
  <c r="AI198" i="24"/>
  <c r="AH198" i="24"/>
  <c r="AG198" i="24"/>
  <c r="AF198" i="24"/>
  <c r="AE198" i="24"/>
  <c r="AD198" i="24"/>
  <c r="AC198" i="24"/>
  <c r="AB198" i="24"/>
  <c r="AA198" i="24"/>
  <c r="Z198" i="24"/>
  <c r="Y198" i="24"/>
  <c r="X198" i="24"/>
  <c r="W198" i="24"/>
  <c r="V198" i="24"/>
  <c r="U198" i="24"/>
  <c r="T198" i="24"/>
  <c r="S198" i="24"/>
  <c r="R198" i="24"/>
  <c r="Q198" i="24"/>
  <c r="P198" i="24"/>
  <c r="O198" i="24"/>
  <c r="N198" i="24"/>
  <c r="M198" i="24"/>
  <c r="L198" i="24"/>
  <c r="K198" i="24"/>
  <c r="J198" i="24"/>
  <c r="I198" i="24"/>
  <c r="H198" i="24"/>
  <c r="BA197" i="24"/>
  <c r="AZ197" i="24"/>
  <c r="AY197" i="24"/>
  <c r="AX197" i="24"/>
  <c r="AW197" i="24"/>
  <c r="AV197" i="24"/>
  <c r="AU197" i="24"/>
  <c r="AT197" i="24"/>
  <c r="AS197" i="24"/>
  <c r="AR197" i="24"/>
  <c r="AQ197" i="24"/>
  <c r="AP197" i="24"/>
  <c r="AO197" i="24"/>
  <c r="AN197" i="24"/>
  <c r="AM197" i="24"/>
  <c r="AL197" i="24"/>
  <c r="AK197" i="24"/>
  <c r="AJ197" i="24"/>
  <c r="AI197" i="24"/>
  <c r="AH197" i="24"/>
  <c r="AG197" i="24"/>
  <c r="AF197" i="24"/>
  <c r="AE197" i="24"/>
  <c r="AD197" i="24"/>
  <c r="AC197" i="24"/>
  <c r="AB197" i="24"/>
  <c r="AA197" i="24"/>
  <c r="Z197" i="24"/>
  <c r="Y197" i="24"/>
  <c r="X197" i="24"/>
  <c r="W197" i="24"/>
  <c r="V197" i="24"/>
  <c r="U197" i="24"/>
  <c r="T197" i="24"/>
  <c r="S197" i="24"/>
  <c r="R197" i="24"/>
  <c r="Q197" i="24"/>
  <c r="P197" i="24"/>
  <c r="O197" i="24"/>
  <c r="N197" i="24"/>
  <c r="M197" i="24"/>
  <c r="L197" i="24"/>
  <c r="K197" i="24"/>
  <c r="J197" i="24"/>
  <c r="I197" i="24"/>
  <c r="H197" i="24"/>
  <c r="BA196" i="24"/>
  <c r="AZ196" i="24"/>
  <c r="AY196" i="24"/>
  <c r="AX196" i="24"/>
  <c r="AW196" i="24"/>
  <c r="AV196" i="24"/>
  <c r="AU196" i="24"/>
  <c r="AT196" i="24"/>
  <c r="AS196" i="24"/>
  <c r="AR196" i="24"/>
  <c r="AQ196" i="24"/>
  <c r="AP196" i="24"/>
  <c r="AO196" i="24"/>
  <c r="AN196" i="24"/>
  <c r="AM196" i="24"/>
  <c r="AL196" i="24"/>
  <c r="AK196" i="24"/>
  <c r="AJ196" i="24"/>
  <c r="AI196" i="24"/>
  <c r="AH196" i="24"/>
  <c r="AG196" i="24"/>
  <c r="AF196" i="24"/>
  <c r="AE196" i="24"/>
  <c r="AD196" i="24"/>
  <c r="AC196" i="24"/>
  <c r="AB196" i="24"/>
  <c r="AA196" i="24"/>
  <c r="Z196" i="24"/>
  <c r="Y196" i="24"/>
  <c r="X196" i="24"/>
  <c r="W196" i="24"/>
  <c r="V196" i="24"/>
  <c r="U196" i="24"/>
  <c r="T196" i="24"/>
  <c r="S196" i="24"/>
  <c r="R196" i="24"/>
  <c r="Q196" i="24"/>
  <c r="P196" i="24"/>
  <c r="O196" i="24"/>
  <c r="N196" i="24"/>
  <c r="M196" i="24"/>
  <c r="L196" i="24"/>
  <c r="K196" i="24"/>
  <c r="J196" i="24"/>
  <c r="I196" i="24"/>
  <c r="H196" i="24"/>
  <c r="BA195" i="24"/>
  <c r="AZ195" i="24"/>
  <c r="AY195" i="24"/>
  <c r="AX195" i="24"/>
  <c r="AW195" i="24"/>
  <c r="AV195" i="24"/>
  <c r="AU195" i="24"/>
  <c r="AT195" i="24"/>
  <c r="AS195" i="24"/>
  <c r="AR195" i="24"/>
  <c r="AQ195" i="24"/>
  <c r="AP195" i="24"/>
  <c r="AO195" i="24"/>
  <c r="AN195" i="24"/>
  <c r="AM195" i="24"/>
  <c r="AL195" i="24"/>
  <c r="AK195" i="24"/>
  <c r="AJ195" i="24"/>
  <c r="AI195" i="24"/>
  <c r="AH195" i="24"/>
  <c r="AG195" i="24"/>
  <c r="AF195" i="24"/>
  <c r="AE195" i="24"/>
  <c r="AD195" i="24"/>
  <c r="AC195" i="24"/>
  <c r="AB195" i="24"/>
  <c r="AA195" i="24"/>
  <c r="Z195" i="24"/>
  <c r="Y195" i="24"/>
  <c r="X195" i="24"/>
  <c r="W195" i="24"/>
  <c r="V195" i="24"/>
  <c r="U195" i="24"/>
  <c r="T195" i="24"/>
  <c r="S195" i="24"/>
  <c r="R195" i="24"/>
  <c r="Q195" i="24"/>
  <c r="P195" i="24"/>
  <c r="O195" i="24"/>
  <c r="N195" i="24"/>
  <c r="M195" i="24"/>
  <c r="L195" i="24"/>
  <c r="K195" i="24"/>
  <c r="J195" i="24"/>
  <c r="I195" i="24"/>
  <c r="H195" i="24"/>
  <c r="BA194" i="24"/>
  <c r="AZ194" i="24"/>
  <c r="AY194" i="24"/>
  <c r="AX194" i="24"/>
  <c r="AW194" i="24"/>
  <c r="AV194" i="24"/>
  <c r="AU194" i="24"/>
  <c r="AT194" i="24"/>
  <c r="AS194" i="24"/>
  <c r="AR194" i="24"/>
  <c r="AQ194" i="24"/>
  <c r="AP194" i="24"/>
  <c r="AO194" i="24"/>
  <c r="AN194" i="24"/>
  <c r="AM194" i="24"/>
  <c r="AL194" i="24"/>
  <c r="AK194" i="24"/>
  <c r="AJ194" i="24"/>
  <c r="AI194" i="24"/>
  <c r="AH194" i="24"/>
  <c r="AG194" i="24"/>
  <c r="AF194" i="24"/>
  <c r="AE194" i="24"/>
  <c r="AD194" i="24"/>
  <c r="AC194" i="24"/>
  <c r="AB194" i="24"/>
  <c r="AA194" i="24"/>
  <c r="Z194" i="24"/>
  <c r="Y194" i="24"/>
  <c r="X194" i="24"/>
  <c r="W194" i="24"/>
  <c r="V194" i="24"/>
  <c r="U194" i="24"/>
  <c r="T194" i="24"/>
  <c r="S194" i="24"/>
  <c r="R194" i="24"/>
  <c r="Q194" i="24"/>
  <c r="P194" i="24"/>
  <c r="O194" i="24"/>
  <c r="N194" i="24"/>
  <c r="M194" i="24"/>
  <c r="L194" i="24"/>
  <c r="K194" i="24"/>
  <c r="J194" i="24"/>
  <c r="I194" i="24"/>
  <c r="H194" i="24"/>
  <c r="BA193" i="24"/>
  <c r="AZ193" i="24"/>
  <c r="AY193" i="24"/>
  <c r="AX193" i="24"/>
  <c r="AW193" i="24"/>
  <c r="AV193" i="24"/>
  <c r="AU193" i="24"/>
  <c r="AT193" i="24"/>
  <c r="AS193" i="24"/>
  <c r="AR193" i="24"/>
  <c r="AQ193" i="24"/>
  <c r="AP193" i="24"/>
  <c r="AO193" i="24"/>
  <c r="AN193" i="24"/>
  <c r="AM193" i="24"/>
  <c r="AL193" i="24"/>
  <c r="AK193" i="24"/>
  <c r="AJ193" i="24"/>
  <c r="AI193" i="24"/>
  <c r="AH193" i="24"/>
  <c r="AG193" i="24"/>
  <c r="AF193" i="24"/>
  <c r="AE193" i="24"/>
  <c r="AD193" i="24"/>
  <c r="AC193" i="24"/>
  <c r="AB193" i="24"/>
  <c r="AA193" i="24"/>
  <c r="Z193" i="24"/>
  <c r="Y193" i="24"/>
  <c r="X193" i="24"/>
  <c r="W193" i="24"/>
  <c r="V193" i="24"/>
  <c r="U193" i="24"/>
  <c r="T193" i="24"/>
  <c r="S193" i="24"/>
  <c r="R193" i="24"/>
  <c r="Q193" i="24"/>
  <c r="P193" i="24"/>
  <c r="O193" i="24"/>
  <c r="N193" i="24"/>
  <c r="M193" i="24"/>
  <c r="L193" i="24"/>
  <c r="K193" i="24"/>
  <c r="J193" i="24"/>
  <c r="I193" i="24"/>
  <c r="H193" i="24"/>
  <c r="BA192" i="24"/>
  <c r="AZ192" i="24"/>
  <c r="AY192" i="24"/>
  <c r="AX192" i="24"/>
  <c r="AW192" i="24"/>
  <c r="AV192" i="24"/>
  <c r="AU192" i="24"/>
  <c r="AT192" i="24"/>
  <c r="AS192" i="24"/>
  <c r="AR192" i="24"/>
  <c r="AQ192" i="24"/>
  <c r="AP192" i="24"/>
  <c r="AO192" i="24"/>
  <c r="AN192" i="24"/>
  <c r="AM192" i="24"/>
  <c r="AL192" i="24"/>
  <c r="AK192" i="24"/>
  <c r="AJ192" i="24"/>
  <c r="AI192" i="24"/>
  <c r="AH192" i="24"/>
  <c r="AG192" i="24"/>
  <c r="AF192" i="24"/>
  <c r="AE192" i="24"/>
  <c r="AD192" i="24"/>
  <c r="AC192" i="24"/>
  <c r="AB192" i="24"/>
  <c r="AA192" i="24"/>
  <c r="Z192" i="24"/>
  <c r="Y192" i="24"/>
  <c r="X192" i="24"/>
  <c r="W192" i="24"/>
  <c r="V192" i="24"/>
  <c r="U192" i="24"/>
  <c r="T192" i="24"/>
  <c r="S192" i="24"/>
  <c r="R192" i="24"/>
  <c r="Q192" i="24"/>
  <c r="P192" i="24"/>
  <c r="O192" i="24"/>
  <c r="N192" i="24"/>
  <c r="M192" i="24"/>
  <c r="L192" i="24"/>
  <c r="K192" i="24"/>
  <c r="J192" i="24"/>
  <c r="I192" i="24"/>
  <c r="H192" i="24"/>
  <c r="BA191" i="24"/>
  <c r="AZ191" i="24"/>
  <c r="AY191" i="24"/>
  <c r="AX191" i="24"/>
  <c r="AW191" i="24"/>
  <c r="AV191" i="24"/>
  <c r="AU191" i="24"/>
  <c r="AT191" i="24"/>
  <c r="AS191" i="24"/>
  <c r="AR191" i="24"/>
  <c r="AQ191" i="24"/>
  <c r="AP191" i="24"/>
  <c r="AO191" i="24"/>
  <c r="AN191" i="24"/>
  <c r="AM191" i="24"/>
  <c r="AL191" i="24"/>
  <c r="AK191" i="24"/>
  <c r="AJ191" i="24"/>
  <c r="AI191" i="24"/>
  <c r="AH191" i="24"/>
  <c r="AG191" i="24"/>
  <c r="AF191" i="24"/>
  <c r="AE191" i="24"/>
  <c r="AD191" i="24"/>
  <c r="AC191" i="24"/>
  <c r="AB191" i="24"/>
  <c r="AA191" i="24"/>
  <c r="Z191" i="24"/>
  <c r="Y191" i="24"/>
  <c r="X191" i="24"/>
  <c r="W191" i="24"/>
  <c r="V191" i="24"/>
  <c r="U191" i="24"/>
  <c r="T191" i="24"/>
  <c r="S191" i="24"/>
  <c r="R191" i="24"/>
  <c r="Q191" i="24"/>
  <c r="P191" i="24"/>
  <c r="O191" i="24"/>
  <c r="N191" i="24"/>
  <c r="M191" i="24"/>
  <c r="L191" i="24"/>
  <c r="K191" i="24"/>
  <c r="J191" i="24"/>
  <c r="I191" i="24"/>
  <c r="H191" i="24"/>
  <c r="BA190" i="24"/>
  <c r="AZ190" i="24"/>
  <c r="AY190" i="24"/>
  <c r="AX190" i="24"/>
  <c r="AW190" i="24"/>
  <c r="AV190" i="24"/>
  <c r="AU190" i="24"/>
  <c r="AT190" i="24"/>
  <c r="AS190" i="24"/>
  <c r="AR190" i="24"/>
  <c r="AQ190" i="24"/>
  <c r="AP190" i="24"/>
  <c r="AO190" i="24"/>
  <c r="AN190" i="24"/>
  <c r="AM190" i="24"/>
  <c r="AL190" i="24"/>
  <c r="AK190" i="24"/>
  <c r="AJ190" i="24"/>
  <c r="AI190" i="24"/>
  <c r="AH190" i="24"/>
  <c r="AG190" i="24"/>
  <c r="AF190" i="24"/>
  <c r="AE190" i="24"/>
  <c r="AD190" i="24"/>
  <c r="AC190" i="24"/>
  <c r="AB190" i="24"/>
  <c r="AA190" i="24"/>
  <c r="Z190" i="24"/>
  <c r="Y190" i="24"/>
  <c r="X190" i="24"/>
  <c r="W190" i="24"/>
  <c r="V190" i="24"/>
  <c r="U190" i="24"/>
  <c r="T190" i="24"/>
  <c r="S190" i="24"/>
  <c r="R190" i="24"/>
  <c r="Q190" i="24"/>
  <c r="P190" i="24"/>
  <c r="O190" i="24"/>
  <c r="N190" i="24"/>
  <c r="M190" i="24"/>
  <c r="L190" i="24"/>
  <c r="K190" i="24"/>
  <c r="J190" i="24"/>
  <c r="I190" i="24"/>
  <c r="H190" i="24"/>
  <c r="BA189" i="24"/>
  <c r="AZ189" i="24"/>
  <c r="AY189" i="24"/>
  <c r="AX189" i="24"/>
  <c r="AW189" i="24"/>
  <c r="AV189" i="24"/>
  <c r="AU189" i="24"/>
  <c r="AT189" i="24"/>
  <c r="AS189" i="24"/>
  <c r="AR189" i="24"/>
  <c r="AQ189" i="24"/>
  <c r="AP189" i="24"/>
  <c r="AO189" i="24"/>
  <c r="AN189" i="24"/>
  <c r="AM189" i="24"/>
  <c r="AL189" i="24"/>
  <c r="AK189" i="24"/>
  <c r="AJ189" i="24"/>
  <c r="AI189" i="24"/>
  <c r="AH189" i="24"/>
  <c r="AG189" i="24"/>
  <c r="AF189" i="24"/>
  <c r="AE189" i="24"/>
  <c r="AD189" i="24"/>
  <c r="AC189" i="24"/>
  <c r="AB189" i="24"/>
  <c r="AA189" i="24"/>
  <c r="Z189" i="24"/>
  <c r="Y189" i="24"/>
  <c r="X189" i="24"/>
  <c r="W189" i="24"/>
  <c r="V189" i="24"/>
  <c r="U189" i="24"/>
  <c r="T189" i="24"/>
  <c r="S189" i="24"/>
  <c r="R189" i="24"/>
  <c r="Q189" i="24"/>
  <c r="P189" i="24"/>
  <c r="O189" i="24"/>
  <c r="N189" i="24"/>
  <c r="M189" i="24"/>
  <c r="L189" i="24"/>
  <c r="K189" i="24"/>
  <c r="J189" i="24"/>
  <c r="I189" i="24"/>
  <c r="H189" i="24"/>
  <c r="BA188" i="24"/>
  <c r="AZ188" i="24"/>
  <c r="AY188" i="24"/>
  <c r="AX188" i="24"/>
  <c r="AW188" i="24"/>
  <c r="AV188" i="24"/>
  <c r="AU188" i="24"/>
  <c r="AT188" i="24"/>
  <c r="AS188" i="24"/>
  <c r="AR188" i="24"/>
  <c r="AQ188" i="24"/>
  <c r="AP188" i="24"/>
  <c r="AO188" i="24"/>
  <c r="AN188" i="24"/>
  <c r="AM188" i="24"/>
  <c r="AL188" i="24"/>
  <c r="AK188" i="24"/>
  <c r="AJ188" i="24"/>
  <c r="AI188" i="24"/>
  <c r="AH188" i="24"/>
  <c r="AG188" i="24"/>
  <c r="AF188" i="24"/>
  <c r="AE188" i="24"/>
  <c r="AD188" i="24"/>
  <c r="AC188" i="24"/>
  <c r="AB188" i="24"/>
  <c r="AA188" i="24"/>
  <c r="Z188" i="24"/>
  <c r="Y188" i="24"/>
  <c r="X188" i="24"/>
  <c r="W188" i="24"/>
  <c r="V188" i="24"/>
  <c r="U188" i="24"/>
  <c r="T188" i="24"/>
  <c r="S188" i="24"/>
  <c r="R188" i="24"/>
  <c r="Q188" i="24"/>
  <c r="P188" i="24"/>
  <c r="O188" i="24"/>
  <c r="N188" i="24"/>
  <c r="M188" i="24"/>
  <c r="L188" i="24"/>
  <c r="K188" i="24"/>
  <c r="J188" i="24"/>
  <c r="I188" i="24"/>
  <c r="H188" i="24"/>
  <c r="BA187" i="24"/>
  <c r="AZ187" i="24"/>
  <c r="AY187" i="24"/>
  <c r="AX187" i="24"/>
  <c r="AW187" i="24"/>
  <c r="AV187" i="24"/>
  <c r="AU187" i="24"/>
  <c r="AT187" i="24"/>
  <c r="AS187" i="24"/>
  <c r="AR187" i="24"/>
  <c r="AQ187" i="24"/>
  <c r="AP187" i="24"/>
  <c r="AO187" i="24"/>
  <c r="AN187" i="24"/>
  <c r="AM187" i="24"/>
  <c r="AL187" i="24"/>
  <c r="AK187" i="24"/>
  <c r="AJ187" i="24"/>
  <c r="AI187" i="24"/>
  <c r="AH187" i="24"/>
  <c r="AG187" i="24"/>
  <c r="AF187" i="24"/>
  <c r="AE187" i="24"/>
  <c r="AD187" i="24"/>
  <c r="AC187" i="24"/>
  <c r="AB187" i="24"/>
  <c r="AA187" i="24"/>
  <c r="Z187" i="24"/>
  <c r="Y187" i="24"/>
  <c r="X187" i="24"/>
  <c r="W187" i="24"/>
  <c r="V187" i="24"/>
  <c r="U187" i="24"/>
  <c r="T187" i="24"/>
  <c r="S187" i="24"/>
  <c r="R187" i="24"/>
  <c r="Q187" i="24"/>
  <c r="P187" i="24"/>
  <c r="O187" i="24"/>
  <c r="N187" i="24"/>
  <c r="M187" i="24"/>
  <c r="L187" i="24"/>
  <c r="K187" i="24"/>
  <c r="J187" i="24"/>
  <c r="I187" i="24"/>
  <c r="H187" i="24"/>
  <c r="BA186" i="24"/>
  <c r="AZ186" i="24"/>
  <c r="AY186" i="24"/>
  <c r="AX186" i="24"/>
  <c r="AW186" i="24"/>
  <c r="AV186" i="24"/>
  <c r="AU186" i="24"/>
  <c r="AT186" i="24"/>
  <c r="AS186" i="24"/>
  <c r="AR186" i="24"/>
  <c r="AQ186" i="24"/>
  <c r="AP186" i="24"/>
  <c r="AO186" i="24"/>
  <c r="AN186" i="24"/>
  <c r="AM186" i="24"/>
  <c r="AL186" i="24"/>
  <c r="AK186" i="24"/>
  <c r="AJ186" i="24"/>
  <c r="AI186" i="24"/>
  <c r="AH186" i="24"/>
  <c r="AG186" i="24"/>
  <c r="AF186" i="24"/>
  <c r="AE186" i="24"/>
  <c r="AD186" i="24"/>
  <c r="AC186" i="24"/>
  <c r="AB186" i="24"/>
  <c r="AA186" i="24"/>
  <c r="Z186" i="24"/>
  <c r="Y186" i="24"/>
  <c r="X186" i="24"/>
  <c r="W186" i="24"/>
  <c r="V186" i="24"/>
  <c r="U186" i="24"/>
  <c r="T186" i="24"/>
  <c r="S186" i="24"/>
  <c r="R186" i="24"/>
  <c r="Q186" i="24"/>
  <c r="P186" i="24"/>
  <c r="O186" i="24"/>
  <c r="N186" i="24"/>
  <c r="M186" i="24"/>
  <c r="L186" i="24"/>
  <c r="K186" i="24"/>
  <c r="J186" i="24"/>
  <c r="I186" i="24"/>
  <c r="H186" i="24"/>
  <c r="BA185" i="24"/>
  <c r="AZ185" i="24"/>
  <c r="AY185" i="24"/>
  <c r="AX185" i="24"/>
  <c r="AW185" i="24"/>
  <c r="AV185" i="24"/>
  <c r="AU185" i="24"/>
  <c r="AT185" i="24"/>
  <c r="AS185" i="24"/>
  <c r="AR185" i="24"/>
  <c r="AQ185" i="24"/>
  <c r="AP185" i="24"/>
  <c r="AO185" i="24"/>
  <c r="AN185" i="24"/>
  <c r="AM185" i="24"/>
  <c r="AL185" i="24"/>
  <c r="AK185" i="24"/>
  <c r="AJ185" i="24"/>
  <c r="AI185" i="24"/>
  <c r="AH185" i="24"/>
  <c r="AG185" i="24"/>
  <c r="AF185" i="24"/>
  <c r="AE185" i="24"/>
  <c r="AD185" i="24"/>
  <c r="AC185" i="24"/>
  <c r="AB185" i="24"/>
  <c r="AA185" i="24"/>
  <c r="Z185" i="24"/>
  <c r="Y185" i="24"/>
  <c r="X185" i="24"/>
  <c r="W185" i="24"/>
  <c r="V185" i="24"/>
  <c r="U185" i="24"/>
  <c r="T185" i="24"/>
  <c r="S185" i="24"/>
  <c r="R185" i="24"/>
  <c r="Q185" i="24"/>
  <c r="P185" i="24"/>
  <c r="O185" i="24"/>
  <c r="N185" i="24"/>
  <c r="M185" i="24"/>
  <c r="L185" i="24"/>
  <c r="K185" i="24"/>
  <c r="J185" i="24"/>
  <c r="I185" i="24"/>
  <c r="H185" i="24"/>
  <c r="BA184" i="24"/>
  <c r="AZ184" i="24"/>
  <c r="AY184" i="24"/>
  <c r="AX184" i="24"/>
  <c r="AW184" i="24"/>
  <c r="AV184" i="24"/>
  <c r="AU184" i="24"/>
  <c r="AT184" i="24"/>
  <c r="AS184" i="24"/>
  <c r="AR184" i="24"/>
  <c r="AQ184" i="24"/>
  <c r="AP184" i="24"/>
  <c r="AO184" i="24"/>
  <c r="AN184" i="24"/>
  <c r="AM184" i="24"/>
  <c r="AL184" i="24"/>
  <c r="AK184" i="24"/>
  <c r="AJ184" i="24"/>
  <c r="AI184" i="24"/>
  <c r="AH184" i="24"/>
  <c r="AG184" i="24"/>
  <c r="AF184" i="24"/>
  <c r="AE184" i="24"/>
  <c r="AD184" i="24"/>
  <c r="AC184" i="24"/>
  <c r="AB184" i="24"/>
  <c r="AA184" i="24"/>
  <c r="Z184" i="24"/>
  <c r="Y184" i="24"/>
  <c r="X184" i="24"/>
  <c r="W184" i="24"/>
  <c r="V184" i="24"/>
  <c r="U184" i="24"/>
  <c r="T184" i="24"/>
  <c r="S184" i="24"/>
  <c r="R184" i="24"/>
  <c r="Q184" i="24"/>
  <c r="P184" i="24"/>
  <c r="O184" i="24"/>
  <c r="N184" i="24"/>
  <c r="M184" i="24"/>
  <c r="L184" i="24"/>
  <c r="K184" i="24"/>
  <c r="J184" i="24"/>
  <c r="I184" i="24"/>
  <c r="H184" i="24"/>
  <c r="BA183" i="24"/>
  <c r="AZ183" i="24"/>
  <c r="AY183" i="24"/>
  <c r="AX183" i="24"/>
  <c r="AW183" i="24"/>
  <c r="AV183" i="24"/>
  <c r="AU183" i="24"/>
  <c r="AT183" i="24"/>
  <c r="AS183" i="24"/>
  <c r="AR183" i="24"/>
  <c r="AQ183" i="24"/>
  <c r="AP183" i="24"/>
  <c r="AO183" i="24"/>
  <c r="AN183" i="24"/>
  <c r="AM183" i="24"/>
  <c r="AL183" i="24"/>
  <c r="AK183" i="24"/>
  <c r="AJ183" i="24"/>
  <c r="AI183" i="24"/>
  <c r="AH183" i="24"/>
  <c r="AG183" i="24"/>
  <c r="AF183" i="24"/>
  <c r="AE183" i="24"/>
  <c r="AD183" i="24"/>
  <c r="AC183" i="24"/>
  <c r="AB183" i="24"/>
  <c r="AA183" i="24"/>
  <c r="Z183" i="24"/>
  <c r="Y183" i="24"/>
  <c r="X183" i="24"/>
  <c r="W183" i="24"/>
  <c r="V183" i="24"/>
  <c r="U183" i="24"/>
  <c r="T183" i="24"/>
  <c r="S183" i="24"/>
  <c r="R183" i="24"/>
  <c r="Q183" i="24"/>
  <c r="P183" i="24"/>
  <c r="O183" i="24"/>
  <c r="N183" i="24"/>
  <c r="M183" i="24"/>
  <c r="L183" i="24"/>
  <c r="K183" i="24"/>
  <c r="J183" i="24"/>
  <c r="I183" i="24"/>
  <c r="H183" i="24"/>
  <c r="BA182" i="24"/>
  <c r="AZ182" i="24"/>
  <c r="AY182" i="24"/>
  <c r="AX182" i="24"/>
  <c r="AW182" i="24"/>
  <c r="AV182" i="24"/>
  <c r="AU182" i="24"/>
  <c r="AT182" i="24"/>
  <c r="AS182" i="24"/>
  <c r="AR182" i="24"/>
  <c r="AQ182" i="24"/>
  <c r="AP182" i="24"/>
  <c r="AO182" i="24"/>
  <c r="AN182" i="24"/>
  <c r="AM182" i="24"/>
  <c r="AL182" i="24"/>
  <c r="AK182" i="24"/>
  <c r="AJ182" i="24"/>
  <c r="AI182" i="24"/>
  <c r="AH182" i="24"/>
  <c r="AG182" i="24"/>
  <c r="AF182" i="24"/>
  <c r="AE182" i="24"/>
  <c r="AD182" i="24"/>
  <c r="AC182" i="24"/>
  <c r="AB182" i="24"/>
  <c r="AA182" i="24"/>
  <c r="Z182" i="24"/>
  <c r="Y182" i="24"/>
  <c r="X182" i="24"/>
  <c r="W182" i="24"/>
  <c r="V182" i="24"/>
  <c r="U182" i="24"/>
  <c r="T182" i="24"/>
  <c r="S182" i="24"/>
  <c r="R182" i="24"/>
  <c r="Q182" i="24"/>
  <c r="P182" i="24"/>
  <c r="O182" i="24"/>
  <c r="N182" i="24"/>
  <c r="M182" i="24"/>
  <c r="L182" i="24"/>
  <c r="K182" i="24"/>
  <c r="J182" i="24"/>
  <c r="I182" i="24"/>
  <c r="H182" i="24"/>
  <c r="BA181" i="24"/>
  <c r="AZ181" i="24"/>
  <c r="AY181" i="24"/>
  <c r="AX181" i="24"/>
  <c r="AW181" i="24"/>
  <c r="AV181" i="24"/>
  <c r="AU181" i="24"/>
  <c r="AT181" i="24"/>
  <c r="AS181" i="24"/>
  <c r="AR181" i="24"/>
  <c r="AQ181" i="24"/>
  <c r="AP181" i="24"/>
  <c r="AO181" i="24"/>
  <c r="AN181" i="24"/>
  <c r="AM181" i="24"/>
  <c r="AL181" i="24"/>
  <c r="AK181" i="24"/>
  <c r="AJ181" i="24"/>
  <c r="AI181" i="24"/>
  <c r="AH181" i="24"/>
  <c r="AG181" i="24"/>
  <c r="AF181" i="24"/>
  <c r="AE181" i="24"/>
  <c r="AD181" i="24"/>
  <c r="AC181" i="24"/>
  <c r="AB181" i="24"/>
  <c r="AA181" i="24"/>
  <c r="Z181" i="24"/>
  <c r="Y181" i="24"/>
  <c r="X181" i="24"/>
  <c r="W181" i="24"/>
  <c r="V181" i="24"/>
  <c r="U181" i="24"/>
  <c r="T181" i="24"/>
  <c r="S181" i="24"/>
  <c r="R181" i="24"/>
  <c r="Q181" i="24"/>
  <c r="P181" i="24"/>
  <c r="O181" i="24"/>
  <c r="N181" i="24"/>
  <c r="M181" i="24"/>
  <c r="L181" i="24"/>
  <c r="K181" i="24"/>
  <c r="J181" i="24"/>
  <c r="I181" i="24"/>
  <c r="H181" i="24"/>
  <c r="BA180" i="24"/>
  <c r="AZ180" i="24"/>
  <c r="AY180" i="24"/>
  <c r="AX180" i="24"/>
  <c r="AW180" i="24"/>
  <c r="AV180" i="24"/>
  <c r="AU180" i="24"/>
  <c r="AT180" i="24"/>
  <c r="AS180" i="24"/>
  <c r="AR180" i="24"/>
  <c r="AQ180" i="24"/>
  <c r="AP180" i="24"/>
  <c r="AO180" i="24"/>
  <c r="AN180" i="24"/>
  <c r="AM180" i="24"/>
  <c r="AL180" i="24"/>
  <c r="AK180" i="24"/>
  <c r="AJ180" i="24"/>
  <c r="AI180" i="24"/>
  <c r="AH180" i="24"/>
  <c r="AG180" i="24"/>
  <c r="AF180" i="24"/>
  <c r="AE180" i="24"/>
  <c r="AD180" i="24"/>
  <c r="AC180" i="24"/>
  <c r="AB180" i="24"/>
  <c r="AA180" i="24"/>
  <c r="Z180" i="24"/>
  <c r="Y180" i="24"/>
  <c r="X180" i="24"/>
  <c r="W180" i="24"/>
  <c r="V180" i="24"/>
  <c r="U180" i="24"/>
  <c r="T180" i="24"/>
  <c r="S180" i="24"/>
  <c r="R180" i="24"/>
  <c r="Q180" i="24"/>
  <c r="P180" i="24"/>
  <c r="O180" i="24"/>
  <c r="N180" i="24"/>
  <c r="M180" i="24"/>
  <c r="L180" i="24"/>
  <c r="K180" i="24"/>
  <c r="J180" i="24"/>
  <c r="I180" i="24"/>
  <c r="H180" i="24"/>
  <c r="BA179" i="24"/>
  <c r="AZ179" i="24"/>
  <c r="AY179" i="24"/>
  <c r="AX179" i="24"/>
  <c r="AW179" i="24"/>
  <c r="AV179" i="24"/>
  <c r="AU179" i="24"/>
  <c r="AT179" i="24"/>
  <c r="AS179" i="24"/>
  <c r="AR179" i="24"/>
  <c r="AQ179" i="24"/>
  <c r="AP179" i="24"/>
  <c r="AO179" i="24"/>
  <c r="AN179" i="24"/>
  <c r="AM179" i="24"/>
  <c r="AL179" i="24"/>
  <c r="AK179" i="24"/>
  <c r="AJ179" i="24"/>
  <c r="AI179" i="24"/>
  <c r="AH179" i="24"/>
  <c r="AG179" i="24"/>
  <c r="AF179" i="24"/>
  <c r="AE179" i="24"/>
  <c r="AD179" i="24"/>
  <c r="AC179" i="24"/>
  <c r="AB179" i="24"/>
  <c r="AA179" i="24"/>
  <c r="Z179" i="24"/>
  <c r="Y179" i="24"/>
  <c r="X179" i="24"/>
  <c r="W179" i="24"/>
  <c r="V179" i="24"/>
  <c r="U179" i="24"/>
  <c r="T179" i="24"/>
  <c r="S179" i="24"/>
  <c r="R179" i="24"/>
  <c r="Q179" i="24"/>
  <c r="P179" i="24"/>
  <c r="O179" i="24"/>
  <c r="N179" i="24"/>
  <c r="M179" i="24"/>
  <c r="L179" i="24"/>
  <c r="K179" i="24"/>
  <c r="J179" i="24"/>
  <c r="I179" i="24"/>
  <c r="H179" i="24"/>
  <c r="BA178" i="24"/>
  <c r="AZ178" i="24"/>
  <c r="AY178" i="24"/>
  <c r="AX178" i="24"/>
  <c r="AW178" i="24"/>
  <c r="AV178" i="24"/>
  <c r="AU178" i="24"/>
  <c r="AT178" i="24"/>
  <c r="AS178" i="24"/>
  <c r="AR178" i="24"/>
  <c r="AQ178" i="24"/>
  <c r="AP178" i="24"/>
  <c r="AO178" i="24"/>
  <c r="AN178" i="24"/>
  <c r="AM178" i="24"/>
  <c r="AL178" i="24"/>
  <c r="AK178" i="24"/>
  <c r="AJ178" i="24"/>
  <c r="AI178" i="24"/>
  <c r="AH178" i="24"/>
  <c r="AG178" i="24"/>
  <c r="AF178" i="24"/>
  <c r="AE178" i="24"/>
  <c r="AD178" i="24"/>
  <c r="AC178" i="24"/>
  <c r="AB178" i="24"/>
  <c r="AA178" i="24"/>
  <c r="Z178" i="24"/>
  <c r="Y178" i="24"/>
  <c r="X178" i="24"/>
  <c r="W178" i="24"/>
  <c r="V178" i="24"/>
  <c r="U178" i="24"/>
  <c r="T178" i="24"/>
  <c r="S178" i="24"/>
  <c r="R178" i="24"/>
  <c r="Q178" i="24"/>
  <c r="P178" i="24"/>
  <c r="O178" i="24"/>
  <c r="N178" i="24"/>
  <c r="M178" i="24"/>
  <c r="L178" i="24"/>
  <c r="K178" i="24"/>
  <c r="J178" i="24"/>
  <c r="I178" i="24"/>
  <c r="H178" i="24"/>
  <c r="BA177" i="24"/>
  <c r="AZ177" i="24"/>
  <c r="AY177" i="24"/>
  <c r="AX177" i="24"/>
  <c r="AW177" i="24"/>
  <c r="AV177" i="24"/>
  <c r="AU177" i="24"/>
  <c r="AT177" i="24"/>
  <c r="AS177" i="24"/>
  <c r="AR177" i="24"/>
  <c r="AQ177" i="24"/>
  <c r="AP177" i="24"/>
  <c r="AO177" i="24"/>
  <c r="AN177" i="24"/>
  <c r="AM177" i="24"/>
  <c r="AL177" i="24"/>
  <c r="AK177" i="24"/>
  <c r="AJ177" i="24"/>
  <c r="AI177" i="24"/>
  <c r="AH177" i="24"/>
  <c r="AG177" i="24"/>
  <c r="AF177" i="24"/>
  <c r="AE177" i="24"/>
  <c r="AD177" i="24"/>
  <c r="AC177" i="24"/>
  <c r="AB177" i="24"/>
  <c r="AA177" i="24"/>
  <c r="Z177" i="24"/>
  <c r="Y177" i="24"/>
  <c r="X177" i="24"/>
  <c r="W177" i="24"/>
  <c r="V177" i="24"/>
  <c r="U177" i="24"/>
  <c r="T177" i="24"/>
  <c r="S177" i="24"/>
  <c r="R177" i="24"/>
  <c r="Q177" i="24"/>
  <c r="P177" i="24"/>
  <c r="O177" i="24"/>
  <c r="N177" i="24"/>
  <c r="M177" i="24"/>
  <c r="L177" i="24"/>
  <c r="K177" i="24"/>
  <c r="J177" i="24"/>
  <c r="I177" i="24"/>
  <c r="H177" i="24"/>
  <c r="BA176" i="24"/>
  <c r="AZ176" i="24"/>
  <c r="AY176" i="24"/>
  <c r="AX176" i="24"/>
  <c r="AW176" i="24"/>
  <c r="AV176" i="24"/>
  <c r="AU176" i="24"/>
  <c r="AT176" i="24"/>
  <c r="AS176" i="24"/>
  <c r="AR176" i="24"/>
  <c r="AQ176" i="24"/>
  <c r="AP176" i="24"/>
  <c r="AO176" i="24"/>
  <c r="AN176" i="24"/>
  <c r="AM176" i="24"/>
  <c r="AL176" i="24"/>
  <c r="AK176" i="24"/>
  <c r="AJ176" i="24"/>
  <c r="AI176" i="24"/>
  <c r="AH176" i="24"/>
  <c r="AG176" i="24"/>
  <c r="AF176" i="24"/>
  <c r="AE176" i="24"/>
  <c r="AD176" i="24"/>
  <c r="AC176" i="24"/>
  <c r="AB176" i="24"/>
  <c r="AA176" i="24"/>
  <c r="Z176" i="24"/>
  <c r="Y176" i="24"/>
  <c r="X176" i="24"/>
  <c r="W176" i="24"/>
  <c r="V176" i="24"/>
  <c r="U176" i="24"/>
  <c r="T176" i="24"/>
  <c r="S176" i="24"/>
  <c r="R176" i="24"/>
  <c r="Q176" i="24"/>
  <c r="P176" i="24"/>
  <c r="O176" i="24"/>
  <c r="N176" i="24"/>
  <c r="M176" i="24"/>
  <c r="L176" i="24"/>
  <c r="K176" i="24"/>
  <c r="J176" i="24"/>
  <c r="I176" i="24"/>
  <c r="H176" i="24"/>
  <c r="BA175" i="24"/>
  <c r="AZ175" i="24"/>
  <c r="AY175" i="24"/>
  <c r="AX175" i="24"/>
  <c r="AW175" i="24"/>
  <c r="AV175" i="24"/>
  <c r="AU175" i="24"/>
  <c r="AT175" i="24"/>
  <c r="AS175" i="24"/>
  <c r="AR175" i="24"/>
  <c r="AQ175" i="24"/>
  <c r="AP175" i="24"/>
  <c r="AO175" i="24"/>
  <c r="AN175" i="24"/>
  <c r="AM175" i="24"/>
  <c r="AL175" i="24"/>
  <c r="AK175" i="24"/>
  <c r="AJ175" i="24"/>
  <c r="AI175" i="24"/>
  <c r="AH175" i="24"/>
  <c r="AG175" i="24"/>
  <c r="AF175" i="24"/>
  <c r="AE175" i="24"/>
  <c r="AD175" i="24"/>
  <c r="AC175" i="24"/>
  <c r="AB175" i="24"/>
  <c r="AA175" i="24"/>
  <c r="Z175" i="24"/>
  <c r="Y175" i="24"/>
  <c r="X175" i="24"/>
  <c r="W175" i="24"/>
  <c r="V175" i="24"/>
  <c r="U175" i="24"/>
  <c r="T175" i="24"/>
  <c r="S175" i="24"/>
  <c r="R175" i="24"/>
  <c r="Q175" i="24"/>
  <c r="P175" i="24"/>
  <c r="O175" i="24"/>
  <c r="N175" i="24"/>
  <c r="M175" i="24"/>
  <c r="L175" i="24"/>
  <c r="K175" i="24"/>
  <c r="J175" i="24"/>
  <c r="I175" i="24"/>
  <c r="H175" i="24"/>
  <c r="BA174" i="24"/>
  <c r="AZ174" i="24"/>
  <c r="AY174" i="24"/>
  <c r="AX174" i="24"/>
  <c r="AW174" i="24"/>
  <c r="AV174" i="24"/>
  <c r="AU174" i="24"/>
  <c r="AT174" i="24"/>
  <c r="AS174" i="24"/>
  <c r="AR174" i="24"/>
  <c r="AQ174" i="24"/>
  <c r="AP174" i="24"/>
  <c r="AO174" i="24"/>
  <c r="AN174" i="24"/>
  <c r="AM174" i="24"/>
  <c r="AL174" i="24"/>
  <c r="AK174" i="24"/>
  <c r="AJ174" i="24"/>
  <c r="AI174" i="24"/>
  <c r="AH174" i="24"/>
  <c r="AG174" i="24"/>
  <c r="AF174" i="24"/>
  <c r="AE174" i="24"/>
  <c r="AD174" i="24"/>
  <c r="AC174" i="24"/>
  <c r="AB174" i="24"/>
  <c r="AA174" i="24"/>
  <c r="Z174" i="24"/>
  <c r="Y174" i="24"/>
  <c r="X174" i="24"/>
  <c r="W174" i="24"/>
  <c r="V174" i="24"/>
  <c r="U174" i="24"/>
  <c r="T174" i="24"/>
  <c r="S174" i="24"/>
  <c r="R174" i="24"/>
  <c r="Q174" i="24"/>
  <c r="P174" i="24"/>
  <c r="O174" i="24"/>
  <c r="N174" i="24"/>
  <c r="M174" i="24"/>
  <c r="L174" i="24"/>
  <c r="K174" i="24"/>
  <c r="J174" i="24"/>
  <c r="I174" i="24"/>
  <c r="H174" i="24"/>
  <c r="BA173" i="24"/>
  <c r="AZ173" i="24"/>
  <c r="AY173" i="24"/>
  <c r="AX173" i="24"/>
  <c r="AW173" i="24"/>
  <c r="AV173" i="24"/>
  <c r="AU173" i="24"/>
  <c r="AT173" i="24"/>
  <c r="AS173" i="24"/>
  <c r="AR173" i="24"/>
  <c r="AQ173" i="24"/>
  <c r="AP173" i="24"/>
  <c r="AO173" i="24"/>
  <c r="AN173" i="24"/>
  <c r="AM173" i="24"/>
  <c r="AL173" i="24"/>
  <c r="AK173" i="24"/>
  <c r="AJ173" i="24"/>
  <c r="AI173" i="24"/>
  <c r="AH173" i="24"/>
  <c r="AG173" i="24"/>
  <c r="AF173" i="24"/>
  <c r="AE173" i="24"/>
  <c r="AD173" i="24"/>
  <c r="AC173" i="24"/>
  <c r="AB173" i="24"/>
  <c r="AA173" i="24"/>
  <c r="Z173" i="24"/>
  <c r="Y173" i="24"/>
  <c r="X173" i="24"/>
  <c r="W173" i="24"/>
  <c r="V173" i="24"/>
  <c r="U173" i="24"/>
  <c r="T173" i="24"/>
  <c r="S173" i="24"/>
  <c r="R173" i="24"/>
  <c r="Q173" i="24"/>
  <c r="P173" i="24"/>
  <c r="O173" i="24"/>
  <c r="N173" i="24"/>
  <c r="M173" i="24"/>
  <c r="L173" i="24"/>
  <c r="K173" i="24"/>
  <c r="J173" i="24"/>
  <c r="I173" i="24"/>
  <c r="H173" i="24"/>
  <c r="BA172" i="24"/>
  <c r="AZ172" i="24"/>
  <c r="AY172" i="24"/>
  <c r="AX172" i="24"/>
  <c r="AW172" i="24"/>
  <c r="AV172" i="24"/>
  <c r="AU172" i="24"/>
  <c r="AT172" i="24"/>
  <c r="AS172" i="24"/>
  <c r="AR172" i="24"/>
  <c r="AQ172" i="24"/>
  <c r="AP172" i="24"/>
  <c r="AO172" i="24"/>
  <c r="AN172" i="24"/>
  <c r="AM172" i="24"/>
  <c r="AL172" i="24"/>
  <c r="AK172" i="24"/>
  <c r="AJ172" i="24"/>
  <c r="AI172" i="24"/>
  <c r="AH172" i="24"/>
  <c r="AG172" i="24"/>
  <c r="AF172" i="24"/>
  <c r="AE172" i="24"/>
  <c r="AD172" i="24"/>
  <c r="AC172" i="24"/>
  <c r="AB172" i="24"/>
  <c r="AA172" i="24"/>
  <c r="Z172" i="24"/>
  <c r="Y172" i="24"/>
  <c r="X172" i="24"/>
  <c r="W172" i="24"/>
  <c r="V172" i="24"/>
  <c r="U172" i="24"/>
  <c r="T172" i="24"/>
  <c r="S172" i="24"/>
  <c r="R172" i="24"/>
  <c r="Q172" i="24"/>
  <c r="P172" i="24"/>
  <c r="O172" i="24"/>
  <c r="N172" i="24"/>
  <c r="M172" i="24"/>
  <c r="L172" i="24"/>
  <c r="K172" i="24"/>
  <c r="J172" i="24"/>
  <c r="I172" i="24"/>
  <c r="H172" i="24"/>
  <c r="BA171" i="24"/>
  <c r="AZ171" i="24"/>
  <c r="AY171" i="24"/>
  <c r="AX171" i="24"/>
  <c r="AW171" i="24"/>
  <c r="AV171" i="24"/>
  <c r="AU171" i="24"/>
  <c r="AT171" i="24"/>
  <c r="AS171" i="24"/>
  <c r="AR171" i="24"/>
  <c r="AQ171" i="24"/>
  <c r="AP171" i="24"/>
  <c r="AO171" i="24"/>
  <c r="AN171" i="24"/>
  <c r="AM171" i="24"/>
  <c r="AL171" i="24"/>
  <c r="AK171" i="24"/>
  <c r="AJ171" i="24"/>
  <c r="AI171" i="24"/>
  <c r="AH171" i="24"/>
  <c r="AG171" i="24"/>
  <c r="AF171" i="24"/>
  <c r="AE171" i="24"/>
  <c r="AD171" i="24"/>
  <c r="AC171" i="24"/>
  <c r="AB171" i="24"/>
  <c r="AA171" i="24"/>
  <c r="Z171" i="24"/>
  <c r="Y171" i="24"/>
  <c r="X171" i="24"/>
  <c r="W171" i="24"/>
  <c r="V171" i="24"/>
  <c r="U171" i="24"/>
  <c r="T171" i="24"/>
  <c r="S171" i="24"/>
  <c r="R171" i="24"/>
  <c r="Q171" i="24"/>
  <c r="P171" i="24"/>
  <c r="O171" i="24"/>
  <c r="N171" i="24"/>
  <c r="M171" i="24"/>
  <c r="L171" i="24"/>
  <c r="K171" i="24"/>
  <c r="J171" i="24"/>
  <c r="I171" i="24"/>
  <c r="H171" i="24"/>
  <c r="BA170" i="24"/>
  <c r="AZ170" i="24"/>
  <c r="AY170" i="24"/>
  <c r="AX170" i="24"/>
  <c r="AW170" i="24"/>
  <c r="AV170" i="24"/>
  <c r="AU170" i="24"/>
  <c r="AT170" i="24"/>
  <c r="AS170" i="24"/>
  <c r="AR170" i="24"/>
  <c r="AQ170" i="24"/>
  <c r="AP170" i="24"/>
  <c r="AO170" i="24"/>
  <c r="AN170" i="24"/>
  <c r="AM170" i="24"/>
  <c r="AL170" i="24"/>
  <c r="AK170" i="24"/>
  <c r="AJ170" i="24"/>
  <c r="AI170" i="24"/>
  <c r="AH170" i="24"/>
  <c r="AG170" i="24"/>
  <c r="AF170" i="24"/>
  <c r="AE170" i="24"/>
  <c r="AD170" i="24"/>
  <c r="AC170" i="24"/>
  <c r="AB170" i="24"/>
  <c r="AA170" i="24"/>
  <c r="Z170" i="24"/>
  <c r="Y170" i="24"/>
  <c r="X170" i="24"/>
  <c r="W170" i="24"/>
  <c r="V170" i="24"/>
  <c r="U170" i="24"/>
  <c r="T170" i="24"/>
  <c r="S170" i="24"/>
  <c r="R170" i="24"/>
  <c r="Q170" i="24"/>
  <c r="P170" i="24"/>
  <c r="O170" i="24"/>
  <c r="N170" i="24"/>
  <c r="M170" i="24"/>
  <c r="L170" i="24"/>
  <c r="K170" i="24"/>
  <c r="J170" i="24"/>
  <c r="I170" i="24"/>
  <c r="H170" i="24"/>
  <c r="BA169" i="24"/>
  <c r="AZ169" i="24"/>
  <c r="AY169" i="24"/>
  <c r="AX169" i="24"/>
  <c r="AW169" i="24"/>
  <c r="AV169" i="24"/>
  <c r="AU169" i="24"/>
  <c r="AT169" i="24"/>
  <c r="AS169" i="24"/>
  <c r="AR169" i="24"/>
  <c r="AQ169" i="24"/>
  <c r="AP169" i="24"/>
  <c r="AO169" i="24"/>
  <c r="AN169" i="24"/>
  <c r="AM169" i="24"/>
  <c r="AL169" i="24"/>
  <c r="AK169" i="24"/>
  <c r="AJ169" i="24"/>
  <c r="AI169" i="24"/>
  <c r="AH169" i="24"/>
  <c r="AG169" i="24"/>
  <c r="AF169" i="24"/>
  <c r="AE169" i="24"/>
  <c r="AD169" i="24"/>
  <c r="AC169" i="24"/>
  <c r="AB169" i="24"/>
  <c r="AA169" i="24"/>
  <c r="Z169" i="24"/>
  <c r="Y169" i="24"/>
  <c r="X169" i="24"/>
  <c r="W169" i="24"/>
  <c r="V169" i="24"/>
  <c r="U169" i="24"/>
  <c r="T169" i="24"/>
  <c r="S169" i="24"/>
  <c r="R169" i="24"/>
  <c r="Q169" i="24"/>
  <c r="P169" i="24"/>
  <c r="O169" i="24"/>
  <c r="N169" i="24"/>
  <c r="M169" i="24"/>
  <c r="L169" i="24"/>
  <c r="K169" i="24"/>
  <c r="J169" i="24"/>
  <c r="I169" i="24"/>
  <c r="H169" i="24"/>
  <c r="BA168" i="24"/>
  <c r="AZ168" i="24"/>
  <c r="AY168" i="24"/>
  <c r="AX168" i="24"/>
  <c r="AW168" i="24"/>
  <c r="AV168" i="24"/>
  <c r="AU168" i="24"/>
  <c r="AT168" i="24"/>
  <c r="AS168" i="24"/>
  <c r="AR168" i="24"/>
  <c r="AQ168" i="24"/>
  <c r="AP168" i="24"/>
  <c r="AO168" i="24"/>
  <c r="AN168" i="24"/>
  <c r="AM168" i="24"/>
  <c r="AL168" i="24"/>
  <c r="AK168" i="24"/>
  <c r="AJ168" i="24"/>
  <c r="AI168" i="24"/>
  <c r="AH168" i="24"/>
  <c r="AG168" i="24"/>
  <c r="AF168" i="24"/>
  <c r="AE168" i="24"/>
  <c r="AD168" i="24"/>
  <c r="AC168" i="24"/>
  <c r="AB168" i="24"/>
  <c r="AA168" i="24"/>
  <c r="Z168" i="24"/>
  <c r="Y168" i="24"/>
  <c r="X168" i="24"/>
  <c r="W168" i="24"/>
  <c r="V168" i="24"/>
  <c r="U168" i="24"/>
  <c r="T168" i="24"/>
  <c r="S168" i="24"/>
  <c r="R168" i="24"/>
  <c r="Q168" i="24"/>
  <c r="P168" i="24"/>
  <c r="O168" i="24"/>
  <c r="N168" i="24"/>
  <c r="M168" i="24"/>
  <c r="L168" i="24"/>
  <c r="K168" i="24"/>
  <c r="J168" i="24"/>
  <c r="I168" i="24"/>
  <c r="H168" i="24"/>
  <c r="BA167" i="24"/>
  <c r="AZ167" i="24"/>
  <c r="AY167" i="24"/>
  <c r="AX167" i="24"/>
  <c r="AW167" i="24"/>
  <c r="AV167" i="24"/>
  <c r="AU167" i="24"/>
  <c r="AT167" i="24"/>
  <c r="AS167" i="24"/>
  <c r="AR167" i="24"/>
  <c r="AQ167" i="24"/>
  <c r="AP167" i="24"/>
  <c r="AO167" i="24"/>
  <c r="AN167" i="24"/>
  <c r="AM167" i="24"/>
  <c r="AL167" i="24"/>
  <c r="AK167" i="24"/>
  <c r="AJ167" i="24"/>
  <c r="AI167" i="24"/>
  <c r="AH167" i="24"/>
  <c r="AG167" i="24"/>
  <c r="AF167" i="24"/>
  <c r="AE167" i="24"/>
  <c r="AD167" i="24"/>
  <c r="AC167" i="24"/>
  <c r="AB167" i="24"/>
  <c r="AA167" i="24"/>
  <c r="Z167" i="24"/>
  <c r="Y167" i="24"/>
  <c r="X167" i="24"/>
  <c r="W167" i="24"/>
  <c r="V167" i="24"/>
  <c r="U167" i="24"/>
  <c r="T167" i="24"/>
  <c r="S167" i="24"/>
  <c r="R167" i="24"/>
  <c r="Q167" i="24"/>
  <c r="P167" i="24"/>
  <c r="O167" i="24"/>
  <c r="N167" i="24"/>
  <c r="M167" i="24"/>
  <c r="L167" i="24"/>
  <c r="K167" i="24"/>
  <c r="J167" i="24"/>
  <c r="I167" i="24"/>
  <c r="H167" i="24"/>
  <c r="BA166" i="24"/>
  <c r="AZ166" i="24"/>
  <c r="AY166" i="24"/>
  <c r="AX166" i="24"/>
  <c r="AW166" i="24"/>
  <c r="AV166" i="24"/>
  <c r="AU166" i="24"/>
  <c r="AT166" i="24"/>
  <c r="AS166" i="24"/>
  <c r="AR166" i="24"/>
  <c r="AQ166" i="24"/>
  <c r="AP166" i="24"/>
  <c r="AO166" i="24"/>
  <c r="AN166" i="24"/>
  <c r="AM166" i="24"/>
  <c r="AL166" i="24"/>
  <c r="AK166" i="24"/>
  <c r="AJ166" i="24"/>
  <c r="AI166" i="24"/>
  <c r="AH166" i="24"/>
  <c r="AG166" i="24"/>
  <c r="AF166" i="24"/>
  <c r="AE166" i="24"/>
  <c r="AD166" i="24"/>
  <c r="AC166" i="24"/>
  <c r="AB166" i="24"/>
  <c r="AA166" i="24"/>
  <c r="Z166" i="24"/>
  <c r="Y166" i="24"/>
  <c r="X166" i="24"/>
  <c r="W166" i="24"/>
  <c r="V166" i="24"/>
  <c r="U166" i="24"/>
  <c r="T166" i="24"/>
  <c r="S166" i="24"/>
  <c r="R166" i="24"/>
  <c r="Q166" i="24"/>
  <c r="P166" i="24"/>
  <c r="O166" i="24"/>
  <c r="N166" i="24"/>
  <c r="M166" i="24"/>
  <c r="L166" i="24"/>
  <c r="K166" i="24"/>
  <c r="J166" i="24"/>
  <c r="I166" i="24"/>
  <c r="H166" i="24"/>
  <c r="BA165" i="24"/>
  <c r="AZ165" i="24"/>
  <c r="AY165" i="24"/>
  <c r="AX165" i="24"/>
  <c r="AW165" i="24"/>
  <c r="AV165" i="24"/>
  <c r="AU165" i="24"/>
  <c r="AT165" i="24"/>
  <c r="AS165" i="24"/>
  <c r="AR165" i="24"/>
  <c r="AQ165" i="24"/>
  <c r="AP165" i="24"/>
  <c r="AO165" i="24"/>
  <c r="AN165" i="24"/>
  <c r="AM165" i="24"/>
  <c r="AL165" i="24"/>
  <c r="AK165" i="24"/>
  <c r="AJ165" i="24"/>
  <c r="AI165" i="24"/>
  <c r="AH165" i="24"/>
  <c r="AG165" i="24"/>
  <c r="AF165" i="24"/>
  <c r="AE165" i="24"/>
  <c r="AD165" i="24"/>
  <c r="AC165" i="24"/>
  <c r="AB165" i="24"/>
  <c r="AA165" i="24"/>
  <c r="Z165" i="24"/>
  <c r="Y165" i="24"/>
  <c r="X165" i="24"/>
  <c r="W165" i="24"/>
  <c r="V165" i="24"/>
  <c r="U165" i="24"/>
  <c r="T165" i="24"/>
  <c r="S165" i="24"/>
  <c r="R165" i="24"/>
  <c r="Q165" i="24"/>
  <c r="P165" i="24"/>
  <c r="O165" i="24"/>
  <c r="N165" i="24"/>
  <c r="M165" i="24"/>
  <c r="L165" i="24"/>
  <c r="K165" i="24"/>
  <c r="J165" i="24"/>
  <c r="I165" i="24"/>
  <c r="H165" i="24"/>
  <c r="BA164" i="24"/>
  <c r="AZ164" i="24"/>
  <c r="AY164" i="24"/>
  <c r="AX164" i="24"/>
  <c r="AW164" i="24"/>
  <c r="AV164" i="24"/>
  <c r="AU164" i="24"/>
  <c r="AT164" i="24"/>
  <c r="AS164" i="24"/>
  <c r="AR164" i="24"/>
  <c r="AQ164" i="24"/>
  <c r="AP164" i="24"/>
  <c r="AO164" i="24"/>
  <c r="AN164" i="24"/>
  <c r="AM164" i="24"/>
  <c r="AL164" i="24"/>
  <c r="AK164" i="24"/>
  <c r="AJ164" i="24"/>
  <c r="AI164" i="24"/>
  <c r="AH164" i="24"/>
  <c r="AG164" i="24"/>
  <c r="AF164" i="24"/>
  <c r="AE164" i="24"/>
  <c r="AD164" i="24"/>
  <c r="AC164" i="24"/>
  <c r="AB164" i="24"/>
  <c r="AA164" i="24"/>
  <c r="Z164" i="24"/>
  <c r="Y164" i="24"/>
  <c r="X164" i="24"/>
  <c r="W164" i="24"/>
  <c r="V164" i="24"/>
  <c r="U164" i="24"/>
  <c r="T164" i="24"/>
  <c r="S164" i="24"/>
  <c r="R164" i="24"/>
  <c r="Q164" i="24"/>
  <c r="P164" i="24"/>
  <c r="O164" i="24"/>
  <c r="N164" i="24"/>
  <c r="M164" i="24"/>
  <c r="L164" i="24"/>
  <c r="K164" i="24"/>
  <c r="J164" i="24"/>
  <c r="I164" i="24"/>
  <c r="H164" i="24"/>
  <c r="BA163" i="24"/>
  <c r="AZ163" i="24"/>
  <c r="AY163" i="24"/>
  <c r="AX163" i="24"/>
  <c r="AW163" i="24"/>
  <c r="AV163" i="24"/>
  <c r="AU163" i="24"/>
  <c r="AT163" i="24"/>
  <c r="AS163" i="24"/>
  <c r="AR163" i="24"/>
  <c r="AQ163" i="24"/>
  <c r="AP163" i="24"/>
  <c r="AO163" i="24"/>
  <c r="AN163" i="24"/>
  <c r="AM163" i="24"/>
  <c r="AL163" i="24"/>
  <c r="AK163" i="24"/>
  <c r="AJ163" i="24"/>
  <c r="AI163" i="24"/>
  <c r="AH163" i="24"/>
  <c r="AG163" i="24"/>
  <c r="AF163" i="24"/>
  <c r="AE163" i="24"/>
  <c r="AD163" i="24"/>
  <c r="AC163" i="24"/>
  <c r="AB163" i="24"/>
  <c r="AA163" i="24"/>
  <c r="Z163" i="24"/>
  <c r="Y163" i="24"/>
  <c r="X163" i="24"/>
  <c r="W163" i="24"/>
  <c r="V163" i="24"/>
  <c r="U163" i="24"/>
  <c r="T163" i="24"/>
  <c r="S163" i="24"/>
  <c r="R163" i="24"/>
  <c r="Q163" i="24"/>
  <c r="P163" i="24"/>
  <c r="O163" i="24"/>
  <c r="N163" i="24"/>
  <c r="M163" i="24"/>
  <c r="L163" i="24"/>
  <c r="K163" i="24"/>
  <c r="J163" i="24"/>
  <c r="I163" i="24"/>
  <c r="H163" i="24"/>
  <c r="BA162" i="24"/>
  <c r="AZ162" i="24"/>
  <c r="AY162" i="24"/>
  <c r="AX162" i="24"/>
  <c r="AW162" i="24"/>
  <c r="AV162" i="24"/>
  <c r="AU162" i="24"/>
  <c r="AT162" i="24"/>
  <c r="AS162" i="24"/>
  <c r="AR162" i="24"/>
  <c r="AQ162" i="24"/>
  <c r="AP162" i="24"/>
  <c r="AO162" i="24"/>
  <c r="AN162" i="24"/>
  <c r="AM162" i="24"/>
  <c r="AL162" i="24"/>
  <c r="AK162" i="24"/>
  <c r="AJ162" i="24"/>
  <c r="AI162" i="24"/>
  <c r="AH162" i="24"/>
  <c r="AG162" i="24"/>
  <c r="AF162" i="24"/>
  <c r="AE162" i="24"/>
  <c r="AD162" i="24"/>
  <c r="AC162" i="24"/>
  <c r="AB162" i="24"/>
  <c r="AA162" i="24"/>
  <c r="Z162" i="24"/>
  <c r="Y162" i="24"/>
  <c r="X162" i="24"/>
  <c r="W162" i="24"/>
  <c r="V162" i="24"/>
  <c r="U162" i="24"/>
  <c r="T162" i="24"/>
  <c r="S162" i="24"/>
  <c r="R162" i="24"/>
  <c r="Q162" i="24"/>
  <c r="P162" i="24"/>
  <c r="O162" i="24"/>
  <c r="N162" i="24"/>
  <c r="M162" i="24"/>
  <c r="L162" i="24"/>
  <c r="K162" i="24"/>
  <c r="J162" i="24"/>
  <c r="I162" i="24"/>
  <c r="H162" i="24"/>
  <c r="BA161" i="24"/>
  <c r="AZ161" i="24"/>
  <c r="AY161" i="24"/>
  <c r="AX161" i="24"/>
  <c r="AW161" i="24"/>
  <c r="AV161" i="24"/>
  <c r="AU161" i="24"/>
  <c r="AT161" i="24"/>
  <c r="AS161" i="24"/>
  <c r="AR161" i="24"/>
  <c r="AQ161" i="24"/>
  <c r="AP161" i="24"/>
  <c r="AO161" i="24"/>
  <c r="AN161" i="24"/>
  <c r="AM161" i="24"/>
  <c r="AL161" i="24"/>
  <c r="AK161" i="24"/>
  <c r="AJ161" i="24"/>
  <c r="AI161" i="24"/>
  <c r="AH161" i="24"/>
  <c r="AG161" i="24"/>
  <c r="AF161" i="24"/>
  <c r="AE161" i="24"/>
  <c r="AD161" i="24"/>
  <c r="AC161" i="24"/>
  <c r="AB161" i="24"/>
  <c r="AA161" i="24"/>
  <c r="Z161" i="24"/>
  <c r="Y161" i="24"/>
  <c r="X161" i="24"/>
  <c r="W161" i="24"/>
  <c r="V161" i="24"/>
  <c r="U161" i="24"/>
  <c r="T161" i="24"/>
  <c r="S161" i="24"/>
  <c r="R161" i="24"/>
  <c r="Q161" i="24"/>
  <c r="P161" i="24"/>
  <c r="O161" i="24"/>
  <c r="N161" i="24"/>
  <c r="M161" i="24"/>
  <c r="L161" i="24"/>
  <c r="K161" i="24"/>
  <c r="J161" i="24"/>
  <c r="I161" i="24"/>
  <c r="H161" i="24"/>
  <c r="BA160" i="24"/>
  <c r="AZ160" i="24"/>
  <c r="AY160" i="24"/>
  <c r="AX160" i="24"/>
  <c r="AW160" i="24"/>
  <c r="AV160" i="24"/>
  <c r="AU160" i="24"/>
  <c r="AT160" i="24"/>
  <c r="AS160" i="24"/>
  <c r="AR160" i="24"/>
  <c r="AQ160" i="24"/>
  <c r="AP160" i="24"/>
  <c r="AO160" i="24"/>
  <c r="AN160" i="24"/>
  <c r="AM160" i="24"/>
  <c r="AL160" i="24"/>
  <c r="AK160" i="24"/>
  <c r="AJ160" i="24"/>
  <c r="AI160" i="24"/>
  <c r="AH160" i="24"/>
  <c r="AG160" i="24"/>
  <c r="AF160" i="24"/>
  <c r="AE160" i="24"/>
  <c r="AD160" i="24"/>
  <c r="AC160" i="24"/>
  <c r="AB160" i="24"/>
  <c r="AA160" i="24"/>
  <c r="Z160" i="24"/>
  <c r="Y160" i="24"/>
  <c r="X160" i="24"/>
  <c r="W160" i="24"/>
  <c r="V160" i="24"/>
  <c r="U160" i="24"/>
  <c r="T160" i="24"/>
  <c r="S160" i="24"/>
  <c r="R160" i="24"/>
  <c r="Q160" i="24"/>
  <c r="P160" i="24"/>
  <c r="O160" i="24"/>
  <c r="N160" i="24"/>
  <c r="M160" i="24"/>
  <c r="L160" i="24"/>
  <c r="K160" i="24"/>
  <c r="J160" i="24"/>
  <c r="I160" i="24"/>
  <c r="H160" i="24"/>
  <c r="BA159" i="24"/>
  <c r="AZ159" i="24"/>
  <c r="AY159" i="24"/>
  <c r="AX159" i="24"/>
  <c r="AW159" i="24"/>
  <c r="AV159" i="24"/>
  <c r="AU159" i="24"/>
  <c r="AT159" i="24"/>
  <c r="AS159" i="24"/>
  <c r="AR159" i="24"/>
  <c r="AQ159" i="24"/>
  <c r="AP159" i="24"/>
  <c r="AO159" i="24"/>
  <c r="AN159" i="24"/>
  <c r="AM159" i="24"/>
  <c r="AL159" i="24"/>
  <c r="AK159" i="24"/>
  <c r="AJ159" i="24"/>
  <c r="AI159" i="24"/>
  <c r="AH159" i="24"/>
  <c r="AG159" i="24"/>
  <c r="AF159" i="24"/>
  <c r="AE159" i="24"/>
  <c r="AD159" i="24"/>
  <c r="AC159" i="24"/>
  <c r="AB159" i="24"/>
  <c r="AA159" i="24"/>
  <c r="Z159" i="24"/>
  <c r="Y159" i="24"/>
  <c r="X159" i="24"/>
  <c r="W159" i="24"/>
  <c r="V159" i="24"/>
  <c r="U159" i="24"/>
  <c r="T159" i="24"/>
  <c r="S159" i="24"/>
  <c r="R159" i="24"/>
  <c r="Q159" i="24"/>
  <c r="P159" i="24"/>
  <c r="O159" i="24"/>
  <c r="N159" i="24"/>
  <c r="M159" i="24"/>
  <c r="L159" i="24"/>
  <c r="K159" i="24"/>
  <c r="J159" i="24"/>
  <c r="I159" i="24"/>
  <c r="H159" i="24"/>
  <c r="BA158" i="24"/>
  <c r="AZ158" i="24"/>
  <c r="AY158" i="24"/>
  <c r="AX158" i="24"/>
  <c r="AW158" i="24"/>
  <c r="AV158" i="24"/>
  <c r="AU158" i="24"/>
  <c r="AT158" i="24"/>
  <c r="AS158" i="24"/>
  <c r="AR158" i="24"/>
  <c r="AQ158" i="24"/>
  <c r="AP158" i="24"/>
  <c r="AO158" i="24"/>
  <c r="AN158" i="24"/>
  <c r="AM158" i="24"/>
  <c r="AL158" i="24"/>
  <c r="AK158" i="24"/>
  <c r="AJ158" i="24"/>
  <c r="AI158" i="24"/>
  <c r="AH158" i="24"/>
  <c r="AG158" i="24"/>
  <c r="AF158" i="24"/>
  <c r="AE158" i="24"/>
  <c r="AD158" i="24"/>
  <c r="AC158" i="24"/>
  <c r="AB158" i="24"/>
  <c r="AA158" i="24"/>
  <c r="Z158" i="24"/>
  <c r="Y158" i="24"/>
  <c r="X158" i="24"/>
  <c r="W158" i="24"/>
  <c r="V158" i="24"/>
  <c r="U158" i="24"/>
  <c r="T158" i="24"/>
  <c r="S158" i="24"/>
  <c r="R158" i="24"/>
  <c r="Q158" i="24"/>
  <c r="P158" i="24"/>
  <c r="O158" i="24"/>
  <c r="N158" i="24"/>
  <c r="M158" i="24"/>
  <c r="L158" i="24"/>
  <c r="K158" i="24"/>
  <c r="J158" i="24"/>
  <c r="I158" i="24"/>
  <c r="H158" i="24"/>
  <c r="BA157" i="24"/>
  <c r="AZ157" i="24"/>
  <c r="AY157" i="24"/>
  <c r="AX157" i="24"/>
  <c r="AW157" i="24"/>
  <c r="AV157" i="24"/>
  <c r="AU157" i="24"/>
  <c r="AT157" i="24"/>
  <c r="AS157" i="24"/>
  <c r="AR157" i="24"/>
  <c r="AQ157" i="24"/>
  <c r="AP157" i="24"/>
  <c r="AO157" i="24"/>
  <c r="AN157" i="24"/>
  <c r="AM157" i="24"/>
  <c r="AL157" i="24"/>
  <c r="AK157" i="24"/>
  <c r="AJ157" i="24"/>
  <c r="AI157" i="24"/>
  <c r="AH157" i="24"/>
  <c r="AG157" i="24"/>
  <c r="AF157" i="24"/>
  <c r="AE157" i="24"/>
  <c r="AD157" i="24"/>
  <c r="AC157" i="24"/>
  <c r="AB157" i="24"/>
  <c r="AA157" i="24"/>
  <c r="Z157" i="24"/>
  <c r="Y157" i="24"/>
  <c r="X157" i="24"/>
  <c r="W157" i="24"/>
  <c r="V157" i="24"/>
  <c r="U157" i="24"/>
  <c r="T157" i="24"/>
  <c r="S157" i="24"/>
  <c r="R157" i="24"/>
  <c r="Q157" i="24"/>
  <c r="P157" i="24"/>
  <c r="O157" i="24"/>
  <c r="N157" i="24"/>
  <c r="M157" i="24"/>
  <c r="L157" i="24"/>
  <c r="K157" i="24"/>
  <c r="J157" i="24"/>
  <c r="I157" i="24"/>
  <c r="H157" i="24"/>
  <c r="BA156" i="24"/>
  <c r="AZ156" i="24"/>
  <c r="AY156" i="24"/>
  <c r="AX156" i="24"/>
  <c r="AW156" i="24"/>
  <c r="AV156" i="24"/>
  <c r="AU156" i="24"/>
  <c r="AT156" i="24"/>
  <c r="AS156" i="24"/>
  <c r="AR156" i="24"/>
  <c r="AQ156" i="24"/>
  <c r="AP156" i="24"/>
  <c r="AO156" i="24"/>
  <c r="AN156" i="24"/>
  <c r="AM156" i="24"/>
  <c r="AL156" i="24"/>
  <c r="AK156" i="24"/>
  <c r="AJ156" i="24"/>
  <c r="AI156" i="24"/>
  <c r="AH156" i="24"/>
  <c r="AG156" i="24"/>
  <c r="AF156" i="24"/>
  <c r="AE156" i="24"/>
  <c r="AD156" i="24"/>
  <c r="AC156" i="24"/>
  <c r="AB156" i="24"/>
  <c r="AA156" i="24"/>
  <c r="Z156" i="24"/>
  <c r="Y156" i="24"/>
  <c r="X156" i="24"/>
  <c r="W156" i="24"/>
  <c r="V156" i="24"/>
  <c r="U156" i="24"/>
  <c r="T156" i="24"/>
  <c r="S156" i="24"/>
  <c r="R156" i="24"/>
  <c r="Q156" i="24"/>
  <c r="P156" i="24"/>
  <c r="O156" i="24"/>
  <c r="N156" i="24"/>
  <c r="M156" i="24"/>
  <c r="L156" i="24"/>
  <c r="K156" i="24"/>
  <c r="J156" i="24"/>
  <c r="I156" i="24"/>
  <c r="H156" i="24"/>
  <c r="BA155" i="24"/>
  <c r="AZ155" i="24"/>
  <c r="AY155" i="24"/>
  <c r="AX155" i="24"/>
  <c r="AW155" i="24"/>
  <c r="AV155" i="24"/>
  <c r="AU155" i="24"/>
  <c r="AT155" i="24"/>
  <c r="AS155" i="24"/>
  <c r="AR155" i="24"/>
  <c r="AQ155" i="24"/>
  <c r="AP155" i="24"/>
  <c r="AO155" i="24"/>
  <c r="AN155" i="24"/>
  <c r="AM155" i="24"/>
  <c r="AL155" i="24"/>
  <c r="AK155" i="24"/>
  <c r="AJ155" i="24"/>
  <c r="AI155" i="24"/>
  <c r="AH155" i="24"/>
  <c r="AG155" i="24"/>
  <c r="AF155" i="24"/>
  <c r="AE155" i="24"/>
  <c r="AD155" i="24"/>
  <c r="AC155" i="24"/>
  <c r="AB155" i="24"/>
  <c r="AA155" i="24"/>
  <c r="Z155" i="24"/>
  <c r="Y155" i="24"/>
  <c r="X155" i="24"/>
  <c r="W155" i="24"/>
  <c r="V155" i="24"/>
  <c r="U155" i="24"/>
  <c r="T155" i="24"/>
  <c r="S155" i="24"/>
  <c r="R155" i="24"/>
  <c r="Q155" i="24"/>
  <c r="P155" i="24"/>
  <c r="O155" i="24"/>
  <c r="N155" i="24"/>
  <c r="M155" i="24"/>
  <c r="L155" i="24"/>
  <c r="K155" i="24"/>
  <c r="J155" i="24"/>
  <c r="I155" i="24"/>
  <c r="H155" i="24"/>
  <c r="BA154" i="24"/>
  <c r="AZ154" i="24"/>
  <c r="AY154" i="24"/>
  <c r="AX154" i="24"/>
  <c r="AW154" i="24"/>
  <c r="AV154" i="24"/>
  <c r="AU154" i="24"/>
  <c r="AT154" i="24"/>
  <c r="AS154" i="24"/>
  <c r="AR154" i="24"/>
  <c r="AQ154" i="24"/>
  <c r="AP154" i="24"/>
  <c r="AO154" i="24"/>
  <c r="AN154" i="24"/>
  <c r="AM154" i="24"/>
  <c r="AL154" i="24"/>
  <c r="AK154" i="24"/>
  <c r="AJ154" i="24"/>
  <c r="AI154" i="24"/>
  <c r="AH154" i="24"/>
  <c r="AG154" i="24"/>
  <c r="AF154" i="24"/>
  <c r="AE154" i="24"/>
  <c r="AD154" i="24"/>
  <c r="AC154" i="24"/>
  <c r="AB154" i="24"/>
  <c r="AA154" i="24"/>
  <c r="Z154" i="24"/>
  <c r="Y154" i="24"/>
  <c r="X154" i="24"/>
  <c r="W154" i="24"/>
  <c r="V154" i="24"/>
  <c r="U154" i="24"/>
  <c r="T154" i="24"/>
  <c r="S154" i="24"/>
  <c r="R154" i="24"/>
  <c r="Q154" i="24"/>
  <c r="P154" i="24"/>
  <c r="O154" i="24"/>
  <c r="N154" i="24"/>
  <c r="M154" i="24"/>
  <c r="L154" i="24"/>
  <c r="K154" i="24"/>
  <c r="J154" i="24"/>
  <c r="I154" i="24"/>
  <c r="H154" i="24"/>
  <c r="BA153" i="24"/>
  <c r="AZ153" i="24"/>
  <c r="AY153" i="24"/>
  <c r="AX153" i="24"/>
  <c r="AW153" i="24"/>
  <c r="AV153" i="24"/>
  <c r="AU153" i="24"/>
  <c r="AT153" i="24"/>
  <c r="AS153" i="24"/>
  <c r="AR153" i="24"/>
  <c r="AQ153" i="24"/>
  <c r="AP153" i="24"/>
  <c r="AO153" i="24"/>
  <c r="AN153" i="24"/>
  <c r="AM153" i="24"/>
  <c r="AL153" i="24"/>
  <c r="AK153" i="24"/>
  <c r="AJ153" i="24"/>
  <c r="AI153" i="24"/>
  <c r="AH153" i="24"/>
  <c r="AG153" i="24"/>
  <c r="AF153" i="24"/>
  <c r="AE153" i="24"/>
  <c r="AD153" i="24"/>
  <c r="AC153" i="24"/>
  <c r="AB153" i="24"/>
  <c r="AA153" i="24"/>
  <c r="Z153" i="24"/>
  <c r="Y153" i="24"/>
  <c r="X153" i="24"/>
  <c r="W153" i="24"/>
  <c r="V153" i="24"/>
  <c r="U153" i="24"/>
  <c r="T153" i="24"/>
  <c r="S153" i="24"/>
  <c r="R153" i="24"/>
  <c r="Q153" i="24"/>
  <c r="P153" i="24"/>
  <c r="O153" i="24"/>
  <c r="N153" i="24"/>
  <c r="M153" i="24"/>
  <c r="L153" i="24"/>
  <c r="K153" i="24"/>
  <c r="J153" i="24"/>
  <c r="I153" i="24"/>
  <c r="H153" i="24"/>
  <c r="BA152" i="24"/>
  <c r="AZ152" i="24"/>
  <c r="AY152" i="24"/>
  <c r="AX152" i="24"/>
  <c r="AW152" i="24"/>
  <c r="AV152" i="24"/>
  <c r="AU152" i="24"/>
  <c r="AT152" i="24"/>
  <c r="AS152" i="24"/>
  <c r="AR152" i="24"/>
  <c r="AQ152" i="24"/>
  <c r="AP152" i="24"/>
  <c r="AO152" i="24"/>
  <c r="AN152" i="24"/>
  <c r="AM152" i="24"/>
  <c r="AL152" i="24"/>
  <c r="AK152" i="24"/>
  <c r="AJ152" i="24"/>
  <c r="AI152" i="24"/>
  <c r="AH152" i="24"/>
  <c r="AG152" i="24"/>
  <c r="AF152" i="24"/>
  <c r="AE152" i="24"/>
  <c r="AD152" i="24"/>
  <c r="AC152" i="24"/>
  <c r="AB152" i="24"/>
  <c r="AA152" i="24"/>
  <c r="Z152" i="24"/>
  <c r="Y152" i="24"/>
  <c r="X152" i="24"/>
  <c r="W152" i="24"/>
  <c r="V152" i="24"/>
  <c r="U152" i="24"/>
  <c r="T152" i="24"/>
  <c r="S152" i="24"/>
  <c r="R152" i="24"/>
  <c r="Q152" i="24"/>
  <c r="P152" i="24"/>
  <c r="O152" i="24"/>
  <c r="N152" i="24"/>
  <c r="M152" i="24"/>
  <c r="L152" i="24"/>
  <c r="K152" i="24"/>
  <c r="J152" i="24"/>
  <c r="I152" i="24"/>
  <c r="H152" i="24"/>
  <c r="BA151" i="24"/>
  <c r="AZ151" i="24"/>
  <c r="AY151" i="24"/>
  <c r="AX151" i="24"/>
  <c r="AW151" i="24"/>
  <c r="AV151" i="24"/>
  <c r="AU151" i="24"/>
  <c r="AT151" i="24"/>
  <c r="AS151" i="24"/>
  <c r="AR151" i="24"/>
  <c r="AQ151" i="24"/>
  <c r="AP151" i="24"/>
  <c r="AO151" i="24"/>
  <c r="AN151" i="24"/>
  <c r="AM151" i="24"/>
  <c r="AL151" i="24"/>
  <c r="AK151" i="24"/>
  <c r="AJ151" i="24"/>
  <c r="AI151" i="24"/>
  <c r="AH151" i="24"/>
  <c r="AG151" i="24"/>
  <c r="AF151" i="24"/>
  <c r="AE151" i="24"/>
  <c r="AD151" i="24"/>
  <c r="AC151" i="24"/>
  <c r="AB151" i="24"/>
  <c r="AA151" i="24"/>
  <c r="Z151" i="24"/>
  <c r="Y151" i="24"/>
  <c r="X151" i="24"/>
  <c r="W151" i="24"/>
  <c r="V151" i="24"/>
  <c r="U151" i="24"/>
  <c r="T151" i="24"/>
  <c r="S151" i="24"/>
  <c r="R151" i="24"/>
  <c r="Q151" i="24"/>
  <c r="P151" i="24"/>
  <c r="O151" i="24"/>
  <c r="N151" i="24"/>
  <c r="M151" i="24"/>
  <c r="L151" i="24"/>
  <c r="K151" i="24"/>
  <c r="J151" i="24"/>
  <c r="I151" i="24"/>
  <c r="H151" i="24"/>
  <c r="BA150" i="24"/>
  <c r="AZ150" i="24"/>
  <c r="AY150" i="24"/>
  <c r="AX150" i="24"/>
  <c r="AW150" i="24"/>
  <c r="AV150" i="24"/>
  <c r="AU150" i="24"/>
  <c r="AT150" i="24"/>
  <c r="AS150" i="24"/>
  <c r="AR150" i="24"/>
  <c r="AQ150" i="24"/>
  <c r="AP150" i="24"/>
  <c r="AO150" i="24"/>
  <c r="AN150" i="24"/>
  <c r="AM150" i="24"/>
  <c r="AL150" i="24"/>
  <c r="AK150" i="24"/>
  <c r="AJ150" i="24"/>
  <c r="AI150" i="24"/>
  <c r="AH150" i="24"/>
  <c r="AG150" i="24"/>
  <c r="AF150" i="24"/>
  <c r="AE150" i="24"/>
  <c r="AD150" i="24"/>
  <c r="AC150" i="24"/>
  <c r="AB150" i="24"/>
  <c r="AA150" i="24"/>
  <c r="Z150" i="24"/>
  <c r="Y150" i="24"/>
  <c r="X150" i="24"/>
  <c r="W150" i="24"/>
  <c r="V150" i="24"/>
  <c r="U150" i="24"/>
  <c r="T150" i="24"/>
  <c r="S150" i="24"/>
  <c r="R150" i="24"/>
  <c r="Q150" i="24"/>
  <c r="P150" i="24"/>
  <c r="O150" i="24"/>
  <c r="N150" i="24"/>
  <c r="M150" i="24"/>
  <c r="L150" i="24"/>
  <c r="K150" i="24"/>
  <c r="J150" i="24"/>
  <c r="I150" i="24"/>
  <c r="H150" i="24"/>
  <c r="BA149" i="24"/>
  <c r="AZ149" i="24"/>
  <c r="AY149" i="24"/>
  <c r="AX149" i="24"/>
  <c r="AW149" i="24"/>
  <c r="AV149" i="24"/>
  <c r="AU149" i="24"/>
  <c r="AT149" i="24"/>
  <c r="AS149" i="24"/>
  <c r="AR149" i="24"/>
  <c r="AQ149" i="24"/>
  <c r="AP149" i="24"/>
  <c r="AO149" i="24"/>
  <c r="AN149" i="24"/>
  <c r="AM149" i="24"/>
  <c r="AL149" i="24"/>
  <c r="AK149" i="24"/>
  <c r="AJ149" i="24"/>
  <c r="AI149" i="24"/>
  <c r="AH149" i="24"/>
  <c r="AG149" i="24"/>
  <c r="AF149" i="24"/>
  <c r="AE149" i="24"/>
  <c r="AD149" i="24"/>
  <c r="AC149" i="24"/>
  <c r="AB149" i="24"/>
  <c r="AA149" i="24"/>
  <c r="Z149" i="24"/>
  <c r="Y149" i="24"/>
  <c r="X149" i="24"/>
  <c r="W149" i="24"/>
  <c r="V149" i="24"/>
  <c r="U149" i="24"/>
  <c r="T149" i="24"/>
  <c r="S149" i="24"/>
  <c r="R149" i="24"/>
  <c r="Q149" i="24"/>
  <c r="P149" i="24"/>
  <c r="O149" i="24"/>
  <c r="N149" i="24"/>
  <c r="M149" i="24"/>
  <c r="L149" i="24"/>
  <c r="K149" i="24"/>
  <c r="J149" i="24"/>
  <c r="I149" i="24"/>
  <c r="H149" i="24"/>
  <c r="BA148" i="24"/>
  <c r="AZ148" i="24"/>
  <c r="AY148" i="24"/>
  <c r="AX148" i="24"/>
  <c r="AW148" i="24"/>
  <c r="AV148" i="24"/>
  <c r="AU148" i="24"/>
  <c r="AT148" i="24"/>
  <c r="AS148" i="24"/>
  <c r="AR148" i="24"/>
  <c r="AQ148" i="24"/>
  <c r="AP148" i="24"/>
  <c r="AO148" i="24"/>
  <c r="AN148" i="24"/>
  <c r="AM148" i="24"/>
  <c r="AL148" i="24"/>
  <c r="AK148" i="24"/>
  <c r="AJ148" i="24"/>
  <c r="AI148" i="24"/>
  <c r="AH148" i="24"/>
  <c r="AG148" i="24"/>
  <c r="AF148" i="24"/>
  <c r="AE148" i="24"/>
  <c r="AD148" i="24"/>
  <c r="AC148" i="24"/>
  <c r="AB148" i="24"/>
  <c r="AA148" i="24"/>
  <c r="Z148" i="24"/>
  <c r="Y148" i="24"/>
  <c r="X148" i="24"/>
  <c r="W148" i="24"/>
  <c r="V148" i="24"/>
  <c r="U148" i="24"/>
  <c r="T148" i="24"/>
  <c r="S148" i="24"/>
  <c r="R148" i="24"/>
  <c r="Q148" i="24"/>
  <c r="P148" i="24"/>
  <c r="O148" i="24"/>
  <c r="N148" i="24"/>
  <c r="M148" i="24"/>
  <c r="L148" i="24"/>
  <c r="K148" i="24"/>
  <c r="J148" i="24"/>
  <c r="I148" i="24"/>
  <c r="H148" i="24"/>
  <c r="BA147" i="24"/>
  <c r="AZ147" i="24"/>
  <c r="AY147" i="24"/>
  <c r="AX147" i="24"/>
  <c r="AW147" i="24"/>
  <c r="AV147" i="24"/>
  <c r="AU147" i="24"/>
  <c r="AT147" i="24"/>
  <c r="AS147" i="24"/>
  <c r="AR147" i="24"/>
  <c r="AQ147" i="24"/>
  <c r="AP147" i="24"/>
  <c r="AO147" i="24"/>
  <c r="AN147" i="24"/>
  <c r="AM147" i="24"/>
  <c r="AL147" i="24"/>
  <c r="AK147" i="24"/>
  <c r="AJ147" i="24"/>
  <c r="AI147" i="24"/>
  <c r="AH147" i="24"/>
  <c r="AG147" i="24"/>
  <c r="AF147" i="24"/>
  <c r="AE147" i="24"/>
  <c r="AD147" i="24"/>
  <c r="AC147" i="24"/>
  <c r="AB147" i="24"/>
  <c r="AA147" i="24"/>
  <c r="Z147" i="24"/>
  <c r="Y147" i="24"/>
  <c r="X147" i="24"/>
  <c r="W147" i="24"/>
  <c r="V147" i="24"/>
  <c r="U147" i="24"/>
  <c r="T147" i="24"/>
  <c r="S147" i="24"/>
  <c r="R147" i="24"/>
  <c r="Q147" i="24"/>
  <c r="P147" i="24"/>
  <c r="O147" i="24"/>
  <c r="N147" i="24"/>
  <c r="M147" i="24"/>
  <c r="L147" i="24"/>
  <c r="K147" i="24"/>
  <c r="J147" i="24"/>
  <c r="I147" i="24"/>
  <c r="H147" i="24"/>
  <c r="BA146" i="24"/>
  <c r="AZ146" i="24"/>
  <c r="AY146" i="24"/>
  <c r="AX146" i="24"/>
  <c r="AW146" i="24"/>
  <c r="AV146" i="24"/>
  <c r="AU146" i="24"/>
  <c r="AT146" i="24"/>
  <c r="AS146" i="24"/>
  <c r="AR146" i="24"/>
  <c r="AQ146" i="24"/>
  <c r="AP146" i="24"/>
  <c r="AO146" i="24"/>
  <c r="AN146" i="24"/>
  <c r="AM146" i="24"/>
  <c r="AL146" i="24"/>
  <c r="AK146" i="24"/>
  <c r="AJ146" i="24"/>
  <c r="AI146" i="24"/>
  <c r="AH146" i="24"/>
  <c r="AG146" i="24"/>
  <c r="AF146" i="24"/>
  <c r="AE146" i="24"/>
  <c r="AD146" i="24"/>
  <c r="AC146" i="24"/>
  <c r="AB146" i="24"/>
  <c r="AA146" i="24"/>
  <c r="Z146" i="24"/>
  <c r="Y146" i="24"/>
  <c r="X146" i="24"/>
  <c r="W146" i="24"/>
  <c r="V146" i="24"/>
  <c r="U146" i="24"/>
  <c r="T146" i="24"/>
  <c r="S146" i="24"/>
  <c r="R146" i="24"/>
  <c r="Q146" i="24"/>
  <c r="P146" i="24"/>
  <c r="O146" i="24"/>
  <c r="N146" i="24"/>
  <c r="M146" i="24"/>
  <c r="L146" i="24"/>
  <c r="K146" i="24"/>
  <c r="J146" i="24"/>
  <c r="I146" i="24"/>
  <c r="H146" i="24"/>
  <c r="BA145" i="24"/>
  <c r="AZ145" i="24"/>
  <c r="AY145" i="24"/>
  <c r="AX145" i="24"/>
  <c r="AW145" i="24"/>
  <c r="AV145" i="24"/>
  <c r="AU145" i="24"/>
  <c r="AT145" i="24"/>
  <c r="AS145" i="24"/>
  <c r="AR145" i="24"/>
  <c r="AQ145" i="24"/>
  <c r="AP145" i="24"/>
  <c r="AO145" i="24"/>
  <c r="AN145" i="24"/>
  <c r="AM145" i="24"/>
  <c r="AL145" i="24"/>
  <c r="AK145" i="24"/>
  <c r="AJ145" i="24"/>
  <c r="AI145" i="24"/>
  <c r="AH145" i="24"/>
  <c r="AG145" i="24"/>
  <c r="AF145" i="24"/>
  <c r="AE145" i="24"/>
  <c r="AD145" i="24"/>
  <c r="AC145" i="24"/>
  <c r="AB145" i="24"/>
  <c r="AA145" i="24"/>
  <c r="Z145" i="24"/>
  <c r="Y145" i="24"/>
  <c r="X145" i="24"/>
  <c r="W145" i="24"/>
  <c r="V145" i="24"/>
  <c r="U145" i="24"/>
  <c r="T145" i="24"/>
  <c r="S145" i="24"/>
  <c r="R145" i="24"/>
  <c r="Q145" i="24"/>
  <c r="P145" i="24"/>
  <c r="O145" i="24"/>
  <c r="N145" i="24"/>
  <c r="M145" i="24"/>
  <c r="L145" i="24"/>
  <c r="K145" i="24"/>
  <c r="J145" i="24"/>
  <c r="I145" i="24"/>
  <c r="H145" i="24"/>
  <c r="BA144" i="24"/>
  <c r="AZ144" i="24"/>
  <c r="AY144" i="24"/>
  <c r="AX144" i="24"/>
  <c r="AW144" i="24"/>
  <c r="AV144" i="24"/>
  <c r="AU144" i="24"/>
  <c r="AT144" i="24"/>
  <c r="AS144" i="24"/>
  <c r="AR144" i="24"/>
  <c r="AQ144" i="24"/>
  <c r="AP144" i="24"/>
  <c r="AO144" i="24"/>
  <c r="AN144" i="24"/>
  <c r="AM144" i="24"/>
  <c r="AL144" i="24"/>
  <c r="AK144" i="24"/>
  <c r="AJ144" i="24"/>
  <c r="AI144" i="24"/>
  <c r="AH144" i="24"/>
  <c r="AG144" i="24"/>
  <c r="AF144" i="24"/>
  <c r="AE144" i="24"/>
  <c r="AD144" i="24"/>
  <c r="AC144" i="24"/>
  <c r="AB144" i="24"/>
  <c r="AA144" i="24"/>
  <c r="Z144" i="24"/>
  <c r="Y144" i="24"/>
  <c r="X144" i="24"/>
  <c r="W144" i="24"/>
  <c r="V144" i="24"/>
  <c r="U144" i="24"/>
  <c r="T144" i="24"/>
  <c r="S144" i="24"/>
  <c r="R144" i="24"/>
  <c r="Q144" i="24"/>
  <c r="P144" i="24"/>
  <c r="O144" i="24"/>
  <c r="N144" i="24"/>
  <c r="M144" i="24"/>
  <c r="L144" i="24"/>
  <c r="K144" i="24"/>
  <c r="J144" i="24"/>
  <c r="I144" i="24"/>
  <c r="H144" i="24"/>
  <c r="BA143" i="24"/>
  <c r="AZ143" i="24"/>
  <c r="AY143" i="24"/>
  <c r="AX143" i="24"/>
  <c r="AW143" i="24"/>
  <c r="AV143" i="24"/>
  <c r="AU143" i="24"/>
  <c r="AT143" i="24"/>
  <c r="AS143" i="24"/>
  <c r="AR143" i="24"/>
  <c r="AQ143" i="24"/>
  <c r="AP143" i="24"/>
  <c r="AO143" i="24"/>
  <c r="AN143" i="24"/>
  <c r="AM143" i="24"/>
  <c r="AL143" i="24"/>
  <c r="AK143" i="24"/>
  <c r="AJ143" i="24"/>
  <c r="AI143" i="24"/>
  <c r="AH143" i="24"/>
  <c r="AG143" i="24"/>
  <c r="AF143" i="24"/>
  <c r="AE143" i="24"/>
  <c r="AD143" i="24"/>
  <c r="AC143" i="24"/>
  <c r="AB143" i="24"/>
  <c r="AA143" i="24"/>
  <c r="Z143" i="24"/>
  <c r="Y143" i="24"/>
  <c r="X143" i="24"/>
  <c r="W143" i="24"/>
  <c r="V143" i="24"/>
  <c r="U143" i="24"/>
  <c r="T143" i="24"/>
  <c r="S143" i="24"/>
  <c r="R143" i="24"/>
  <c r="Q143" i="24"/>
  <c r="P143" i="24"/>
  <c r="O143" i="24"/>
  <c r="N143" i="24"/>
  <c r="M143" i="24"/>
  <c r="L143" i="24"/>
  <c r="K143" i="24"/>
  <c r="J143" i="24"/>
  <c r="I143" i="24"/>
  <c r="H143" i="24"/>
  <c r="BA142" i="24"/>
  <c r="AZ142" i="24"/>
  <c r="AY142" i="24"/>
  <c r="AX142" i="24"/>
  <c r="AW142" i="24"/>
  <c r="AV142" i="24"/>
  <c r="AU142" i="24"/>
  <c r="AT142" i="24"/>
  <c r="AS142" i="24"/>
  <c r="AR142" i="24"/>
  <c r="AQ142" i="24"/>
  <c r="AP142" i="24"/>
  <c r="AO142" i="24"/>
  <c r="AN142" i="24"/>
  <c r="AM142" i="24"/>
  <c r="AL142" i="24"/>
  <c r="AK142" i="24"/>
  <c r="AJ142" i="24"/>
  <c r="AI142" i="24"/>
  <c r="AH142" i="24"/>
  <c r="AG142" i="24"/>
  <c r="AF142" i="24"/>
  <c r="AE142" i="24"/>
  <c r="AD142" i="24"/>
  <c r="AC142" i="24"/>
  <c r="AB142" i="24"/>
  <c r="AA142" i="24"/>
  <c r="Z142" i="24"/>
  <c r="Y142" i="24"/>
  <c r="X142" i="24"/>
  <c r="W142" i="24"/>
  <c r="V142" i="24"/>
  <c r="U142" i="24"/>
  <c r="T142" i="24"/>
  <c r="S142" i="24"/>
  <c r="R142" i="24"/>
  <c r="Q142" i="24"/>
  <c r="P142" i="24"/>
  <c r="O142" i="24"/>
  <c r="N142" i="24"/>
  <c r="M142" i="24"/>
  <c r="L142" i="24"/>
  <c r="K142" i="24"/>
  <c r="J142" i="24"/>
  <c r="I142" i="24"/>
  <c r="H142" i="24"/>
  <c r="BA141" i="24"/>
  <c r="AZ141" i="24"/>
  <c r="AY141" i="24"/>
  <c r="AX141" i="24"/>
  <c r="AW141" i="24"/>
  <c r="AV141" i="24"/>
  <c r="AU141" i="24"/>
  <c r="AT141" i="24"/>
  <c r="AS141" i="24"/>
  <c r="AR141" i="24"/>
  <c r="AQ141" i="24"/>
  <c r="AP141" i="24"/>
  <c r="AO141" i="24"/>
  <c r="AN141" i="24"/>
  <c r="AM141" i="24"/>
  <c r="AL141" i="24"/>
  <c r="AK141" i="24"/>
  <c r="AJ141" i="24"/>
  <c r="AI141" i="24"/>
  <c r="AH141" i="24"/>
  <c r="AG141" i="24"/>
  <c r="AF141" i="24"/>
  <c r="AE141" i="24"/>
  <c r="AD141" i="24"/>
  <c r="AC141" i="24"/>
  <c r="AB141" i="24"/>
  <c r="AA141" i="24"/>
  <c r="Z141" i="24"/>
  <c r="Y141" i="24"/>
  <c r="X141" i="24"/>
  <c r="W141" i="24"/>
  <c r="V141" i="24"/>
  <c r="U141" i="24"/>
  <c r="T141" i="24"/>
  <c r="S141" i="24"/>
  <c r="R141" i="24"/>
  <c r="Q141" i="24"/>
  <c r="P141" i="24"/>
  <c r="O141" i="24"/>
  <c r="N141" i="24"/>
  <c r="M141" i="24"/>
  <c r="L141" i="24"/>
  <c r="K141" i="24"/>
  <c r="J141" i="24"/>
  <c r="I141" i="24"/>
  <c r="H141" i="24"/>
  <c r="BA140" i="24"/>
  <c r="AZ140" i="24"/>
  <c r="AY140" i="24"/>
  <c r="AX140" i="24"/>
  <c r="AW140" i="24"/>
  <c r="AV140" i="24"/>
  <c r="AU140" i="24"/>
  <c r="AT140" i="24"/>
  <c r="AS140" i="24"/>
  <c r="AR140" i="24"/>
  <c r="AQ140" i="24"/>
  <c r="AP140" i="24"/>
  <c r="AO140" i="24"/>
  <c r="AN140" i="24"/>
  <c r="AM140" i="24"/>
  <c r="AL140" i="24"/>
  <c r="AK140" i="24"/>
  <c r="AJ140" i="24"/>
  <c r="AI140" i="24"/>
  <c r="AH140" i="24"/>
  <c r="AG140" i="24"/>
  <c r="AF140" i="24"/>
  <c r="AE140" i="24"/>
  <c r="AD140" i="24"/>
  <c r="AC140" i="24"/>
  <c r="AB140" i="24"/>
  <c r="AA140" i="24"/>
  <c r="Z140" i="24"/>
  <c r="Y140" i="24"/>
  <c r="X140" i="24"/>
  <c r="W140" i="24"/>
  <c r="V140" i="24"/>
  <c r="U140" i="24"/>
  <c r="T140" i="24"/>
  <c r="S140" i="24"/>
  <c r="R140" i="24"/>
  <c r="Q140" i="24"/>
  <c r="P140" i="24"/>
  <c r="O140" i="24"/>
  <c r="N140" i="24"/>
  <c r="M140" i="24"/>
  <c r="L140" i="24"/>
  <c r="K140" i="24"/>
  <c r="J140" i="24"/>
  <c r="I140" i="24"/>
  <c r="H140" i="24"/>
  <c r="BA139" i="24"/>
  <c r="AZ139" i="24"/>
  <c r="AY139" i="24"/>
  <c r="AX139" i="24"/>
  <c r="AW139" i="24"/>
  <c r="AV139" i="24"/>
  <c r="AU139" i="24"/>
  <c r="AT139" i="24"/>
  <c r="AS139" i="24"/>
  <c r="AR139" i="24"/>
  <c r="AQ139" i="24"/>
  <c r="AP139" i="24"/>
  <c r="AO139" i="24"/>
  <c r="AN139" i="24"/>
  <c r="AM139" i="24"/>
  <c r="AL139" i="24"/>
  <c r="AK139" i="24"/>
  <c r="AJ139" i="24"/>
  <c r="AI139" i="24"/>
  <c r="AH139" i="24"/>
  <c r="AG139" i="24"/>
  <c r="AF139" i="24"/>
  <c r="AE139" i="24"/>
  <c r="AD139" i="24"/>
  <c r="AC139" i="24"/>
  <c r="AB139" i="24"/>
  <c r="AA139" i="24"/>
  <c r="Z139" i="24"/>
  <c r="Y139" i="24"/>
  <c r="X139" i="24"/>
  <c r="W139" i="24"/>
  <c r="V139" i="24"/>
  <c r="U139" i="24"/>
  <c r="T139" i="24"/>
  <c r="S139" i="24"/>
  <c r="R139" i="24"/>
  <c r="Q139" i="24"/>
  <c r="P139" i="24"/>
  <c r="O139" i="24"/>
  <c r="N139" i="24"/>
  <c r="M139" i="24"/>
  <c r="L139" i="24"/>
  <c r="K139" i="24"/>
  <c r="J139" i="24"/>
  <c r="I139" i="24"/>
  <c r="H139" i="24"/>
  <c r="BA138" i="24"/>
  <c r="AZ138" i="24"/>
  <c r="AY138" i="24"/>
  <c r="AX138" i="24"/>
  <c r="AW138" i="24"/>
  <c r="AV138" i="24"/>
  <c r="AU138" i="24"/>
  <c r="AT138" i="24"/>
  <c r="AS138" i="24"/>
  <c r="AR138" i="24"/>
  <c r="AQ138" i="24"/>
  <c r="AP138" i="24"/>
  <c r="AO138" i="24"/>
  <c r="AN138" i="24"/>
  <c r="AM138" i="24"/>
  <c r="AL138" i="24"/>
  <c r="AK138" i="24"/>
  <c r="AJ138" i="24"/>
  <c r="AI138" i="24"/>
  <c r="AH138" i="24"/>
  <c r="AG138" i="24"/>
  <c r="AF138" i="24"/>
  <c r="AE138" i="24"/>
  <c r="AD138" i="24"/>
  <c r="AC138" i="24"/>
  <c r="AB138" i="24"/>
  <c r="AA138" i="24"/>
  <c r="Z138" i="24"/>
  <c r="Y138" i="24"/>
  <c r="X138" i="24"/>
  <c r="W138" i="24"/>
  <c r="V138" i="24"/>
  <c r="U138" i="24"/>
  <c r="T138" i="24"/>
  <c r="S138" i="24"/>
  <c r="R138" i="24"/>
  <c r="Q138" i="24"/>
  <c r="P138" i="24"/>
  <c r="O138" i="24"/>
  <c r="N138" i="24"/>
  <c r="M138" i="24"/>
  <c r="L138" i="24"/>
  <c r="K138" i="24"/>
  <c r="J138" i="24"/>
  <c r="I138" i="24"/>
  <c r="H138" i="24"/>
  <c r="BA137" i="24"/>
  <c r="AZ137" i="24"/>
  <c r="AY137" i="24"/>
  <c r="AX137" i="24"/>
  <c r="AW137" i="24"/>
  <c r="AV137" i="24"/>
  <c r="AU137" i="24"/>
  <c r="AT137" i="24"/>
  <c r="AS137" i="24"/>
  <c r="AR137" i="24"/>
  <c r="AQ137" i="24"/>
  <c r="AP137" i="24"/>
  <c r="AO137" i="24"/>
  <c r="AN137" i="24"/>
  <c r="AM137" i="24"/>
  <c r="AL137" i="24"/>
  <c r="AK137" i="24"/>
  <c r="AJ137" i="24"/>
  <c r="AI137" i="24"/>
  <c r="AH137" i="24"/>
  <c r="AG137" i="24"/>
  <c r="AF137" i="24"/>
  <c r="AE137" i="24"/>
  <c r="AD137" i="24"/>
  <c r="AC137" i="24"/>
  <c r="AB137" i="24"/>
  <c r="AA137" i="24"/>
  <c r="Z137" i="24"/>
  <c r="Y137" i="24"/>
  <c r="X137" i="24"/>
  <c r="W137" i="24"/>
  <c r="V137" i="24"/>
  <c r="U137" i="24"/>
  <c r="T137" i="24"/>
  <c r="S137" i="24"/>
  <c r="R137" i="24"/>
  <c r="Q137" i="24"/>
  <c r="P137" i="24"/>
  <c r="O137" i="24"/>
  <c r="N137" i="24"/>
  <c r="M137" i="24"/>
  <c r="L137" i="24"/>
  <c r="K137" i="24"/>
  <c r="J137" i="24"/>
  <c r="I137" i="24"/>
  <c r="H137" i="24"/>
  <c r="BA136" i="24"/>
  <c r="AZ136" i="24"/>
  <c r="AY136" i="24"/>
  <c r="AX136" i="24"/>
  <c r="AW136" i="24"/>
  <c r="AV136" i="24"/>
  <c r="AU136" i="24"/>
  <c r="AT136" i="24"/>
  <c r="AS136" i="24"/>
  <c r="AR136" i="24"/>
  <c r="AQ136" i="24"/>
  <c r="AP136" i="24"/>
  <c r="AO136" i="24"/>
  <c r="AN136" i="24"/>
  <c r="AM136" i="24"/>
  <c r="AL136" i="24"/>
  <c r="AK136" i="24"/>
  <c r="AJ136" i="24"/>
  <c r="AI136" i="24"/>
  <c r="AH136" i="24"/>
  <c r="AG136" i="24"/>
  <c r="AF136" i="24"/>
  <c r="AE136" i="24"/>
  <c r="AD136" i="24"/>
  <c r="AC136" i="24"/>
  <c r="AB136" i="24"/>
  <c r="AA136" i="24"/>
  <c r="Z136" i="24"/>
  <c r="Y136" i="24"/>
  <c r="X136" i="24"/>
  <c r="W136" i="24"/>
  <c r="V136" i="24"/>
  <c r="U136" i="24"/>
  <c r="T136" i="24"/>
  <c r="S136" i="24"/>
  <c r="R136" i="24"/>
  <c r="Q136" i="24"/>
  <c r="P136" i="24"/>
  <c r="O136" i="24"/>
  <c r="N136" i="24"/>
  <c r="M136" i="24"/>
  <c r="L136" i="24"/>
  <c r="K136" i="24"/>
  <c r="J136" i="24"/>
  <c r="I136" i="24"/>
  <c r="H136" i="24"/>
  <c r="BA135" i="24"/>
  <c r="AZ135" i="24"/>
  <c r="AY135" i="24"/>
  <c r="AX135" i="24"/>
  <c r="AW135" i="24"/>
  <c r="AV135" i="24"/>
  <c r="AU135" i="24"/>
  <c r="AT135" i="24"/>
  <c r="AS135" i="24"/>
  <c r="AR135" i="24"/>
  <c r="AQ135" i="24"/>
  <c r="AP135" i="24"/>
  <c r="AO135" i="24"/>
  <c r="AN135" i="24"/>
  <c r="AM135" i="24"/>
  <c r="AL135" i="24"/>
  <c r="AK135" i="24"/>
  <c r="AJ135" i="24"/>
  <c r="AI135" i="24"/>
  <c r="AH135" i="24"/>
  <c r="AG135" i="24"/>
  <c r="AF135" i="24"/>
  <c r="AE135" i="24"/>
  <c r="AD135" i="24"/>
  <c r="AC135" i="24"/>
  <c r="AB135" i="24"/>
  <c r="AA135" i="24"/>
  <c r="Z135" i="24"/>
  <c r="Y135" i="24"/>
  <c r="X135" i="24"/>
  <c r="W135" i="24"/>
  <c r="V135" i="24"/>
  <c r="U135" i="24"/>
  <c r="T135" i="24"/>
  <c r="S135" i="24"/>
  <c r="R135" i="24"/>
  <c r="Q135" i="24"/>
  <c r="P135" i="24"/>
  <c r="O135" i="24"/>
  <c r="N135" i="24"/>
  <c r="M135" i="24"/>
  <c r="L135" i="24"/>
  <c r="K135" i="24"/>
  <c r="J135" i="24"/>
  <c r="I135" i="24"/>
  <c r="H135" i="24"/>
  <c r="BA134" i="24"/>
  <c r="AZ134" i="24"/>
  <c r="AY134" i="24"/>
  <c r="AX134" i="24"/>
  <c r="AW134" i="24"/>
  <c r="AV134" i="24"/>
  <c r="AU134" i="24"/>
  <c r="AT134" i="24"/>
  <c r="AS134" i="24"/>
  <c r="AR134" i="24"/>
  <c r="AQ134" i="24"/>
  <c r="AP134" i="24"/>
  <c r="AO134" i="24"/>
  <c r="AN134" i="24"/>
  <c r="AM134" i="24"/>
  <c r="AL134" i="24"/>
  <c r="AK134" i="24"/>
  <c r="AJ134" i="24"/>
  <c r="AI134" i="24"/>
  <c r="AH134" i="24"/>
  <c r="AG134" i="24"/>
  <c r="AF134" i="24"/>
  <c r="AE134" i="24"/>
  <c r="AD134" i="24"/>
  <c r="AC134" i="24"/>
  <c r="AB134" i="24"/>
  <c r="AA134" i="24"/>
  <c r="Z134" i="24"/>
  <c r="Y134" i="24"/>
  <c r="X134" i="24"/>
  <c r="W134" i="24"/>
  <c r="V134" i="24"/>
  <c r="U134" i="24"/>
  <c r="T134" i="24"/>
  <c r="S134" i="24"/>
  <c r="R134" i="24"/>
  <c r="Q134" i="24"/>
  <c r="P134" i="24"/>
  <c r="O134" i="24"/>
  <c r="N134" i="24"/>
  <c r="M134" i="24"/>
  <c r="L134" i="24"/>
  <c r="K134" i="24"/>
  <c r="J134" i="24"/>
  <c r="I134" i="24"/>
  <c r="H134" i="24"/>
  <c r="BA133" i="24"/>
  <c r="AZ133" i="24"/>
  <c r="AY133" i="24"/>
  <c r="AX133" i="24"/>
  <c r="AW133" i="24"/>
  <c r="AV133" i="24"/>
  <c r="AU133" i="24"/>
  <c r="AT133" i="24"/>
  <c r="AS133" i="24"/>
  <c r="AR133" i="24"/>
  <c r="AQ133" i="24"/>
  <c r="AP133" i="24"/>
  <c r="AO133" i="24"/>
  <c r="AN133" i="24"/>
  <c r="AM133" i="24"/>
  <c r="AL133" i="24"/>
  <c r="AK133" i="24"/>
  <c r="AJ133" i="24"/>
  <c r="AI133" i="24"/>
  <c r="AH133" i="24"/>
  <c r="AG133" i="24"/>
  <c r="AF133" i="24"/>
  <c r="AE133" i="24"/>
  <c r="AD133" i="24"/>
  <c r="AC133" i="24"/>
  <c r="AB133" i="24"/>
  <c r="AA133" i="24"/>
  <c r="Z133" i="24"/>
  <c r="Y133" i="24"/>
  <c r="X133" i="24"/>
  <c r="W133" i="24"/>
  <c r="V133" i="24"/>
  <c r="U133" i="24"/>
  <c r="T133" i="24"/>
  <c r="S133" i="24"/>
  <c r="R133" i="24"/>
  <c r="Q133" i="24"/>
  <c r="P133" i="24"/>
  <c r="O133" i="24"/>
  <c r="N133" i="24"/>
  <c r="M133" i="24"/>
  <c r="L133" i="24"/>
  <c r="K133" i="24"/>
  <c r="J133" i="24"/>
  <c r="I133" i="24"/>
  <c r="H133" i="24"/>
  <c r="BA132" i="24"/>
  <c r="AZ132" i="24"/>
  <c r="AY132" i="24"/>
  <c r="AX132" i="24"/>
  <c r="AW132" i="24"/>
  <c r="AV132" i="24"/>
  <c r="AU132" i="24"/>
  <c r="AT132" i="24"/>
  <c r="AS132" i="24"/>
  <c r="AR132" i="24"/>
  <c r="AQ132" i="24"/>
  <c r="AP132" i="24"/>
  <c r="AO132" i="24"/>
  <c r="AN132" i="24"/>
  <c r="AM132" i="24"/>
  <c r="AL132" i="24"/>
  <c r="AK132" i="24"/>
  <c r="AJ132" i="24"/>
  <c r="AI132" i="24"/>
  <c r="AH132" i="24"/>
  <c r="AG132" i="24"/>
  <c r="AF132" i="24"/>
  <c r="AE132" i="24"/>
  <c r="AD132" i="24"/>
  <c r="AC132" i="24"/>
  <c r="AB132" i="24"/>
  <c r="AA132" i="24"/>
  <c r="Z132" i="24"/>
  <c r="Y132" i="24"/>
  <c r="X132" i="24"/>
  <c r="W132" i="24"/>
  <c r="V132" i="24"/>
  <c r="U132" i="24"/>
  <c r="T132" i="24"/>
  <c r="S132" i="24"/>
  <c r="R132" i="24"/>
  <c r="Q132" i="24"/>
  <c r="P132" i="24"/>
  <c r="O132" i="24"/>
  <c r="N132" i="24"/>
  <c r="M132" i="24"/>
  <c r="L132" i="24"/>
  <c r="K132" i="24"/>
  <c r="J132" i="24"/>
  <c r="I132" i="24"/>
  <c r="H132" i="24"/>
  <c r="BA131" i="24"/>
  <c r="AZ131" i="24"/>
  <c r="AY131" i="24"/>
  <c r="AX131" i="24"/>
  <c r="AW131" i="24"/>
  <c r="AV131" i="24"/>
  <c r="AU131" i="24"/>
  <c r="AT131" i="24"/>
  <c r="AS131" i="24"/>
  <c r="AR131" i="24"/>
  <c r="AQ131" i="24"/>
  <c r="AP131" i="24"/>
  <c r="AO131" i="24"/>
  <c r="AN131" i="24"/>
  <c r="AM131" i="24"/>
  <c r="AL131" i="24"/>
  <c r="AK131" i="24"/>
  <c r="AJ131" i="24"/>
  <c r="AI131" i="24"/>
  <c r="AH131" i="24"/>
  <c r="AG131" i="24"/>
  <c r="AF131" i="24"/>
  <c r="AE131" i="24"/>
  <c r="AD131" i="24"/>
  <c r="AC131" i="24"/>
  <c r="AB131" i="24"/>
  <c r="AA131" i="24"/>
  <c r="Z131" i="24"/>
  <c r="Y131" i="24"/>
  <c r="X131" i="24"/>
  <c r="W131" i="24"/>
  <c r="V131" i="24"/>
  <c r="U131" i="24"/>
  <c r="T131" i="24"/>
  <c r="S131" i="24"/>
  <c r="R131" i="24"/>
  <c r="Q131" i="24"/>
  <c r="P131" i="24"/>
  <c r="O131" i="24"/>
  <c r="N131" i="24"/>
  <c r="M131" i="24"/>
  <c r="L131" i="24"/>
  <c r="K131" i="24"/>
  <c r="J131" i="24"/>
  <c r="I131" i="24"/>
  <c r="H131" i="24"/>
  <c r="BA130" i="24"/>
  <c r="AZ130" i="24"/>
  <c r="AY130" i="24"/>
  <c r="AX130" i="24"/>
  <c r="AW130" i="24"/>
  <c r="AV130" i="24"/>
  <c r="AU130" i="24"/>
  <c r="AT130" i="24"/>
  <c r="AS130" i="24"/>
  <c r="AR130" i="24"/>
  <c r="AQ130" i="24"/>
  <c r="AP130" i="24"/>
  <c r="AO130" i="24"/>
  <c r="AN130" i="24"/>
  <c r="AM130" i="24"/>
  <c r="AL130" i="24"/>
  <c r="AK130" i="24"/>
  <c r="AJ130" i="24"/>
  <c r="AI130" i="24"/>
  <c r="AH130" i="24"/>
  <c r="AG130" i="24"/>
  <c r="AF130" i="24"/>
  <c r="AE130" i="24"/>
  <c r="AD130" i="24"/>
  <c r="AC130" i="24"/>
  <c r="AB130" i="24"/>
  <c r="AA130" i="24"/>
  <c r="Z130" i="24"/>
  <c r="Y130" i="24"/>
  <c r="X130" i="24"/>
  <c r="W130" i="24"/>
  <c r="V130" i="24"/>
  <c r="U130" i="24"/>
  <c r="T130" i="24"/>
  <c r="S130" i="24"/>
  <c r="R130" i="24"/>
  <c r="Q130" i="24"/>
  <c r="P130" i="24"/>
  <c r="O130" i="24"/>
  <c r="N130" i="24"/>
  <c r="M130" i="24"/>
  <c r="L130" i="24"/>
  <c r="K130" i="24"/>
  <c r="J130" i="24"/>
  <c r="I130" i="24"/>
  <c r="H130" i="24"/>
  <c r="BA129" i="24"/>
  <c r="AZ129" i="24"/>
  <c r="AY129" i="24"/>
  <c r="AX129" i="24"/>
  <c r="AW129" i="24"/>
  <c r="AV129" i="24"/>
  <c r="AU129" i="24"/>
  <c r="AT129" i="24"/>
  <c r="AS129" i="24"/>
  <c r="AR129" i="24"/>
  <c r="AQ129" i="24"/>
  <c r="AP129" i="24"/>
  <c r="AO129" i="24"/>
  <c r="AN129" i="24"/>
  <c r="AM129" i="24"/>
  <c r="AL129" i="24"/>
  <c r="AK129" i="24"/>
  <c r="AJ129" i="24"/>
  <c r="AI129" i="24"/>
  <c r="AH129" i="24"/>
  <c r="AG129" i="24"/>
  <c r="AF129" i="24"/>
  <c r="AE129" i="24"/>
  <c r="AD129" i="24"/>
  <c r="AC129" i="24"/>
  <c r="AB129" i="24"/>
  <c r="AA129" i="24"/>
  <c r="Z129" i="24"/>
  <c r="Y129" i="24"/>
  <c r="X129" i="24"/>
  <c r="W129" i="24"/>
  <c r="V129" i="24"/>
  <c r="U129" i="24"/>
  <c r="T129" i="24"/>
  <c r="S129" i="24"/>
  <c r="R129" i="24"/>
  <c r="Q129" i="24"/>
  <c r="P129" i="24"/>
  <c r="O129" i="24"/>
  <c r="N129" i="24"/>
  <c r="M129" i="24"/>
  <c r="L129" i="24"/>
  <c r="K129" i="24"/>
  <c r="J129" i="24"/>
  <c r="I129" i="24"/>
  <c r="H129" i="24"/>
  <c r="BA128" i="24"/>
  <c r="AZ128" i="24"/>
  <c r="AY128" i="24"/>
  <c r="AX128" i="24"/>
  <c r="AW128" i="24"/>
  <c r="AV128" i="24"/>
  <c r="AU128" i="24"/>
  <c r="AT128" i="24"/>
  <c r="AS128" i="24"/>
  <c r="AR128" i="24"/>
  <c r="AQ128" i="24"/>
  <c r="AP128" i="24"/>
  <c r="AO128" i="24"/>
  <c r="AN128" i="24"/>
  <c r="AM128" i="24"/>
  <c r="AL128" i="24"/>
  <c r="AK128" i="24"/>
  <c r="AJ128" i="24"/>
  <c r="AI128" i="24"/>
  <c r="AH128" i="24"/>
  <c r="AG128" i="24"/>
  <c r="AF128" i="24"/>
  <c r="AE128" i="24"/>
  <c r="AD128" i="24"/>
  <c r="AC128" i="24"/>
  <c r="AB128" i="24"/>
  <c r="AA128" i="24"/>
  <c r="Z128" i="24"/>
  <c r="Y128" i="24"/>
  <c r="X128" i="24"/>
  <c r="W128" i="24"/>
  <c r="V128" i="24"/>
  <c r="U128" i="24"/>
  <c r="T128" i="24"/>
  <c r="S128" i="24"/>
  <c r="R128" i="24"/>
  <c r="Q128" i="24"/>
  <c r="P128" i="24"/>
  <c r="O128" i="24"/>
  <c r="N128" i="24"/>
  <c r="M128" i="24"/>
  <c r="L128" i="24"/>
  <c r="K128" i="24"/>
  <c r="J128" i="24"/>
  <c r="I128" i="24"/>
  <c r="H128" i="24"/>
  <c r="BA127" i="24"/>
  <c r="AZ127" i="24"/>
  <c r="AY127" i="24"/>
  <c r="AX127" i="24"/>
  <c r="AW127" i="24"/>
  <c r="AV127" i="24"/>
  <c r="AU127" i="24"/>
  <c r="AT127" i="24"/>
  <c r="AS127" i="24"/>
  <c r="AR127" i="24"/>
  <c r="AQ127" i="24"/>
  <c r="AP127" i="24"/>
  <c r="AO127" i="24"/>
  <c r="AN127" i="24"/>
  <c r="AM127" i="24"/>
  <c r="AL127" i="24"/>
  <c r="AK127" i="24"/>
  <c r="AJ127" i="24"/>
  <c r="AI127" i="24"/>
  <c r="AH127" i="24"/>
  <c r="AG127" i="24"/>
  <c r="AF127" i="24"/>
  <c r="AE127" i="24"/>
  <c r="AD127" i="24"/>
  <c r="AC127" i="24"/>
  <c r="AB127" i="24"/>
  <c r="AA127" i="24"/>
  <c r="Z127" i="24"/>
  <c r="Y127" i="24"/>
  <c r="X127" i="24"/>
  <c r="W127" i="24"/>
  <c r="V127" i="24"/>
  <c r="U127" i="24"/>
  <c r="T127" i="24"/>
  <c r="S127" i="24"/>
  <c r="R127" i="24"/>
  <c r="Q127" i="24"/>
  <c r="P127" i="24"/>
  <c r="O127" i="24"/>
  <c r="N127" i="24"/>
  <c r="M127" i="24"/>
  <c r="L127" i="24"/>
  <c r="K127" i="24"/>
  <c r="J127" i="24"/>
  <c r="I127" i="24"/>
  <c r="H127" i="24"/>
  <c r="BA126" i="24"/>
  <c r="AZ126" i="24"/>
  <c r="AY126" i="24"/>
  <c r="AX126" i="24"/>
  <c r="AW126" i="24"/>
  <c r="AV126" i="24"/>
  <c r="AU126" i="24"/>
  <c r="AT126" i="24"/>
  <c r="AS126" i="24"/>
  <c r="AR126" i="24"/>
  <c r="AQ126" i="24"/>
  <c r="AP126" i="24"/>
  <c r="AO126" i="24"/>
  <c r="AN126" i="24"/>
  <c r="AM126" i="24"/>
  <c r="AL126" i="24"/>
  <c r="AK126" i="24"/>
  <c r="AJ126" i="24"/>
  <c r="AI126" i="24"/>
  <c r="AH126" i="24"/>
  <c r="AG126" i="24"/>
  <c r="AF126" i="24"/>
  <c r="AE126" i="24"/>
  <c r="AD126" i="24"/>
  <c r="AC126" i="24"/>
  <c r="AB126" i="24"/>
  <c r="AA126" i="24"/>
  <c r="Z126" i="24"/>
  <c r="Y126" i="24"/>
  <c r="X126" i="24"/>
  <c r="W126" i="24"/>
  <c r="V126" i="24"/>
  <c r="U126" i="24"/>
  <c r="T126" i="24"/>
  <c r="S126" i="24"/>
  <c r="R126" i="24"/>
  <c r="Q126" i="24"/>
  <c r="P126" i="24"/>
  <c r="O126" i="24"/>
  <c r="N126" i="24"/>
  <c r="M126" i="24"/>
  <c r="L126" i="24"/>
  <c r="K126" i="24"/>
  <c r="J126" i="24"/>
  <c r="I126" i="24"/>
  <c r="H126" i="24"/>
  <c r="BA125" i="24"/>
  <c r="AZ125" i="24"/>
  <c r="AY125" i="24"/>
  <c r="AX125" i="24"/>
  <c r="AW125" i="24"/>
  <c r="AV125" i="24"/>
  <c r="AU125" i="24"/>
  <c r="AT125" i="24"/>
  <c r="AS125" i="24"/>
  <c r="AR125" i="24"/>
  <c r="AQ125" i="24"/>
  <c r="AP125" i="24"/>
  <c r="AO125" i="24"/>
  <c r="AN125" i="24"/>
  <c r="AM125" i="24"/>
  <c r="AL125" i="24"/>
  <c r="AK125" i="24"/>
  <c r="AJ125" i="24"/>
  <c r="AI125" i="24"/>
  <c r="AH125" i="24"/>
  <c r="AG125" i="24"/>
  <c r="AF125" i="24"/>
  <c r="AE125" i="24"/>
  <c r="AD125" i="24"/>
  <c r="AC125" i="24"/>
  <c r="AB125" i="24"/>
  <c r="AA125" i="24"/>
  <c r="Z125" i="24"/>
  <c r="Y125" i="24"/>
  <c r="X125" i="24"/>
  <c r="W125" i="24"/>
  <c r="V125" i="24"/>
  <c r="U125" i="24"/>
  <c r="T125" i="24"/>
  <c r="S125" i="24"/>
  <c r="R125" i="24"/>
  <c r="Q125" i="24"/>
  <c r="P125" i="24"/>
  <c r="O125" i="24"/>
  <c r="N125" i="24"/>
  <c r="M125" i="24"/>
  <c r="L125" i="24"/>
  <c r="K125" i="24"/>
  <c r="J125" i="24"/>
  <c r="I125" i="24"/>
  <c r="H125" i="24"/>
  <c r="BA124" i="24"/>
  <c r="AZ124" i="24"/>
  <c r="AY124" i="24"/>
  <c r="AX124" i="24"/>
  <c r="AW124" i="24"/>
  <c r="AV124" i="24"/>
  <c r="AU124" i="24"/>
  <c r="AT124" i="24"/>
  <c r="AS124" i="24"/>
  <c r="AR124" i="24"/>
  <c r="AQ124" i="24"/>
  <c r="AP124" i="24"/>
  <c r="AO124" i="24"/>
  <c r="AN124" i="24"/>
  <c r="AM124" i="24"/>
  <c r="AL124" i="24"/>
  <c r="AK124" i="24"/>
  <c r="AJ124" i="24"/>
  <c r="AI124" i="24"/>
  <c r="AH124" i="24"/>
  <c r="AG124" i="24"/>
  <c r="AF124" i="24"/>
  <c r="AE124" i="24"/>
  <c r="AD124" i="24"/>
  <c r="AC124" i="24"/>
  <c r="AB124" i="24"/>
  <c r="AA124" i="24"/>
  <c r="Z124" i="24"/>
  <c r="Y124" i="24"/>
  <c r="X124" i="24"/>
  <c r="W124" i="24"/>
  <c r="V124" i="24"/>
  <c r="U124" i="24"/>
  <c r="T124" i="24"/>
  <c r="S124" i="24"/>
  <c r="R124" i="24"/>
  <c r="Q124" i="24"/>
  <c r="P124" i="24"/>
  <c r="O124" i="24"/>
  <c r="N124" i="24"/>
  <c r="M124" i="24"/>
  <c r="L124" i="24"/>
  <c r="K124" i="24"/>
  <c r="J124" i="24"/>
  <c r="I124" i="24"/>
  <c r="H124" i="24"/>
  <c r="BA123" i="24"/>
  <c r="AZ123" i="24"/>
  <c r="AY123" i="24"/>
  <c r="AX123" i="24"/>
  <c r="AW123" i="24"/>
  <c r="AV123" i="24"/>
  <c r="AU123" i="24"/>
  <c r="AT123" i="24"/>
  <c r="AS123" i="24"/>
  <c r="AR123" i="24"/>
  <c r="AQ123" i="24"/>
  <c r="AP123" i="24"/>
  <c r="AO123" i="24"/>
  <c r="AN123" i="24"/>
  <c r="AM123" i="24"/>
  <c r="AL123" i="24"/>
  <c r="AK123" i="24"/>
  <c r="AJ123" i="24"/>
  <c r="AI123" i="24"/>
  <c r="AH123" i="24"/>
  <c r="AG123" i="24"/>
  <c r="AF123" i="24"/>
  <c r="AE123" i="24"/>
  <c r="AD123" i="24"/>
  <c r="AC123" i="24"/>
  <c r="AB123" i="24"/>
  <c r="AA123" i="24"/>
  <c r="Z123" i="24"/>
  <c r="Y123" i="24"/>
  <c r="X123" i="24"/>
  <c r="W123" i="24"/>
  <c r="V123" i="24"/>
  <c r="U123" i="24"/>
  <c r="T123" i="24"/>
  <c r="S123" i="24"/>
  <c r="R123" i="24"/>
  <c r="Q123" i="24"/>
  <c r="P123" i="24"/>
  <c r="O123" i="24"/>
  <c r="N123" i="24"/>
  <c r="M123" i="24"/>
  <c r="L123" i="24"/>
  <c r="K123" i="24"/>
  <c r="J123" i="24"/>
  <c r="I123" i="24"/>
  <c r="H123" i="24"/>
  <c r="BA122" i="24"/>
  <c r="AZ122" i="24"/>
  <c r="AY122" i="24"/>
  <c r="AX122" i="24"/>
  <c r="AW122" i="24"/>
  <c r="AV122" i="24"/>
  <c r="AU122" i="24"/>
  <c r="AT122" i="24"/>
  <c r="AS122" i="24"/>
  <c r="AR122" i="24"/>
  <c r="AQ122" i="24"/>
  <c r="AP122" i="24"/>
  <c r="AO122" i="24"/>
  <c r="AN122" i="24"/>
  <c r="AM122" i="24"/>
  <c r="AL122" i="24"/>
  <c r="AK122" i="24"/>
  <c r="AJ122" i="24"/>
  <c r="AI122" i="24"/>
  <c r="AH122" i="24"/>
  <c r="AG122" i="24"/>
  <c r="AF122" i="24"/>
  <c r="AE122" i="24"/>
  <c r="AD122" i="24"/>
  <c r="AC122" i="24"/>
  <c r="AB122" i="24"/>
  <c r="AA122" i="24"/>
  <c r="Z122" i="24"/>
  <c r="Y122" i="24"/>
  <c r="X122" i="24"/>
  <c r="W122" i="24"/>
  <c r="V122" i="24"/>
  <c r="U122" i="24"/>
  <c r="T122" i="24"/>
  <c r="S122" i="24"/>
  <c r="R122" i="24"/>
  <c r="Q122" i="24"/>
  <c r="P122" i="24"/>
  <c r="O122" i="24"/>
  <c r="N122" i="24"/>
  <c r="M122" i="24"/>
  <c r="L122" i="24"/>
  <c r="K122" i="24"/>
  <c r="J122" i="24"/>
  <c r="I122" i="24"/>
  <c r="H122" i="24"/>
  <c r="BA121" i="24"/>
  <c r="AZ121" i="24"/>
  <c r="AY121" i="24"/>
  <c r="AX121" i="24"/>
  <c r="AW121" i="24"/>
  <c r="AV121" i="24"/>
  <c r="AU121" i="24"/>
  <c r="AT121" i="24"/>
  <c r="AS121" i="24"/>
  <c r="AR121" i="24"/>
  <c r="AQ121" i="24"/>
  <c r="AP121" i="24"/>
  <c r="AO121" i="24"/>
  <c r="AN121" i="24"/>
  <c r="AM121" i="24"/>
  <c r="AL121" i="24"/>
  <c r="AK121" i="24"/>
  <c r="AJ121" i="24"/>
  <c r="AI121" i="24"/>
  <c r="AH121" i="24"/>
  <c r="AG121" i="24"/>
  <c r="AF121" i="24"/>
  <c r="AE121" i="24"/>
  <c r="AD121" i="24"/>
  <c r="AC121" i="24"/>
  <c r="AB121" i="24"/>
  <c r="AA121" i="24"/>
  <c r="Z121" i="24"/>
  <c r="Y121" i="24"/>
  <c r="X121" i="24"/>
  <c r="W121" i="24"/>
  <c r="V121" i="24"/>
  <c r="U121" i="24"/>
  <c r="T121" i="24"/>
  <c r="S121" i="24"/>
  <c r="R121" i="24"/>
  <c r="Q121" i="24"/>
  <c r="P121" i="24"/>
  <c r="O121" i="24"/>
  <c r="N121" i="24"/>
  <c r="M121" i="24"/>
  <c r="L121" i="24"/>
  <c r="K121" i="24"/>
  <c r="J121" i="24"/>
  <c r="I121" i="24"/>
  <c r="H121" i="24"/>
  <c r="BA120" i="24"/>
  <c r="AZ120" i="24"/>
  <c r="AY120" i="24"/>
  <c r="AX120" i="24"/>
  <c r="AW120" i="24"/>
  <c r="AV120" i="24"/>
  <c r="AU120" i="24"/>
  <c r="AT120" i="24"/>
  <c r="AS120" i="24"/>
  <c r="AR120" i="24"/>
  <c r="AQ120" i="24"/>
  <c r="AP120" i="24"/>
  <c r="AO120" i="24"/>
  <c r="AN120" i="24"/>
  <c r="AM120" i="24"/>
  <c r="AL120" i="24"/>
  <c r="AK120" i="24"/>
  <c r="AJ120" i="24"/>
  <c r="AI120" i="24"/>
  <c r="AH120" i="24"/>
  <c r="AG120" i="24"/>
  <c r="AF120" i="24"/>
  <c r="AE120" i="24"/>
  <c r="AD120" i="24"/>
  <c r="AC120" i="24"/>
  <c r="AB120" i="24"/>
  <c r="AA120" i="24"/>
  <c r="Z120" i="24"/>
  <c r="Y120" i="24"/>
  <c r="X120" i="24"/>
  <c r="W120" i="24"/>
  <c r="V120" i="24"/>
  <c r="U120" i="24"/>
  <c r="T120" i="24"/>
  <c r="S120" i="24"/>
  <c r="R120" i="24"/>
  <c r="Q120" i="24"/>
  <c r="P120" i="24"/>
  <c r="O120" i="24"/>
  <c r="N120" i="24"/>
  <c r="M120" i="24"/>
  <c r="L120" i="24"/>
  <c r="K120" i="24"/>
  <c r="J120" i="24"/>
  <c r="I120" i="24"/>
  <c r="H120" i="24"/>
  <c r="BA119" i="24"/>
  <c r="AZ119" i="24"/>
  <c r="AY119" i="24"/>
  <c r="AX119" i="24"/>
  <c r="AW119" i="24"/>
  <c r="AV119" i="24"/>
  <c r="AU119" i="24"/>
  <c r="AT119" i="24"/>
  <c r="AS119" i="24"/>
  <c r="AR119" i="24"/>
  <c r="AQ119" i="24"/>
  <c r="AP119" i="24"/>
  <c r="AO119" i="24"/>
  <c r="AN119" i="24"/>
  <c r="AM119" i="24"/>
  <c r="AL119" i="24"/>
  <c r="AK119" i="24"/>
  <c r="AJ119" i="24"/>
  <c r="AI119" i="24"/>
  <c r="AH119" i="24"/>
  <c r="AG119" i="24"/>
  <c r="AF119" i="24"/>
  <c r="AE119" i="24"/>
  <c r="AD119" i="24"/>
  <c r="AC119" i="24"/>
  <c r="AB119" i="24"/>
  <c r="AA119" i="24"/>
  <c r="Z119" i="24"/>
  <c r="Y119" i="24"/>
  <c r="X119" i="24"/>
  <c r="W119" i="24"/>
  <c r="V119" i="24"/>
  <c r="U119" i="24"/>
  <c r="T119" i="24"/>
  <c r="S119" i="24"/>
  <c r="R119" i="24"/>
  <c r="Q119" i="24"/>
  <c r="P119" i="24"/>
  <c r="O119" i="24"/>
  <c r="N119" i="24"/>
  <c r="M119" i="24"/>
  <c r="L119" i="24"/>
  <c r="K119" i="24"/>
  <c r="J119" i="24"/>
  <c r="I119" i="24"/>
  <c r="H119" i="24"/>
  <c r="BA118" i="24"/>
  <c r="AZ118" i="24"/>
  <c r="AY118" i="24"/>
  <c r="AX118" i="24"/>
  <c r="AW118" i="24"/>
  <c r="AV118" i="24"/>
  <c r="AU118" i="24"/>
  <c r="AT118" i="24"/>
  <c r="AS118" i="24"/>
  <c r="AR118" i="24"/>
  <c r="AQ118" i="24"/>
  <c r="AP118" i="24"/>
  <c r="AO118" i="24"/>
  <c r="AN118" i="24"/>
  <c r="AM118" i="24"/>
  <c r="AL118" i="24"/>
  <c r="AK118" i="24"/>
  <c r="AJ118" i="24"/>
  <c r="AI118" i="24"/>
  <c r="AH118" i="24"/>
  <c r="AG118" i="24"/>
  <c r="AF118" i="24"/>
  <c r="AE118" i="24"/>
  <c r="AD118" i="24"/>
  <c r="AC118" i="24"/>
  <c r="AB118" i="24"/>
  <c r="AA118" i="24"/>
  <c r="Z118" i="24"/>
  <c r="Y118" i="24"/>
  <c r="X118" i="24"/>
  <c r="W118" i="24"/>
  <c r="V118" i="24"/>
  <c r="U118" i="24"/>
  <c r="T118" i="24"/>
  <c r="S118" i="24"/>
  <c r="R118" i="24"/>
  <c r="Q118" i="24"/>
  <c r="P118" i="24"/>
  <c r="O118" i="24"/>
  <c r="N118" i="24"/>
  <c r="M118" i="24"/>
  <c r="L118" i="24"/>
  <c r="K118" i="24"/>
  <c r="J118" i="24"/>
  <c r="I118" i="24"/>
  <c r="H118" i="24"/>
  <c r="BA117" i="24"/>
  <c r="AZ117" i="24"/>
  <c r="AY117" i="24"/>
  <c r="AX117" i="24"/>
  <c r="AW117" i="24"/>
  <c r="AV117" i="24"/>
  <c r="AU117" i="24"/>
  <c r="AT117" i="24"/>
  <c r="AS117" i="24"/>
  <c r="AR117" i="24"/>
  <c r="AQ117" i="24"/>
  <c r="AP117" i="24"/>
  <c r="AO117" i="24"/>
  <c r="AN117" i="24"/>
  <c r="AM117" i="24"/>
  <c r="AL117" i="24"/>
  <c r="AK117" i="24"/>
  <c r="AJ117" i="24"/>
  <c r="AI117" i="24"/>
  <c r="AH117" i="24"/>
  <c r="AG117" i="24"/>
  <c r="AF117" i="24"/>
  <c r="AE117" i="24"/>
  <c r="AD117" i="24"/>
  <c r="AC117" i="24"/>
  <c r="AB117" i="24"/>
  <c r="AA117" i="24"/>
  <c r="Z117" i="24"/>
  <c r="Y117" i="24"/>
  <c r="X117" i="24"/>
  <c r="W117" i="24"/>
  <c r="V117" i="24"/>
  <c r="U117" i="24"/>
  <c r="T117" i="24"/>
  <c r="S117" i="24"/>
  <c r="R117" i="24"/>
  <c r="Q117" i="24"/>
  <c r="P117" i="24"/>
  <c r="O117" i="24"/>
  <c r="N117" i="24"/>
  <c r="M117" i="24"/>
  <c r="L117" i="24"/>
  <c r="K117" i="24"/>
  <c r="J117" i="24"/>
  <c r="I117" i="24"/>
  <c r="H117" i="24"/>
  <c r="BA116" i="24"/>
  <c r="AZ116" i="24"/>
  <c r="AY116" i="24"/>
  <c r="AX116" i="24"/>
  <c r="AW116" i="24"/>
  <c r="AV116" i="24"/>
  <c r="AU116" i="24"/>
  <c r="AT116" i="24"/>
  <c r="AS116" i="24"/>
  <c r="AR116" i="24"/>
  <c r="AQ116" i="24"/>
  <c r="AP116" i="24"/>
  <c r="AO116" i="24"/>
  <c r="AN116" i="24"/>
  <c r="AM116" i="24"/>
  <c r="AL116" i="24"/>
  <c r="AK116" i="24"/>
  <c r="AJ116" i="24"/>
  <c r="AI116" i="24"/>
  <c r="AH116" i="24"/>
  <c r="AG116" i="24"/>
  <c r="AF116" i="24"/>
  <c r="AE116" i="24"/>
  <c r="AD116" i="24"/>
  <c r="AC116" i="24"/>
  <c r="AB116" i="24"/>
  <c r="AA116" i="24"/>
  <c r="Z116" i="24"/>
  <c r="Y116" i="24"/>
  <c r="X116" i="24"/>
  <c r="W116" i="24"/>
  <c r="V116" i="24"/>
  <c r="U116" i="24"/>
  <c r="T116" i="24"/>
  <c r="S116" i="24"/>
  <c r="R116" i="24"/>
  <c r="Q116" i="24"/>
  <c r="P116" i="24"/>
  <c r="O116" i="24"/>
  <c r="N116" i="24"/>
  <c r="M116" i="24"/>
  <c r="L116" i="24"/>
  <c r="K116" i="24"/>
  <c r="J116" i="24"/>
  <c r="I116" i="24"/>
  <c r="H116" i="24"/>
  <c r="BA115" i="24"/>
  <c r="AZ115" i="24"/>
  <c r="AY115" i="24"/>
  <c r="AX115" i="24"/>
  <c r="AW115" i="24"/>
  <c r="AV115" i="24"/>
  <c r="AU115" i="24"/>
  <c r="AT115" i="24"/>
  <c r="AS115" i="24"/>
  <c r="AR115" i="24"/>
  <c r="AQ115" i="24"/>
  <c r="AP115" i="24"/>
  <c r="AO115" i="24"/>
  <c r="AN115" i="24"/>
  <c r="AM115" i="24"/>
  <c r="AL115" i="24"/>
  <c r="AK115" i="24"/>
  <c r="AJ115" i="24"/>
  <c r="AI115" i="24"/>
  <c r="AH115" i="24"/>
  <c r="AG115" i="24"/>
  <c r="AF115" i="24"/>
  <c r="AE115" i="24"/>
  <c r="AD115" i="24"/>
  <c r="AC115" i="24"/>
  <c r="AB115" i="24"/>
  <c r="AA115" i="24"/>
  <c r="Z115" i="24"/>
  <c r="Y115" i="24"/>
  <c r="X115" i="24"/>
  <c r="W115" i="24"/>
  <c r="V115" i="24"/>
  <c r="U115" i="24"/>
  <c r="T115" i="24"/>
  <c r="S115" i="24"/>
  <c r="R115" i="24"/>
  <c r="Q115" i="24"/>
  <c r="P115" i="24"/>
  <c r="O115" i="24"/>
  <c r="N115" i="24"/>
  <c r="M115" i="24"/>
  <c r="L115" i="24"/>
  <c r="K115" i="24"/>
  <c r="J115" i="24"/>
  <c r="I115" i="24"/>
  <c r="H115" i="24"/>
  <c r="BA114" i="24"/>
  <c r="AZ114" i="24"/>
  <c r="AY114" i="24"/>
  <c r="AX114" i="24"/>
  <c r="AW114" i="24"/>
  <c r="AV114" i="24"/>
  <c r="AU114" i="24"/>
  <c r="AT114" i="24"/>
  <c r="AS114" i="24"/>
  <c r="AR114" i="24"/>
  <c r="AQ114" i="24"/>
  <c r="AP114" i="24"/>
  <c r="AO114" i="24"/>
  <c r="AN114" i="24"/>
  <c r="AM114" i="24"/>
  <c r="AL114" i="24"/>
  <c r="AK114" i="24"/>
  <c r="AJ114" i="24"/>
  <c r="AI114" i="24"/>
  <c r="AH114" i="24"/>
  <c r="AG114" i="24"/>
  <c r="AF114" i="24"/>
  <c r="AE114" i="24"/>
  <c r="AD114" i="24"/>
  <c r="AC114" i="24"/>
  <c r="AB114" i="24"/>
  <c r="AA114" i="24"/>
  <c r="Z114" i="24"/>
  <c r="Y114" i="24"/>
  <c r="X114" i="24"/>
  <c r="W114" i="24"/>
  <c r="V114" i="24"/>
  <c r="U114" i="24"/>
  <c r="T114" i="24"/>
  <c r="S114" i="24"/>
  <c r="R114" i="24"/>
  <c r="Q114" i="24"/>
  <c r="P114" i="24"/>
  <c r="O114" i="24"/>
  <c r="N114" i="24"/>
  <c r="M114" i="24"/>
  <c r="L114" i="24"/>
  <c r="K114" i="24"/>
  <c r="J114" i="24"/>
  <c r="I114" i="24"/>
  <c r="H114" i="24"/>
  <c r="BA113" i="24"/>
  <c r="AZ113" i="24"/>
  <c r="AY113" i="24"/>
  <c r="AX113" i="24"/>
  <c r="AW113" i="24"/>
  <c r="AV113" i="24"/>
  <c r="AU113" i="24"/>
  <c r="AT113" i="24"/>
  <c r="AS113" i="24"/>
  <c r="AR113" i="24"/>
  <c r="AQ113" i="24"/>
  <c r="AP113" i="24"/>
  <c r="AO113" i="24"/>
  <c r="AN113" i="24"/>
  <c r="AM113" i="24"/>
  <c r="AL113" i="24"/>
  <c r="AK113" i="24"/>
  <c r="AJ113" i="24"/>
  <c r="AI113" i="24"/>
  <c r="AH113" i="24"/>
  <c r="AG113" i="24"/>
  <c r="AF113" i="24"/>
  <c r="AE113" i="24"/>
  <c r="AD113" i="24"/>
  <c r="AC113" i="24"/>
  <c r="AB113" i="24"/>
  <c r="AA113" i="24"/>
  <c r="Z113" i="24"/>
  <c r="Y113" i="24"/>
  <c r="X113" i="24"/>
  <c r="W113" i="24"/>
  <c r="V113" i="24"/>
  <c r="U113" i="24"/>
  <c r="T113" i="24"/>
  <c r="S113" i="24"/>
  <c r="R113" i="24"/>
  <c r="Q113" i="24"/>
  <c r="P113" i="24"/>
  <c r="O113" i="24"/>
  <c r="N113" i="24"/>
  <c r="M113" i="24"/>
  <c r="L113" i="24"/>
  <c r="K113" i="24"/>
  <c r="J113" i="24"/>
  <c r="I113" i="24"/>
  <c r="H113" i="24"/>
  <c r="BA112" i="24"/>
  <c r="AZ112" i="24"/>
  <c r="AY112" i="24"/>
  <c r="AX112" i="24"/>
  <c r="AW112" i="24"/>
  <c r="AV112" i="24"/>
  <c r="AU112" i="24"/>
  <c r="AT112" i="24"/>
  <c r="AS112" i="24"/>
  <c r="AR112" i="24"/>
  <c r="AQ112" i="24"/>
  <c r="AP112" i="24"/>
  <c r="AO112" i="24"/>
  <c r="AN112" i="24"/>
  <c r="AM112" i="24"/>
  <c r="AL112" i="24"/>
  <c r="AK112" i="24"/>
  <c r="AJ112" i="24"/>
  <c r="AI112" i="24"/>
  <c r="AH112" i="24"/>
  <c r="AG112" i="24"/>
  <c r="AF112" i="24"/>
  <c r="AE112" i="24"/>
  <c r="AD112" i="24"/>
  <c r="AC112" i="24"/>
  <c r="AB112" i="24"/>
  <c r="AA112" i="24"/>
  <c r="Z112" i="24"/>
  <c r="Y112" i="24"/>
  <c r="X112" i="24"/>
  <c r="W112" i="24"/>
  <c r="V112" i="24"/>
  <c r="U112" i="24"/>
  <c r="T112" i="24"/>
  <c r="S112" i="24"/>
  <c r="R112" i="24"/>
  <c r="Q112" i="24"/>
  <c r="P112" i="24"/>
  <c r="O112" i="24"/>
  <c r="N112" i="24"/>
  <c r="M112" i="24"/>
  <c r="L112" i="24"/>
  <c r="K112" i="24"/>
  <c r="J112" i="24"/>
  <c r="I112" i="24"/>
  <c r="H112" i="24"/>
  <c r="BA111" i="24"/>
  <c r="AZ111" i="24"/>
  <c r="AY111" i="24"/>
  <c r="AX111" i="24"/>
  <c r="AW111" i="24"/>
  <c r="AV111" i="24"/>
  <c r="AU111" i="24"/>
  <c r="AT111" i="24"/>
  <c r="AS111" i="24"/>
  <c r="AR111" i="24"/>
  <c r="AQ111" i="24"/>
  <c r="AP111" i="24"/>
  <c r="AO111" i="24"/>
  <c r="AN111" i="24"/>
  <c r="AM111" i="24"/>
  <c r="AL111" i="24"/>
  <c r="AK111" i="24"/>
  <c r="AJ111" i="24"/>
  <c r="AI111" i="24"/>
  <c r="AH111" i="24"/>
  <c r="AG111" i="24"/>
  <c r="AF111" i="24"/>
  <c r="AE111" i="24"/>
  <c r="AD111" i="24"/>
  <c r="AC111" i="24"/>
  <c r="AB111" i="24"/>
  <c r="AA111" i="24"/>
  <c r="Z111" i="24"/>
  <c r="Y111" i="24"/>
  <c r="X111" i="24"/>
  <c r="W111" i="24"/>
  <c r="V111" i="24"/>
  <c r="U111" i="24"/>
  <c r="T111" i="24"/>
  <c r="S111" i="24"/>
  <c r="R111" i="24"/>
  <c r="Q111" i="24"/>
  <c r="P111" i="24"/>
  <c r="O111" i="24"/>
  <c r="N111" i="24"/>
  <c r="M111" i="24"/>
  <c r="L111" i="24"/>
  <c r="K111" i="24"/>
  <c r="J111" i="24"/>
  <c r="I111" i="24"/>
  <c r="H111" i="24"/>
  <c r="BA110" i="24"/>
  <c r="AZ110" i="24"/>
  <c r="AY110" i="24"/>
  <c r="AX110" i="24"/>
  <c r="AW110" i="24"/>
  <c r="AV110" i="24"/>
  <c r="AU110" i="24"/>
  <c r="AT110" i="24"/>
  <c r="AS110" i="24"/>
  <c r="AR110" i="24"/>
  <c r="AQ110" i="24"/>
  <c r="AP110" i="24"/>
  <c r="AO110" i="24"/>
  <c r="AN110" i="24"/>
  <c r="AM110" i="24"/>
  <c r="AL110" i="24"/>
  <c r="AK110" i="24"/>
  <c r="AJ110" i="24"/>
  <c r="AI110" i="24"/>
  <c r="AH110" i="24"/>
  <c r="AG110" i="24"/>
  <c r="AF110" i="24"/>
  <c r="AE110" i="24"/>
  <c r="AD110" i="24"/>
  <c r="AC110" i="24"/>
  <c r="AB110" i="24"/>
  <c r="AA110" i="24"/>
  <c r="Z110" i="24"/>
  <c r="Y110" i="24"/>
  <c r="X110" i="24"/>
  <c r="W110" i="24"/>
  <c r="V110" i="24"/>
  <c r="U110" i="24"/>
  <c r="T110" i="24"/>
  <c r="S110" i="24"/>
  <c r="R110" i="24"/>
  <c r="Q110" i="24"/>
  <c r="P110" i="24"/>
  <c r="O110" i="24"/>
  <c r="N110" i="24"/>
  <c r="M110" i="24"/>
  <c r="L110" i="24"/>
  <c r="K110" i="24"/>
  <c r="J110" i="24"/>
  <c r="I110" i="24"/>
  <c r="H110" i="24"/>
  <c r="BA109" i="24"/>
  <c r="AZ109" i="24"/>
  <c r="AY109" i="24"/>
  <c r="AX109" i="24"/>
  <c r="AW109" i="24"/>
  <c r="AV109" i="24"/>
  <c r="AU109" i="24"/>
  <c r="AT109" i="24"/>
  <c r="AS109" i="24"/>
  <c r="AR109" i="24"/>
  <c r="AQ109" i="24"/>
  <c r="AP109" i="24"/>
  <c r="AO109" i="24"/>
  <c r="AN109" i="24"/>
  <c r="AM109" i="24"/>
  <c r="AL109" i="24"/>
  <c r="AK109" i="24"/>
  <c r="AJ109" i="24"/>
  <c r="AI109" i="24"/>
  <c r="AH109" i="24"/>
  <c r="AG109" i="24"/>
  <c r="AF109" i="24"/>
  <c r="AE109" i="24"/>
  <c r="AD109" i="24"/>
  <c r="AC109" i="24"/>
  <c r="AB109" i="24"/>
  <c r="AA109" i="24"/>
  <c r="Z109" i="24"/>
  <c r="Y109" i="24"/>
  <c r="X109" i="24"/>
  <c r="W109" i="24"/>
  <c r="V109" i="24"/>
  <c r="U109" i="24"/>
  <c r="T109" i="24"/>
  <c r="S109" i="24"/>
  <c r="R109" i="24"/>
  <c r="Q109" i="24"/>
  <c r="P109" i="24"/>
  <c r="O109" i="24"/>
  <c r="N109" i="24"/>
  <c r="M109" i="24"/>
  <c r="L109" i="24"/>
  <c r="K109" i="24"/>
  <c r="J109" i="24"/>
  <c r="I109" i="24"/>
  <c r="H109" i="24"/>
  <c r="BA108" i="24"/>
  <c r="AZ108" i="24"/>
  <c r="AY108" i="24"/>
  <c r="AX108" i="24"/>
  <c r="AW108" i="24"/>
  <c r="AV108" i="24"/>
  <c r="AU108" i="24"/>
  <c r="AT108" i="24"/>
  <c r="AS108" i="24"/>
  <c r="AR108" i="24"/>
  <c r="AQ108" i="24"/>
  <c r="AP108" i="24"/>
  <c r="AO108" i="24"/>
  <c r="AN108" i="24"/>
  <c r="AM108" i="24"/>
  <c r="AL108" i="24"/>
  <c r="AK108" i="24"/>
  <c r="AJ108" i="24"/>
  <c r="AI108" i="24"/>
  <c r="AH108" i="24"/>
  <c r="AG108" i="24"/>
  <c r="AF108" i="24"/>
  <c r="AE108" i="24"/>
  <c r="AD108" i="24"/>
  <c r="AC108" i="24"/>
  <c r="AB108" i="24"/>
  <c r="AA108" i="24"/>
  <c r="Z108" i="24"/>
  <c r="Y108" i="24"/>
  <c r="X108" i="24"/>
  <c r="W108" i="24"/>
  <c r="V108" i="24"/>
  <c r="U108" i="24"/>
  <c r="T108" i="24"/>
  <c r="S108" i="24"/>
  <c r="R108" i="24"/>
  <c r="Q108" i="24"/>
  <c r="P108" i="24"/>
  <c r="O108" i="24"/>
  <c r="N108" i="24"/>
  <c r="M108" i="24"/>
  <c r="L108" i="24"/>
  <c r="K108" i="24"/>
  <c r="J108" i="24"/>
  <c r="I108" i="24"/>
  <c r="H108" i="24"/>
  <c r="BD508" i="24"/>
  <c r="BA107" i="24"/>
  <c r="AZ107" i="24"/>
  <c r="AY107" i="24"/>
  <c r="AX107" i="24"/>
  <c r="AW107" i="24"/>
  <c r="AV107" i="24"/>
  <c r="AU107" i="24"/>
  <c r="AT107" i="24"/>
  <c r="AS107" i="24"/>
  <c r="AR107" i="24"/>
  <c r="AQ107" i="24"/>
  <c r="AP107" i="24"/>
  <c r="AO107" i="24"/>
  <c r="AN107" i="24"/>
  <c r="AM107" i="24"/>
  <c r="AL107" i="24"/>
  <c r="AK107" i="24"/>
  <c r="AJ107" i="24"/>
  <c r="AI107" i="24"/>
  <c r="AH107" i="24"/>
  <c r="AG107" i="24"/>
  <c r="AF107" i="24"/>
  <c r="AE107" i="24"/>
  <c r="AD107" i="24"/>
  <c r="AC107" i="24"/>
  <c r="AB107" i="24"/>
  <c r="AA107" i="24"/>
  <c r="Z107" i="24"/>
  <c r="Y107" i="24"/>
  <c r="X107" i="24"/>
  <c r="W107" i="24"/>
  <c r="V107" i="24"/>
  <c r="U107" i="24"/>
  <c r="T107" i="24"/>
  <c r="S107" i="24"/>
  <c r="R107" i="24"/>
  <c r="Q107" i="24"/>
  <c r="P107" i="24"/>
  <c r="O107" i="24"/>
  <c r="N107" i="24"/>
  <c r="M107" i="24"/>
  <c r="L107" i="24"/>
  <c r="K107" i="24"/>
  <c r="J107" i="24"/>
  <c r="I107" i="24"/>
  <c r="H107" i="24"/>
  <c r="BA106" i="24"/>
  <c r="AZ106" i="24"/>
  <c r="AY106" i="24"/>
  <c r="AX106" i="24"/>
  <c r="AW106" i="24"/>
  <c r="AV106" i="24"/>
  <c r="AU106" i="24"/>
  <c r="AT106" i="24"/>
  <c r="AS106" i="24"/>
  <c r="AR106" i="24"/>
  <c r="AQ106" i="24"/>
  <c r="AP106" i="24"/>
  <c r="AO106" i="24"/>
  <c r="AN106" i="24"/>
  <c r="AM106" i="24"/>
  <c r="AL106" i="24"/>
  <c r="AK106" i="24"/>
  <c r="AJ106" i="24"/>
  <c r="AI106" i="24"/>
  <c r="AH106" i="24"/>
  <c r="AG106" i="24"/>
  <c r="AF106" i="24"/>
  <c r="AE106" i="24"/>
  <c r="AD106" i="24"/>
  <c r="AC106" i="24"/>
  <c r="AB106" i="24"/>
  <c r="AA106" i="24"/>
  <c r="Z106" i="24"/>
  <c r="Y106" i="24"/>
  <c r="X106" i="24"/>
  <c r="W106" i="24"/>
  <c r="V106" i="24"/>
  <c r="U106" i="24"/>
  <c r="T106" i="24"/>
  <c r="S106" i="24"/>
  <c r="R106" i="24"/>
  <c r="Q106" i="24"/>
  <c r="P106" i="24"/>
  <c r="O106" i="24"/>
  <c r="N106" i="24"/>
  <c r="M106" i="24"/>
  <c r="L106" i="24"/>
  <c r="K106" i="24"/>
  <c r="J106" i="24"/>
  <c r="I106" i="24"/>
  <c r="H106" i="24"/>
  <c r="BA105" i="24"/>
  <c r="AZ105" i="24"/>
  <c r="AY105" i="24"/>
  <c r="AX105" i="24"/>
  <c r="AW105" i="24"/>
  <c r="AV105" i="24"/>
  <c r="AU105" i="24"/>
  <c r="AT105" i="24"/>
  <c r="AS105" i="24"/>
  <c r="AR105" i="24"/>
  <c r="AQ105" i="24"/>
  <c r="AP105" i="24"/>
  <c r="AO105" i="24"/>
  <c r="AN105" i="24"/>
  <c r="AM105" i="24"/>
  <c r="AL105" i="24"/>
  <c r="AK105" i="24"/>
  <c r="AJ105" i="24"/>
  <c r="AI105" i="24"/>
  <c r="AH105" i="24"/>
  <c r="AG105" i="24"/>
  <c r="AF105" i="24"/>
  <c r="AE105" i="24"/>
  <c r="AD105" i="24"/>
  <c r="AC105" i="24"/>
  <c r="AB105" i="24"/>
  <c r="AA105" i="24"/>
  <c r="Z105" i="24"/>
  <c r="Y105" i="24"/>
  <c r="X105" i="24"/>
  <c r="W105" i="24"/>
  <c r="V105" i="24"/>
  <c r="U105" i="24"/>
  <c r="T105" i="24"/>
  <c r="S105" i="24"/>
  <c r="R105" i="24"/>
  <c r="Q105" i="24"/>
  <c r="P105" i="24"/>
  <c r="O105" i="24"/>
  <c r="N105" i="24"/>
  <c r="M105" i="24"/>
  <c r="L105" i="24"/>
  <c r="K105" i="24"/>
  <c r="J105" i="24"/>
  <c r="I105" i="24"/>
  <c r="H105" i="24"/>
  <c r="BA104" i="24"/>
  <c r="AZ104" i="24"/>
  <c r="AY104" i="24"/>
  <c r="AX104" i="24"/>
  <c r="AW104" i="24"/>
  <c r="AV104" i="24"/>
  <c r="AU104" i="24"/>
  <c r="AT104" i="24"/>
  <c r="AS104" i="24"/>
  <c r="AR104" i="24"/>
  <c r="AQ104" i="24"/>
  <c r="AP104" i="24"/>
  <c r="AO104" i="24"/>
  <c r="AN104" i="24"/>
  <c r="AM104" i="24"/>
  <c r="AL104" i="24"/>
  <c r="AK104" i="24"/>
  <c r="AJ104" i="24"/>
  <c r="AI104" i="24"/>
  <c r="AH104" i="24"/>
  <c r="AG104" i="24"/>
  <c r="AF104" i="24"/>
  <c r="AE104" i="24"/>
  <c r="AD104" i="24"/>
  <c r="AC104" i="24"/>
  <c r="AB104" i="24"/>
  <c r="AA104" i="24"/>
  <c r="Z104" i="24"/>
  <c r="Y104" i="24"/>
  <c r="X104" i="24"/>
  <c r="W104" i="24"/>
  <c r="V104" i="24"/>
  <c r="U104" i="24"/>
  <c r="T104" i="24"/>
  <c r="S104" i="24"/>
  <c r="R104" i="24"/>
  <c r="Q104" i="24"/>
  <c r="P104" i="24"/>
  <c r="O104" i="24"/>
  <c r="N104" i="24"/>
  <c r="M104" i="24"/>
  <c r="L104" i="24"/>
  <c r="K104" i="24"/>
  <c r="J104" i="24"/>
  <c r="I104" i="24"/>
  <c r="H104" i="24"/>
  <c r="BA103" i="24"/>
  <c r="AZ103" i="24"/>
  <c r="AY103" i="24"/>
  <c r="AX103" i="24"/>
  <c r="AW103" i="24"/>
  <c r="AV103" i="24"/>
  <c r="AU103" i="24"/>
  <c r="AT103" i="24"/>
  <c r="AS103" i="24"/>
  <c r="AR103" i="24"/>
  <c r="AQ103" i="24"/>
  <c r="AP103" i="24"/>
  <c r="AO103" i="24"/>
  <c r="AN103" i="24"/>
  <c r="AM103" i="24"/>
  <c r="AL103" i="24"/>
  <c r="AK103" i="24"/>
  <c r="AJ103" i="24"/>
  <c r="AI103" i="24"/>
  <c r="AH103" i="24"/>
  <c r="AG103" i="24"/>
  <c r="AF103" i="24"/>
  <c r="AE103" i="24"/>
  <c r="AD103" i="24"/>
  <c r="AC103" i="24"/>
  <c r="AB103" i="24"/>
  <c r="AA103" i="24"/>
  <c r="Z103" i="24"/>
  <c r="Y103" i="24"/>
  <c r="X103" i="24"/>
  <c r="W103" i="24"/>
  <c r="V103" i="24"/>
  <c r="U103" i="24"/>
  <c r="T103" i="24"/>
  <c r="S103" i="24"/>
  <c r="R103" i="24"/>
  <c r="Q103" i="24"/>
  <c r="P103" i="24"/>
  <c r="O103" i="24"/>
  <c r="N103" i="24"/>
  <c r="M103" i="24"/>
  <c r="L103" i="24"/>
  <c r="K103" i="24"/>
  <c r="J103" i="24"/>
  <c r="I103" i="24"/>
  <c r="H103" i="24"/>
  <c r="BA102" i="24"/>
  <c r="AZ102" i="24"/>
  <c r="AY102" i="24"/>
  <c r="AX102" i="24"/>
  <c r="AW102" i="24"/>
  <c r="AV102" i="24"/>
  <c r="AU102" i="24"/>
  <c r="AT102" i="24"/>
  <c r="AS102" i="24"/>
  <c r="AR102" i="24"/>
  <c r="AQ102" i="24"/>
  <c r="AP102" i="24"/>
  <c r="AO102" i="24"/>
  <c r="AN102" i="24"/>
  <c r="AM102" i="24"/>
  <c r="AL102" i="24"/>
  <c r="AK102" i="24"/>
  <c r="AJ102" i="24"/>
  <c r="AI102" i="24"/>
  <c r="AH102" i="24"/>
  <c r="AG102" i="24"/>
  <c r="AF102" i="24"/>
  <c r="AE102" i="24"/>
  <c r="AD102" i="24"/>
  <c r="AC102" i="24"/>
  <c r="AB102" i="24"/>
  <c r="AA102" i="24"/>
  <c r="Z102" i="24"/>
  <c r="Y102" i="24"/>
  <c r="X102" i="24"/>
  <c r="W102" i="24"/>
  <c r="V102" i="24"/>
  <c r="U102" i="24"/>
  <c r="T102" i="24"/>
  <c r="S102" i="24"/>
  <c r="R102" i="24"/>
  <c r="Q102" i="24"/>
  <c r="P102" i="24"/>
  <c r="O102" i="24"/>
  <c r="N102" i="24"/>
  <c r="M102" i="24"/>
  <c r="L102" i="24"/>
  <c r="K102" i="24"/>
  <c r="J102" i="24"/>
  <c r="I102" i="24"/>
  <c r="H102" i="24"/>
  <c r="BA101" i="24"/>
  <c r="AZ101" i="24"/>
  <c r="AY101" i="24"/>
  <c r="AX101" i="24"/>
  <c r="AW101" i="24"/>
  <c r="AV101" i="24"/>
  <c r="AU101" i="24"/>
  <c r="AT101" i="24"/>
  <c r="AS101" i="24"/>
  <c r="AR101" i="24"/>
  <c r="AQ101" i="24"/>
  <c r="AP101" i="24"/>
  <c r="AO101" i="24"/>
  <c r="AN101" i="24"/>
  <c r="AM101" i="24"/>
  <c r="AL101" i="24"/>
  <c r="AK101" i="24"/>
  <c r="AJ101" i="24"/>
  <c r="AI101" i="24"/>
  <c r="AH101" i="24"/>
  <c r="AG101" i="24"/>
  <c r="AF101" i="24"/>
  <c r="AE101" i="24"/>
  <c r="AD101" i="24"/>
  <c r="AC101" i="24"/>
  <c r="AB101" i="24"/>
  <c r="AA101" i="24"/>
  <c r="Z101" i="24"/>
  <c r="Y101" i="24"/>
  <c r="X101" i="24"/>
  <c r="W101" i="24"/>
  <c r="V101" i="24"/>
  <c r="U101" i="24"/>
  <c r="T101" i="24"/>
  <c r="S101" i="24"/>
  <c r="R101" i="24"/>
  <c r="Q101" i="24"/>
  <c r="P101" i="24"/>
  <c r="O101" i="24"/>
  <c r="N101" i="24"/>
  <c r="M101" i="24"/>
  <c r="L101" i="24"/>
  <c r="K101" i="24"/>
  <c r="J101" i="24"/>
  <c r="I101" i="24"/>
  <c r="H101" i="24"/>
  <c r="BA100" i="24"/>
  <c r="AZ100" i="24"/>
  <c r="AY100" i="24"/>
  <c r="AX100" i="24"/>
  <c r="AW100" i="24"/>
  <c r="AV100" i="24"/>
  <c r="AU100" i="24"/>
  <c r="AT100" i="24"/>
  <c r="AS100" i="24"/>
  <c r="AR100" i="24"/>
  <c r="AQ100" i="24"/>
  <c r="AP100" i="24"/>
  <c r="AO100" i="24"/>
  <c r="AN100" i="24"/>
  <c r="AM100" i="24"/>
  <c r="AL100" i="24"/>
  <c r="AK100" i="24"/>
  <c r="AJ100" i="24"/>
  <c r="AI100" i="24"/>
  <c r="AH100" i="24"/>
  <c r="AG100" i="24"/>
  <c r="AF100" i="24"/>
  <c r="AE100" i="24"/>
  <c r="AD100" i="24"/>
  <c r="AC100" i="24"/>
  <c r="AB100" i="24"/>
  <c r="AA100" i="24"/>
  <c r="Z100" i="24"/>
  <c r="Y100" i="24"/>
  <c r="X100" i="24"/>
  <c r="W100" i="24"/>
  <c r="V100" i="24"/>
  <c r="U100" i="24"/>
  <c r="T100" i="24"/>
  <c r="S100" i="24"/>
  <c r="R100" i="24"/>
  <c r="Q100" i="24"/>
  <c r="P100" i="24"/>
  <c r="O100" i="24"/>
  <c r="N100" i="24"/>
  <c r="M100" i="24"/>
  <c r="L100" i="24"/>
  <c r="K100" i="24"/>
  <c r="J100" i="24"/>
  <c r="I100" i="24"/>
  <c r="H100" i="24"/>
  <c r="BA99" i="24"/>
  <c r="AZ99" i="24"/>
  <c r="AY99" i="24"/>
  <c r="AX99" i="24"/>
  <c r="AW99" i="24"/>
  <c r="AV99" i="24"/>
  <c r="AU99" i="24"/>
  <c r="AT99" i="24"/>
  <c r="AS99" i="24"/>
  <c r="AR99" i="24"/>
  <c r="AQ99" i="24"/>
  <c r="AP99" i="24"/>
  <c r="AO99" i="24"/>
  <c r="AN99" i="24"/>
  <c r="AM99" i="24"/>
  <c r="AL99" i="24"/>
  <c r="AK99" i="24"/>
  <c r="AJ99" i="24"/>
  <c r="AI99" i="24"/>
  <c r="AH99" i="24"/>
  <c r="AG99" i="24"/>
  <c r="AF99" i="24"/>
  <c r="AE99" i="24"/>
  <c r="AD99" i="24"/>
  <c r="AC99" i="24"/>
  <c r="AB99" i="24"/>
  <c r="AA99" i="24"/>
  <c r="Z99" i="24"/>
  <c r="Y99" i="24"/>
  <c r="X99" i="24"/>
  <c r="W99" i="24"/>
  <c r="V99" i="24"/>
  <c r="U99" i="24"/>
  <c r="T99" i="24"/>
  <c r="S99" i="24"/>
  <c r="R99" i="24"/>
  <c r="Q99" i="24"/>
  <c r="P99" i="24"/>
  <c r="O99" i="24"/>
  <c r="N99" i="24"/>
  <c r="M99" i="24"/>
  <c r="L99" i="24"/>
  <c r="K99" i="24"/>
  <c r="J99" i="24"/>
  <c r="I99" i="24"/>
  <c r="H99" i="24"/>
  <c r="BA98" i="24"/>
  <c r="AZ98" i="24"/>
  <c r="AY98" i="24"/>
  <c r="AX98" i="24"/>
  <c r="AW98" i="24"/>
  <c r="AV98" i="24"/>
  <c r="AU98" i="24"/>
  <c r="AT98" i="24"/>
  <c r="AS98" i="24"/>
  <c r="AR98" i="24"/>
  <c r="AQ98" i="24"/>
  <c r="AP98" i="24"/>
  <c r="AO98" i="24"/>
  <c r="AN98" i="24"/>
  <c r="AM98" i="24"/>
  <c r="AL98" i="24"/>
  <c r="AK98" i="24"/>
  <c r="AJ98" i="24"/>
  <c r="AI98" i="24"/>
  <c r="AH98" i="24"/>
  <c r="AG98" i="24"/>
  <c r="AF98" i="24"/>
  <c r="AE98" i="24"/>
  <c r="AD98" i="24"/>
  <c r="AC98" i="24"/>
  <c r="AB98" i="24"/>
  <c r="AA98" i="24"/>
  <c r="Z98" i="24"/>
  <c r="Y98" i="24"/>
  <c r="X98" i="24"/>
  <c r="W98" i="24"/>
  <c r="V98" i="24"/>
  <c r="U98" i="24"/>
  <c r="T98" i="24"/>
  <c r="S98" i="24"/>
  <c r="R98" i="24"/>
  <c r="Q98" i="24"/>
  <c r="P98" i="24"/>
  <c r="O98" i="24"/>
  <c r="N98" i="24"/>
  <c r="M98" i="24"/>
  <c r="L98" i="24"/>
  <c r="K98" i="24"/>
  <c r="J98" i="24"/>
  <c r="I98" i="24"/>
  <c r="H98" i="24"/>
  <c r="BA97" i="24"/>
  <c r="AZ97" i="24"/>
  <c r="AY97" i="24"/>
  <c r="AX97" i="24"/>
  <c r="AW97" i="24"/>
  <c r="AV97" i="24"/>
  <c r="AU97" i="24"/>
  <c r="AT97" i="24"/>
  <c r="AS97" i="24"/>
  <c r="AR97" i="24"/>
  <c r="AQ97" i="24"/>
  <c r="AP97" i="24"/>
  <c r="AO97" i="24"/>
  <c r="AN97" i="24"/>
  <c r="AM97" i="24"/>
  <c r="AL97" i="24"/>
  <c r="AK97" i="24"/>
  <c r="AJ97" i="24"/>
  <c r="AI97" i="24"/>
  <c r="AH97" i="24"/>
  <c r="AG97" i="24"/>
  <c r="AF97" i="24"/>
  <c r="AE97" i="24"/>
  <c r="AD97" i="24"/>
  <c r="AC97" i="24"/>
  <c r="AB97" i="24"/>
  <c r="AA97" i="24"/>
  <c r="Z97" i="24"/>
  <c r="Y97" i="24"/>
  <c r="X97" i="24"/>
  <c r="W97" i="24"/>
  <c r="V97" i="24"/>
  <c r="U97" i="24"/>
  <c r="T97" i="24"/>
  <c r="S97" i="24"/>
  <c r="R97" i="24"/>
  <c r="Q97" i="24"/>
  <c r="P97" i="24"/>
  <c r="O97" i="24"/>
  <c r="N97" i="24"/>
  <c r="M97" i="24"/>
  <c r="L97" i="24"/>
  <c r="K97" i="24"/>
  <c r="J97" i="24"/>
  <c r="I97" i="24"/>
  <c r="H97" i="24"/>
  <c r="BA96" i="24"/>
  <c r="AZ96" i="24"/>
  <c r="AY96" i="24"/>
  <c r="AX96" i="24"/>
  <c r="AW96" i="24"/>
  <c r="AV96" i="24"/>
  <c r="AU96" i="24"/>
  <c r="AT96" i="24"/>
  <c r="AS96" i="24"/>
  <c r="AR96" i="24"/>
  <c r="AQ96" i="24"/>
  <c r="AP96" i="24"/>
  <c r="AO96" i="24"/>
  <c r="AN96" i="24"/>
  <c r="AM96" i="24"/>
  <c r="AL96" i="24"/>
  <c r="AK96" i="24"/>
  <c r="AJ96" i="24"/>
  <c r="AI96" i="24"/>
  <c r="AH96" i="24"/>
  <c r="AG96" i="24"/>
  <c r="AF96" i="24"/>
  <c r="AE96" i="24"/>
  <c r="AD96" i="24"/>
  <c r="AC96" i="24"/>
  <c r="AB96" i="24"/>
  <c r="AA96" i="24"/>
  <c r="Z96" i="24"/>
  <c r="Y96" i="24"/>
  <c r="X96" i="24"/>
  <c r="W96" i="24"/>
  <c r="V96" i="24"/>
  <c r="U96" i="24"/>
  <c r="T96" i="24"/>
  <c r="S96" i="24"/>
  <c r="R96" i="24"/>
  <c r="Q96" i="24"/>
  <c r="P96" i="24"/>
  <c r="O96" i="24"/>
  <c r="N96" i="24"/>
  <c r="M96" i="24"/>
  <c r="L96" i="24"/>
  <c r="K96" i="24"/>
  <c r="J96" i="24"/>
  <c r="I96" i="24"/>
  <c r="H96" i="24"/>
  <c r="BA95" i="24"/>
  <c r="AZ95" i="24"/>
  <c r="AY95" i="24"/>
  <c r="AX95" i="24"/>
  <c r="AW95" i="24"/>
  <c r="AV95" i="24"/>
  <c r="AU95" i="24"/>
  <c r="AT95" i="24"/>
  <c r="AS95" i="24"/>
  <c r="AR95" i="24"/>
  <c r="AQ95" i="24"/>
  <c r="AP95" i="24"/>
  <c r="AO95" i="24"/>
  <c r="AN95" i="24"/>
  <c r="AM95" i="24"/>
  <c r="AL95" i="24"/>
  <c r="AK95" i="24"/>
  <c r="AJ95" i="24"/>
  <c r="AI95" i="24"/>
  <c r="AH95" i="24"/>
  <c r="AG95" i="24"/>
  <c r="AF95" i="24"/>
  <c r="AE95" i="24"/>
  <c r="AD95" i="24"/>
  <c r="AC95" i="24"/>
  <c r="AB95" i="24"/>
  <c r="AA95" i="24"/>
  <c r="Z95" i="24"/>
  <c r="Y95" i="24"/>
  <c r="X95" i="24"/>
  <c r="W95" i="24"/>
  <c r="V95" i="24"/>
  <c r="U95" i="24"/>
  <c r="T95" i="24"/>
  <c r="S95" i="24"/>
  <c r="R95" i="24"/>
  <c r="Q95" i="24"/>
  <c r="P95" i="24"/>
  <c r="O95" i="24"/>
  <c r="N95" i="24"/>
  <c r="M95" i="24"/>
  <c r="L95" i="24"/>
  <c r="K95" i="24"/>
  <c r="J95" i="24"/>
  <c r="I95" i="24"/>
  <c r="H95" i="24"/>
  <c r="BA94" i="24"/>
  <c r="AZ94" i="24"/>
  <c r="AY94" i="24"/>
  <c r="AX94" i="24"/>
  <c r="AW94" i="24"/>
  <c r="AV94" i="24"/>
  <c r="AU94" i="24"/>
  <c r="AT94" i="24"/>
  <c r="AS94" i="24"/>
  <c r="AR94" i="24"/>
  <c r="AQ94" i="24"/>
  <c r="AP94" i="24"/>
  <c r="AO94" i="24"/>
  <c r="AN94" i="24"/>
  <c r="AM94" i="24"/>
  <c r="AL94" i="24"/>
  <c r="AK94" i="24"/>
  <c r="AJ94" i="24"/>
  <c r="AI94" i="24"/>
  <c r="AH94" i="24"/>
  <c r="AG94" i="24"/>
  <c r="AF94" i="24"/>
  <c r="AE94" i="24"/>
  <c r="AD94" i="24"/>
  <c r="AC94" i="24"/>
  <c r="AB94" i="24"/>
  <c r="AA94" i="24"/>
  <c r="Z94" i="24"/>
  <c r="Y94" i="24"/>
  <c r="X94" i="24"/>
  <c r="W94" i="24"/>
  <c r="V94" i="24"/>
  <c r="U94" i="24"/>
  <c r="T94" i="24"/>
  <c r="S94" i="24"/>
  <c r="R94" i="24"/>
  <c r="Q94" i="24"/>
  <c r="P94" i="24"/>
  <c r="O94" i="24"/>
  <c r="N94" i="24"/>
  <c r="M94" i="24"/>
  <c r="L94" i="24"/>
  <c r="K94" i="24"/>
  <c r="J94" i="24"/>
  <c r="I94" i="24"/>
  <c r="H94" i="24"/>
  <c r="BA93" i="24"/>
  <c r="AZ93" i="24"/>
  <c r="AY93" i="24"/>
  <c r="AX93" i="24"/>
  <c r="AW93" i="24"/>
  <c r="AV93" i="24"/>
  <c r="AU93" i="24"/>
  <c r="AT93" i="24"/>
  <c r="AS93" i="24"/>
  <c r="AR93" i="24"/>
  <c r="AQ93" i="24"/>
  <c r="AP93" i="24"/>
  <c r="AO93" i="24"/>
  <c r="AN93" i="24"/>
  <c r="AM93" i="24"/>
  <c r="AL93" i="24"/>
  <c r="AK93" i="24"/>
  <c r="AJ93" i="24"/>
  <c r="AI93" i="24"/>
  <c r="AH93" i="24"/>
  <c r="AG93" i="24"/>
  <c r="AF93" i="24"/>
  <c r="AE93" i="24"/>
  <c r="AD93" i="24"/>
  <c r="AC93" i="24"/>
  <c r="AB93" i="24"/>
  <c r="AA93" i="24"/>
  <c r="Z93" i="24"/>
  <c r="Y93" i="24"/>
  <c r="X93" i="24"/>
  <c r="W93" i="24"/>
  <c r="V93" i="24"/>
  <c r="U93" i="24"/>
  <c r="T93" i="24"/>
  <c r="S93" i="24"/>
  <c r="R93" i="24"/>
  <c r="Q93" i="24"/>
  <c r="P93" i="24"/>
  <c r="O93" i="24"/>
  <c r="N93" i="24"/>
  <c r="M93" i="24"/>
  <c r="L93" i="24"/>
  <c r="K93" i="24"/>
  <c r="J93" i="24"/>
  <c r="I93" i="24"/>
  <c r="H93" i="24"/>
  <c r="BA92" i="24"/>
  <c r="AZ92" i="24"/>
  <c r="AY92" i="24"/>
  <c r="AX92" i="24"/>
  <c r="AW92" i="24"/>
  <c r="AV92" i="24"/>
  <c r="AU92" i="24"/>
  <c r="AT92" i="24"/>
  <c r="AS92" i="24"/>
  <c r="AR92" i="24"/>
  <c r="AQ92" i="24"/>
  <c r="AP92" i="24"/>
  <c r="AO92" i="24"/>
  <c r="AN92" i="24"/>
  <c r="AM92" i="24"/>
  <c r="AL92" i="24"/>
  <c r="AK92" i="24"/>
  <c r="AJ92" i="24"/>
  <c r="AI92" i="24"/>
  <c r="AH92" i="24"/>
  <c r="AG92" i="24"/>
  <c r="AF92" i="24"/>
  <c r="AE92" i="24"/>
  <c r="AD92" i="24"/>
  <c r="AC92" i="24"/>
  <c r="AB92" i="24"/>
  <c r="AA92" i="24"/>
  <c r="Z92" i="24"/>
  <c r="Y92" i="24"/>
  <c r="X92" i="24"/>
  <c r="W92" i="24"/>
  <c r="V92" i="24"/>
  <c r="U92" i="24"/>
  <c r="T92" i="24"/>
  <c r="S92" i="24"/>
  <c r="R92" i="24"/>
  <c r="Q92" i="24"/>
  <c r="P92" i="24"/>
  <c r="O92" i="24"/>
  <c r="N92" i="24"/>
  <c r="M92" i="24"/>
  <c r="L92" i="24"/>
  <c r="K92" i="24"/>
  <c r="J92" i="24"/>
  <c r="I92" i="24"/>
  <c r="H92" i="24"/>
  <c r="BA91" i="24"/>
  <c r="AZ91" i="24"/>
  <c r="AY91" i="24"/>
  <c r="AX91" i="24"/>
  <c r="AW91" i="24"/>
  <c r="AV91" i="24"/>
  <c r="AU91" i="24"/>
  <c r="AT91" i="24"/>
  <c r="AS91" i="24"/>
  <c r="AR91" i="24"/>
  <c r="AQ91" i="24"/>
  <c r="AP91" i="24"/>
  <c r="AO91" i="24"/>
  <c r="AN91" i="24"/>
  <c r="AM91" i="24"/>
  <c r="AL91" i="24"/>
  <c r="AK91" i="24"/>
  <c r="AJ91" i="24"/>
  <c r="AI91" i="24"/>
  <c r="AH91" i="24"/>
  <c r="AG91" i="24"/>
  <c r="AF91" i="24"/>
  <c r="AE91" i="24"/>
  <c r="AD91" i="24"/>
  <c r="AC91" i="24"/>
  <c r="AB91" i="24"/>
  <c r="AA91" i="24"/>
  <c r="Z91" i="24"/>
  <c r="Y91" i="24"/>
  <c r="X91" i="24"/>
  <c r="W91" i="24"/>
  <c r="V91" i="24"/>
  <c r="U91" i="24"/>
  <c r="T91" i="24"/>
  <c r="S91" i="24"/>
  <c r="R91" i="24"/>
  <c r="Q91" i="24"/>
  <c r="P91" i="24"/>
  <c r="O91" i="24"/>
  <c r="N91" i="24"/>
  <c r="M91" i="24"/>
  <c r="L91" i="24"/>
  <c r="K91" i="24"/>
  <c r="J91" i="24"/>
  <c r="I91" i="24"/>
  <c r="H91" i="24"/>
  <c r="BA90" i="24"/>
  <c r="AZ90" i="24"/>
  <c r="AY90" i="24"/>
  <c r="AX90" i="24"/>
  <c r="AW90" i="24"/>
  <c r="AV90" i="24"/>
  <c r="AU90" i="24"/>
  <c r="AT90" i="24"/>
  <c r="AS90" i="24"/>
  <c r="AR90" i="24"/>
  <c r="AQ90" i="24"/>
  <c r="AP90" i="24"/>
  <c r="AO90" i="24"/>
  <c r="AN90" i="24"/>
  <c r="AM90" i="24"/>
  <c r="AL90" i="24"/>
  <c r="AK90" i="24"/>
  <c r="AJ90" i="24"/>
  <c r="AI90" i="24"/>
  <c r="AH90" i="24"/>
  <c r="AG90" i="24"/>
  <c r="AF90" i="24"/>
  <c r="AE90" i="24"/>
  <c r="AD90" i="24"/>
  <c r="AC90" i="24"/>
  <c r="AB90" i="24"/>
  <c r="AA90" i="24"/>
  <c r="Z90" i="24"/>
  <c r="Y90" i="24"/>
  <c r="X90" i="24"/>
  <c r="W90" i="24"/>
  <c r="V90" i="24"/>
  <c r="U90" i="24"/>
  <c r="T90" i="24"/>
  <c r="S90" i="24"/>
  <c r="R90" i="24"/>
  <c r="Q90" i="24"/>
  <c r="P90" i="24"/>
  <c r="O90" i="24"/>
  <c r="N90" i="24"/>
  <c r="M90" i="24"/>
  <c r="L90" i="24"/>
  <c r="K90" i="24"/>
  <c r="J90" i="24"/>
  <c r="I90" i="24"/>
  <c r="H90" i="24"/>
  <c r="BA89" i="24"/>
  <c r="AZ89" i="24"/>
  <c r="AY89" i="24"/>
  <c r="AX89" i="24"/>
  <c r="AW89" i="24"/>
  <c r="AV89" i="24"/>
  <c r="AU89" i="24"/>
  <c r="AT89" i="24"/>
  <c r="AS89" i="24"/>
  <c r="AR89" i="24"/>
  <c r="AQ89" i="24"/>
  <c r="AP89" i="24"/>
  <c r="AO89" i="24"/>
  <c r="AN89" i="24"/>
  <c r="AM89" i="24"/>
  <c r="AL89" i="24"/>
  <c r="AK89" i="24"/>
  <c r="AJ89" i="24"/>
  <c r="AI89" i="24"/>
  <c r="AH89" i="24"/>
  <c r="AG89" i="24"/>
  <c r="AF89" i="24"/>
  <c r="AE89" i="24"/>
  <c r="AD89" i="24"/>
  <c r="AC89" i="24"/>
  <c r="AB89" i="24"/>
  <c r="AA89" i="24"/>
  <c r="Z89" i="24"/>
  <c r="Y89" i="24"/>
  <c r="X89" i="24"/>
  <c r="W89" i="24"/>
  <c r="V89" i="24"/>
  <c r="U89" i="24"/>
  <c r="T89" i="24"/>
  <c r="S89" i="24"/>
  <c r="R89" i="24"/>
  <c r="Q89" i="24"/>
  <c r="P89" i="24"/>
  <c r="O89" i="24"/>
  <c r="N89" i="24"/>
  <c r="M89" i="24"/>
  <c r="L89" i="24"/>
  <c r="K89" i="24"/>
  <c r="J89" i="24"/>
  <c r="I89" i="24"/>
  <c r="H89" i="24"/>
  <c r="BA88" i="24"/>
  <c r="AZ88" i="24"/>
  <c r="AY88" i="24"/>
  <c r="AX88" i="24"/>
  <c r="AW88" i="24"/>
  <c r="AV88" i="24"/>
  <c r="AU88" i="24"/>
  <c r="AT88" i="24"/>
  <c r="AS88" i="24"/>
  <c r="AR88" i="24"/>
  <c r="AQ88" i="24"/>
  <c r="AP88" i="24"/>
  <c r="AO88" i="24"/>
  <c r="AN88" i="24"/>
  <c r="AM88" i="24"/>
  <c r="AL88" i="24"/>
  <c r="AK88" i="24"/>
  <c r="AJ88" i="24"/>
  <c r="AI88" i="24"/>
  <c r="AH88" i="24"/>
  <c r="AG88" i="24"/>
  <c r="AF88" i="24"/>
  <c r="AE88" i="24"/>
  <c r="AD88" i="24"/>
  <c r="AC88" i="24"/>
  <c r="AB88" i="24"/>
  <c r="AA88" i="24"/>
  <c r="Z88" i="24"/>
  <c r="Y88" i="24"/>
  <c r="X88" i="24"/>
  <c r="W88" i="24"/>
  <c r="V88" i="24"/>
  <c r="U88" i="24"/>
  <c r="T88" i="24"/>
  <c r="S88" i="24"/>
  <c r="R88" i="24"/>
  <c r="Q88" i="24"/>
  <c r="P88" i="24"/>
  <c r="O88" i="24"/>
  <c r="N88" i="24"/>
  <c r="M88" i="24"/>
  <c r="L88" i="24"/>
  <c r="K88" i="24"/>
  <c r="J88" i="24"/>
  <c r="I88" i="24"/>
  <c r="H88" i="24"/>
  <c r="BA87" i="24"/>
  <c r="AZ87" i="24"/>
  <c r="AY87" i="24"/>
  <c r="AX87" i="24"/>
  <c r="AW87" i="24"/>
  <c r="AV87" i="24"/>
  <c r="AU87" i="24"/>
  <c r="AT87" i="24"/>
  <c r="AS87" i="24"/>
  <c r="AR87" i="24"/>
  <c r="AQ87" i="24"/>
  <c r="AP87" i="24"/>
  <c r="AO87" i="24"/>
  <c r="AN87" i="24"/>
  <c r="AM87" i="24"/>
  <c r="AL87" i="24"/>
  <c r="AK87" i="24"/>
  <c r="AJ87" i="24"/>
  <c r="AI87" i="24"/>
  <c r="AH87" i="24"/>
  <c r="AG87" i="24"/>
  <c r="AF87" i="24"/>
  <c r="AE87" i="24"/>
  <c r="AD87" i="24"/>
  <c r="AC87" i="24"/>
  <c r="AB87" i="24"/>
  <c r="AA87" i="24"/>
  <c r="Z87" i="24"/>
  <c r="Y87" i="24"/>
  <c r="X87" i="24"/>
  <c r="W87" i="24"/>
  <c r="V87" i="24"/>
  <c r="U87" i="24"/>
  <c r="T87" i="24"/>
  <c r="S87" i="24"/>
  <c r="R87" i="24"/>
  <c r="Q87" i="24"/>
  <c r="P87" i="24"/>
  <c r="O87" i="24"/>
  <c r="N87" i="24"/>
  <c r="M87" i="24"/>
  <c r="L87" i="24"/>
  <c r="K87" i="24"/>
  <c r="J87" i="24"/>
  <c r="I87" i="24"/>
  <c r="H87" i="24"/>
  <c r="BA86" i="24"/>
  <c r="AZ86" i="24"/>
  <c r="AY86" i="24"/>
  <c r="AX86" i="24"/>
  <c r="AW86" i="24"/>
  <c r="AV86" i="24"/>
  <c r="AU86" i="24"/>
  <c r="AT86" i="24"/>
  <c r="AS86" i="24"/>
  <c r="AR86" i="24"/>
  <c r="AQ86" i="24"/>
  <c r="AP86" i="24"/>
  <c r="AO86" i="24"/>
  <c r="AN86" i="24"/>
  <c r="AM86" i="24"/>
  <c r="AL86" i="24"/>
  <c r="AK86" i="24"/>
  <c r="AJ86" i="24"/>
  <c r="AI86" i="24"/>
  <c r="AH86" i="24"/>
  <c r="AG86" i="24"/>
  <c r="AF86" i="24"/>
  <c r="AE86" i="24"/>
  <c r="AD86" i="24"/>
  <c r="AC86" i="24"/>
  <c r="AB86" i="24"/>
  <c r="AA86" i="24"/>
  <c r="Z86" i="24"/>
  <c r="Y86" i="24"/>
  <c r="X86" i="24"/>
  <c r="W86" i="24"/>
  <c r="V86" i="24"/>
  <c r="U86" i="24"/>
  <c r="T86" i="24"/>
  <c r="S86" i="24"/>
  <c r="R86" i="24"/>
  <c r="Q86" i="24"/>
  <c r="P86" i="24"/>
  <c r="O86" i="24"/>
  <c r="N86" i="24"/>
  <c r="M86" i="24"/>
  <c r="L86" i="24"/>
  <c r="K86" i="24"/>
  <c r="J86" i="24"/>
  <c r="I86" i="24"/>
  <c r="H86" i="24"/>
  <c r="BA85" i="24"/>
  <c r="AZ85" i="24"/>
  <c r="AY85" i="24"/>
  <c r="AX85" i="24"/>
  <c r="AW85" i="24"/>
  <c r="AV85" i="24"/>
  <c r="AU85" i="24"/>
  <c r="AT85" i="24"/>
  <c r="AS85" i="24"/>
  <c r="AR85" i="24"/>
  <c r="AQ85" i="24"/>
  <c r="AP85" i="24"/>
  <c r="AO85" i="24"/>
  <c r="AN85" i="24"/>
  <c r="AM85" i="24"/>
  <c r="AL85" i="24"/>
  <c r="AK85" i="24"/>
  <c r="AJ85" i="24"/>
  <c r="AI85" i="24"/>
  <c r="AH85" i="24"/>
  <c r="AG85" i="24"/>
  <c r="AF85" i="24"/>
  <c r="AE85" i="24"/>
  <c r="AD85" i="24"/>
  <c r="AC85" i="24"/>
  <c r="AB85" i="24"/>
  <c r="AA85" i="24"/>
  <c r="Z85" i="24"/>
  <c r="Y85" i="24"/>
  <c r="X85" i="24"/>
  <c r="W85" i="24"/>
  <c r="V85" i="24"/>
  <c r="U85" i="24"/>
  <c r="T85" i="24"/>
  <c r="S85" i="24"/>
  <c r="R85" i="24"/>
  <c r="Q85" i="24"/>
  <c r="P85" i="24"/>
  <c r="O85" i="24"/>
  <c r="N85" i="24"/>
  <c r="M85" i="24"/>
  <c r="L85" i="24"/>
  <c r="K85" i="24"/>
  <c r="J85" i="24"/>
  <c r="I85" i="24"/>
  <c r="H85" i="24"/>
  <c r="BA84" i="24"/>
  <c r="AZ84" i="24"/>
  <c r="AY84" i="24"/>
  <c r="AX84" i="24"/>
  <c r="AW84" i="24"/>
  <c r="AV84" i="24"/>
  <c r="AU84" i="24"/>
  <c r="AT84" i="24"/>
  <c r="AS84" i="24"/>
  <c r="AR84" i="24"/>
  <c r="AQ84" i="24"/>
  <c r="AP84" i="24"/>
  <c r="AO84" i="24"/>
  <c r="AN84" i="24"/>
  <c r="AM84" i="24"/>
  <c r="AL84" i="24"/>
  <c r="AK84" i="24"/>
  <c r="AJ84" i="24"/>
  <c r="AI84" i="24"/>
  <c r="AH84" i="24"/>
  <c r="AG84" i="24"/>
  <c r="AF84" i="24"/>
  <c r="AE84" i="24"/>
  <c r="AD84" i="24"/>
  <c r="AC84" i="24"/>
  <c r="AB84" i="24"/>
  <c r="AA84" i="24"/>
  <c r="Z84" i="24"/>
  <c r="Y84" i="24"/>
  <c r="X84" i="24"/>
  <c r="W84" i="24"/>
  <c r="V84" i="24"/>
  <c r="U84" i="24"/>
  <c r="T84" i="24"/>
  <c r="S84" i="24"/>
  <c r="R84" i="24"/>
  <c r="Q84" i="24"/>
  <c r="P84" i="24"/>
  <c r="O84" i="24"/>
  <c r="N84" i="24"/>
  <c r="M84" i="24"/>
  <c r="L84" i="24"/>
  <c r="K84" i="24"/>
  <c r="J84" i="24"/>
  <c r="I84" i="24"/>
  <c r="H84" i="24"/>
  <c r="BA83" i="24"/>
  <c r="AZ83" i="24"/>
  <c r="AY83" i="24"/>
  <c r="AX83" i="24"/>
  <c r="AW83" i="24"/>
  <c r="AV83" i="24"/>
  <c r="AU83" i="24"/>
  <c r="AT83" i="24"/>
  <c r="AS83" i="24"/>
  <c r="AR83" i="24"/>
  <c r="AQ83" i="24"/>
  <c r="AP83" i="24"/>
  <c r="AO83" i="24"/>
  <c r="AN83" i="24"/>
  <c r="AM83" i="24"/>
  <c r="AL83" i="24"/>
  <c r="AK83" i="24"/>
  <c r="AJ83" i="24"/>
  <c r="AI83" i="24"/>
  <c r="AH83" i="24"/>
  <c r="AG83" i="24"/>
  <c r="AF83" i="24"/>
  <c r="AE83" i="24"/>
  <c r="AD83" i="24"/>
  <c r="AC83" i="24"/>
  <c r="AB83" i="24"/>
  <c r="AA83" i="24"/>
  <c r="Z83" i="24"/>
  <c r="Y83" i="24"/>
  <c r="X83" i="24"/>
  <c r="W83" i="24"/>
  <c r="V83" i="24"/>
  <c r="U83" i="24"/>
  <c r="T83" i="24"/>
  <c r="S83" i="24"/>
  <c r="R83" i="24"/>
  <c r="Q83" i="24"/>
  <c r="P83" i="24"/>
  <c r="O83" i="24"/>
  <c r="N83" i="24"/>
  <c r="M83" i="24"/>
  <c r="L83" i="24"/>
  <c r="K83" i="24"/>
  <c r="J83" i="24"/>
  <c r="I83" i="24"/>
  <c r="H83" i="24"/>
  <c r="BA82" i="24"/>
  <c r="AZ82" i="24"/>
  <c r="AY82" i="24"/>
  <c r="AX82" i="24"/>
  <c r="AW82" i="24"/>
  <c r="AV82" i="24"/>
  <c r="AU82" i="24"/>
  <c r="AT82" i="24"/>
  <c r="AS82" i="24"/>
  <c r="AR82" i="24"/>
  <c r="AQ82" i="24"/>
  <c r="AP82" i="24"/>
  <c r="AO82" i="24"/>
  <c r="AN82" i="24"/>
  <c r="AM82" i="24"/>
  <c r="AL82" i="24"/>
  <c r="AK82" i="24"/>
  <c r="AJ82" i="24"/>
  <c r="AI82" i="24"/>
  <c r="AH82" i="24"/>
  <c r="AG82" i="24"/>
  <c r="AF82" i="24"/>
  <c r="AE82" i="24"/>
  <c r="AD82" i="24"/>
  <c r="AC82" i="24"/>
  <c r="AB82" i="24"/>
  <c r="AA82" i="24"/>
  <c r="Z82" i="24"/>
  <c r="Y82" i="24"/>
  <c r="X82" i="24"/>
  <c r="W82" i="24"/>
  <c r="V82" i="24"/>
  <c r="U82" i="24"/>
  <c r="T82" i="24"/>
  <c r="S82" i="24"/>
  <c r="R82" i="24"/>
  <c r="Q82" i="24"/>
  <c r="P82" i="24"/>
  <c r="O82" i="24"/>
  <c r="N82" i="24"/>
  <c r="M82" i="24"/>
  <c r="L82" i="24"/>
  <c r="K82" i="24"/>
  <c r="J82" i="24"/>
  <c r="I82" i="24"/>
  <c r="H82" i="24"/>
  <c r="BA81" i="24"/>
  <c r="AZ81" i="24"/>
  <c r="AY81" i="24"/>
  <c r="AX81" i="24"/>
  <c r="AW81" i="24"/>
  <c r="AV81" i="24"/>
  <c r="AU81" i="24"/>
  <c r="AT81" i="24"/>
  <c r="AS81" i="24"/>
  <c r="AR81" i="24"/>
  <c r="AQ81" i="24"/>
  <c r="AP81" i="24"/>
  <c r="AO81" i="24"/>
  <c r="AN81" i="24"/>
  <c r="AM81" i="24"/>
  <c r="AL81" i="24"/>
  <c r="AK81" i="24"/>
  <c r="AJ81" i="24"/>
  <c r="AI81" i="24"/>
  <c r="AH81" i="24"/>
  <c r="AG81" i="24"/>
  <c r="AF81" i="24"/>
  <c r="AE81" i="24"/>
  <c r="AD81" i="24"/>
  <c r="AC81" i="24"/>
  <c r="AB81" i="24"/>
  <c r="AA81" i="24"/>
  <c r="Z81" i="24"/>
  <c r="Y81" i="24"/>
  <c r="X81" i="24"/>
  <c r="W81" i="24"/>
  <c r="V81" i="24"/>
  <c r="U81" i="24"/>
  <c r="T81" i="24"/>
  <c r="S81" i="24"/>
  <c r="R81" i="24"/>
  <c r="Q81" i="24"/>
  <c r="P81" i="24"/>
  <c r="O81" i="24"/>
  <c r="N81" i="24"/>
  <c r="M81" i="24"/>
  <c r="L81" i="24"/>
  <c r="K81" i="24"/>
  <c r="J81" i="24"/>
  <c r="I81" i="24"/>
  <c r="H81" i="24"/>
  <c r="BA80" i="24"/>
  <c r="AZ80" i="24"/>
  <c r="AY80" i="24"/>
  <c r="AX80" i="24"/>
  <c r="AW80" i="24"/>
  <c r="AV80" i="24"/>
  <c r="AU80" i="24"/>
  <c r="AT80" i="24"/>
  <c r="AS80" i="24"/>
  <c r="AR80" i="24"/>
  <c r="AQ80" i="24"/>
  <c r="AP80" i="24"/>
  <c r="AO80" i="24"/>
  <c r="AN80" i="24"/>
  <c r="AM80" i="24"/>
  <c r="AL80" i="24"/>
  <c r="AK80" i="24"/>
  <c r="AJ80" i="24"/>
  <c r="AI80" i="24"/>
  <c r="AH80" i="24"/>
  <c r="AG80" i="24"/>
  <c r="AF80" i="24"/>
  <c r="AE80" i="24"/>
  <c r="AD80" i="24"/>
  <c r="AC80" i="24"/>
  <c r="AB80" i="24"/>
  <c r="AA80" i="24"/>
  <c r="Z80" i="24"/>
  <c r="Y80" i="24"/>
  <c r="X80" i="24"/>
  <c r="W80" i="24"/>
  <c r="V80" i="24"/>
  <c r="U80" i="24"/>
  <c r="T80" i="24"/>
  <c r="S80" i="24"/>
  <c r="R80" i="24"/>
  <c r="Q80" i="24"/>
  <c r="P80" i="24"/>
  <c r="O80" i="24"/>
  <c r="N80" i="24"/>
  <c r="M80" i="24"/>
  <c r="L80" i="24"/>
  <c r="K80" i="24"/>
  <c r="J80" i="24"/>
  <c r="I80" i="24"/>
  <c r="H80" i="24"/>
  <c r="BA79" i="24"/>
  <c r="AZ79" i="24"/>
  <c r="AY79" i="24"/>
  <c r="AX79" i="24"/>
  <c r="AW79" i="24"/>
  <c r="AV79" i="24"/>
  <c r="AU79" i="24"/>
  <c r="AT79" i="24"/>
  <c r="AS79" i="24"/>
  <c r="AR79" i="24"/>
  <c r="AQ79" i="24"/>
  <c r="AP79" i="24"/>
  <c r="AO79" i="24"/>
  <c r="AN79" i="24"/>
  <c r="AM79" i="24"/>
  <c r="AL79" i="24"/>
  <c r="AK79" i="24"/>
  <c r="AJ79" i="24"/>
  <c r="AI79" i="24"/>
  <c r="AH79" i="24"/>
  <c r="AG79" i="24"/>
  <c r="AF79" i="24"/>
  <c r="AE79" i="24"/>
  <c r="AD79" i="24"/>
  <c r="AC79" i="24"/>
  <c r="AB79" i="24"/>
  <c r="AA79" i="24"/>
  <c r="Z79" i="24"/>
  <c r="Y79" i="24"/>
  <c r="X79" i="24"/>
  <c r="W79" i="24"/>
  <c r="V79" i="24"/>
  <c r="U79" i="24"/>
  <c r="T79" i="24"/>
  <c r="S79" i="24"/>
  <c r="R79" i="24"/>
  <c r="Q79" i="24"/>
  <c r="P79" i="24"/>
  <c r="O79" i="24"/>
  <c r="N79" i="24"/>
  <c r="M79" i="24"/>
  <c r="L79" i="24"/>
  <c r="K79" i="24"/>
  <c r="J79" i="24"/>
  <c r="I79" i="24"/>
  <c r="H79" i="24"/>
  <c r="BA78" i="24"/>
  <c r="AZ78" i="24"/>
  <c r="AY78" i="24"/>
  <c r="AX78" i="24"/>
  <c r="AW78" i="24"/>
  <c r="AV78" i="24"/>
  <c r="AU78" i="24"/>
  <c r="AT78" i="24"/>
  <c r="AS78" i="24"/>
  <c r="AR78" i="24"/>
  <c r="AQ78" i="24"/>
  <c r="AP78" i="24"/>
  <c r="AO78" i="24"/>
  <c r="AN78" i="24"/>
  <c r="AM78" i="24"/>
  <c r="AL78" i="24"/>
  <c r="AK78" i="24"/>
  <c r="AJ78" i="24"/>
  <c r="AI78" i="24"/>
  <c r="AH78" i="24"/>
  <c r="AG78" i="24"/>
  <c r="AF78" i="24"/>
  <c r="AE78" i="24"/>
  <c r="AD78" i="24"/>
  <c r="AC78" i="24"/>
  <c r="AB78" i="24"/>
  <c r="AA78" i="24"/>
  <c r="Z78" i="24"/>
  <c r="Y78" i="24"/>
  <c r="X78" i="24"/>
  <c r="W78" i="24"/>
  <c r="V78" i="24"/>
  <c r="U78" i="24"/>
  <c r="T78" i="24"/>
  <c r="S78" i="24"/>
  <c r="R78" i="24"/>
  <c r="Q78" i="24"/>
  <c r="P78" i="24"/>
  <c r="O78" i="24"/>
  <c r="N78" i="24"/>
  <c r="M78" i="24"/>
  <c r="L78" i="24"/>
  <c r="K78" i="24"/>
  <c r="J78" i="24"/>
  <c r="I78" i="24"/>
  <c r="H78" i="24"/>
  <c r="BA77" i="24"/>
  <c r="AZ77" i="24"/>
  <c r="AY77" i="24"/>
  <c r="AX77" i="24"/>
  <c r="AW77" i="24"/>
  <c r="AV77" i="24"/>
  <c r="AU77" i="24"/>
  <c r="AT77" i="24"/>
  <c r="AS77" i="24"/>
  <c r="AR77" i="24"/>
  <c r="AQ77" i="24"/>
  <c r="AP77" i="24"/>
  <c r="AO77" i="24"/>
  <c r="AN77" i="24"/>
  <c r="AM77" i="24"/>
  <c r="AL77" i="24"/>
  <c r="AK77" i="24"/>
  <c r="AJ77" i="24"/>
  <c r="AI77" i="24"/>
  <c r="AH77" i="24"/>
  <c r="AG77" i="24"/>
  <c r="AF77" i="24"/>
  <c r="AE77" i="24"/>
  <c r="AD77" i="24"/>
  <c r="AC77" i="24"/>
  <c r="AB77" i="24"/>
  <c r="AA77" i="24"/>
  <c r="Z77" i="24"/>
  <c r="Y77" i="24"/>
  <c r="X77" i="24"/>
  <c r="W77" i="24"/>
  <c r="V77" i="24"/>
  <c r="U77" i="24"/>
  <c r="T77" i="24"/>
  <c r="S77" i="24"/>
  <c r="R77" i="24"/>
  <c r="Q77" i="24"/>
  <c r="P77" i="24"/>
  <c r="O77" i="24"/>
  <c r="N77" i="24"/>
  <c r="M77" i="24"/>
  <c r="L77" i="24"/>
  <c r="K77" i="24"/>
  <c r="J77" i="24"/>
  <c r="I77" i="24"/>
  <c r="H77" i="24"/>
  <c r="BA76" i="24"/>
  <c r="AZ76" i="24"/>
  <c r="AY76" i="24"/>
  <c r="AX76" i="24"/>
  <c r="AW76" i="24"/>
  <c r="AV76" i="24"/>
  <c r="AU76" i="24"/>
  <c r="AT76" i="24"/>
  <c r="AS76" i="24"/>
  <c r="AR76" i="24"/>
  <c r="AQ76" i="24"/>
  <c r="AP76" i="24"/>
  <c r="AO76" i="24"/>
  <c r="AN76" i="24"/>
  <c r="AM76" i="24"/>
  <c r="AL76" i="24"/>
  <c r="AK76" i="24"/>
  <c r="AJ76" i="24"/>
  <c r="AI76" i="24"/>
  <c r="AH76" i="24"/>
  <c r="AG76" i="24"/>
  <c r="AF76" i="24"/>
  <c r="AE76" i="24"/>
  <c r="AD76" i="24"/>
  <c r="AC76" i="24"/>
  <c r="AB76" i="24"/>
  <c r="AA76" i="24"/>
  <c r="Z76" i="24"/>
  <c r="Y76" i="24"/>
  <c r="X76" i="24"/>
  <c r="W76" i="24"/>
  <c r="V76" i="24"/>
  <c r="U76" i="24"/>
  <c r="T76" i="24"/>
  <c r="S76" i="24"/>
  <c r="R76" i="24"/>
  <c r="Q76" i="24"/>
  <c r="P76" i="24"/>
  <c r="O76" i="24"/>
  <c r="N76" i="24"/>
  <c r="M76" i="24"/>
  <c r="L76" i="24"/>
  <c r="K76" i="24"/>
  <c r="J76" i="24"/>
  <c r="I76" i="24"/>
  <c r="H76" i="24"/>
  <c r="BA75" i="24"/>
  <c r="AZ75" i="24"/>
  <c r="AY75" i="24"/>
  <c r="AX75" i="24"/>
  <c r="AW75" i="24"/>
  <c r="AV75" i="24"/>
  <c r="AU75" i="24"/>
  <c r="AT75" i="24"/>
  <c r="AS75" i="24"/>
  <c r="AR75" i="24"/>
  <c r="AQ75" i="24"/>
  <c r="AP75" i="24"/>
  <c r="AO75" i="24"/>
  <c r="AN75" i="24"/>
  <c r="AM75" i="24"/>
  <c r="AL75" i="24"/>
  <c r="AK75" i="24"/>
  <c r="AJ75" i="24"/>
  <c r="AI75" i="24"/>
  <c r="AH75" i="24"/>
  <c r="AG75" i="24"/>
  <c r="AF75" i="24"/>
  <c r="AE75" i="24"/>
  <c r="AD75" i="24"/>
  <c r="AC75" i="24"/>
  <c r="AB75" i="24"/>
  <c r="AA75" i="24"/>
  <c r="Z75" i="24"/>
  <c r="Y75" i="24"/>
  <c r="X75" i="24"/>
  <c r="W75" i="24"/>
  <c r="V75" i="24"/>
  <c r="U75" i="24"/>
  <c r="T75" i="24"/>
  <c r="S75" i="24"/>
  <c r="R75" i="24"/>
  <c r="Q75" i="24"/>
  <c r="P75" i="24"/>
  <c r="O75" i="24"/>
  <c r="N75" i="24"/>
  <c r="M75" i="24"/>
  <c r="L75" i="24"/>
  <c r="K75" i="24"/>
  <c r="J75" i="24"/>
  <c r="I75" i="24"/>
  <c r="H75" i="24"/>
  <c r="BA74" i="24"/>
  <c r="AZ74" i="24"/>
  <c r="AY74" i="24"/>
  <c r="AX74" i="24"/>
  <c r="AW74" i="24"/>
  <c r="AV74" i="24"/>
  <c r="AU74" i="24"/>
  <c r="AT74" i="24"/>
  <c r="AS74" i="24"/>
  <c r="AR74" i="24"/>
  <c r="AQ74" i="24"/>
  <c r="AP74" i="24"/>
  <c r="AO74" i="24"/>
  <c r="AN74" i="24"/>
  <c r="AM74" i="24"/>
  <c r="AL74" i="24"/>
  <c r="AK74" i="24"/>
  <c r="AJ74" i="24"/>
  <c r="AI74" i="24"/>
  <c r="AH74" i="24"/>
  <c r="AG74" i="24"/>
  <c r="AF74" i="24"/>
  <c r="AE74" i="24"/>
  <c r="AD74" i="24"/>
  <c r="AC74" i="24"/>
  <c r="AB74" i="24"/>
  <c r="AA74" i="24"/>
  <c r="Z74" i="24"/>
  <c r="Y74" i="24"/>
  <c r="X74" i="24"/>
  <c r="W74" i="24"/>
  <c r="V74" i="24"/>
  <c r="U74" i="24"/>
  <c r="T74" i="24"/>
  <c r="S74" i="24"/>
  <c r="R74" i="24"/>
  <c r="Q74" i="24"/>
  <c r="P74" i="24"/>
  <c r="O74" i="24"/>
  <c r="N74" i="24"/>
  <c r="M74" i="24"/>
  <c r="L74" i="24"/>
  <c r="K74" i="24"/>
  <c r="J74" i="24"/>
  <c r="I74" i="24"/>
  <c r="H74" i="24"/>
  <c r="BA73" i="24"/>
  <c r="AZ73" i="24"/>
  <c r="AY73" i="24"/>
  <c r="AX73" i="24"/>
  <c r="AW73" i="24"/>
  <c r="AV73" i="24"/>
  <c r="AU73" i="24"/>
  <c r="AT73" i="24"/>
  <c r="AS73" i="24"/>
  <c r="AR73" i="24"/>
  <c r="AQ73" i="24"/>
  <c r="AP73" i="24"/>
  <c r="AO73" i="24"/>
  <c r="AN73" i="24"/>
  <c r="AM73" i="24"/>
  <c r="AL73" i="24"/>
  <c r="AK73" i="24"/>
  <c r="AJ73" i="24"/>
  <c r="AI73" i="24"/>
  <c r="AH73" i="24"/>
  <c r="AG73" i="24"/>
  <c r="AF73" i="24"/>
  <c r="AE73" i="24"/>
  <c r="AD73" i="24"/>
  <c r="AC73" i="24"/>
  <c r="AB73" i="24"/>
  <c r="AA73" i="24"/>
  <c r="Z73" i="24"/>
  <c r="Y73" i="24"/>
  <c r="X73" i="24"/>
  <c r="W73" i="24"/>
  <c r="V73" i="24"/>
  <c r="U73" i="24"/>
  <c r="T73" i="24"/>
  <c r="S73" i="24"/>
  <c r="R73" i="24"/>
  <c r="Q73" i="24"/>
  <c r="P73" i="24"/>
  <c r="O73" i="24"/>
  <c r="N73" i="24"/>
  <c r="M73" i="24"/>
  <c r="L73" i="24"/>
  <c r="K73" i="24"/>
  <c r="J73" i="24"/>
  <c r="I73" i="24"/>
  <c r="H73" i="24"/>
  <c r="BA72" i="24"/>
  <c r="AZ72" i="24"/>
  <c r="AY72" i="24"/>
  <c r="AX72" i="24"/>
  <c r="AW72" i="24"/>
  <c r="AV72" i="24"/>
  <c r="AU72" i="24"/>
  <c r="AT72" i="24"/>
  <c r="AS72" i="24"/>
  <c r="AR72" i="24"/>
  <c r="AQ72" i="24"/>
  <c r="AP72" i="24"/>
  <c r="AO72" i="24"/>
  <c r="AN72" i="24"/>
  <c r="AM72" i="24"/>
  <c r="AL72" i="24"/>
  <c r="AK72" i="24"/>
  <c r="AJ72" i="24"/>
  <c r="AI72" i="24"/>
  <c r="AH72" i="24"/>
  <c r="AG72" i="24"/>
  <c r="AF72" i="24"/>
  <c r="AE72" i="24"/>
  <c r="AD72" i="24"/>
  <c r="AC72" i="24"/>
  <c r="AB72" i="24"/>
  <c r="AA72" i="24"/>
  <c r="Z72" i="24"/>
  <c r="Y72" i="24"/>
  <c r="X72" i="24"/>
  <c r="W72" i="24"/>
  <c r="V72" i="24"/>
  <c r="U72" i="24"/>
  <c r="T72" i="24"/>
  <c r="S72" i="24"/>
  <c r="R72" i="24"/>
  <c r="Q72" i="24"/>
  <c r="P72" i="24"/>
  <c r="O72" i="24"/>
  <c r="N72" i="24"/>
  <c r="M72" i="24"/>
  <c r="L72" i="24"/>
  <c r="K72" i="24"/>
  <c r="J72" i="24"/>
  <c r="I72" i="24"/>
  <c r="H72" i="24"/>
  <c r="BA71" i="24"/>
  <c r="AZ71" i="24"/>
  <c r="AY71" i="24"/>
  <c r="AX71" i="24"/>
  <c r="AW71" i="24"/>
  <c r="AV71" i="24"/>
  <c r="AU71" i="24"/>
  <c r="AT71" i="24"/>
  <c r="AS71" i="24"/>
  <c r="AR71" i="24"/>
  <c r="AQ71" i="24"/>
  <c r="AP71" i="24"/>
  <c r="AO71" i="24"/>
  <c r="AN71" i="24"/>
  <c r="AM71" i="24"/>
  <c r="AL71" i="24"/>
  <c r="AK71" i="24"/>
  <c r="AJ71" i="24"/>
  <c r="AI71" i="24"/>
  <c r="AH71" i="24"/>
  <c r="AG71" i="24"/>
  <c r="AF71" i="24"/>
  <c r="AE71" i="24"/>
  <c r="AD71" i="24"/>
  <c r="AC71" i="24"/>
  <c r="AB71" i="24"/>
  <c r="AA71" i="24"/>
  <c r="Z71" i="24"/>
  <c r="Y71" i="24"/>
  <c r="X71" i="24"/>
  <c r="W71" i="24"/>
  <c r="V71" i="24"/>
  <c r="U71" i="24"/>
  <c r="T71" i="24"/>
  <c r="S71" i="24"/>
  <c r="R71" i="24"/>
  <c r="Q71" i="24"/>
  <c r="P71" i="24"/>
  <c r="O71" i="24"/>
  <c r="N71" i="24"/>
  <c r="M71" i="24"/>
  <c r="L71" i="24"/>
  <c r="K71" i="24"/>
  <c r="J71" i="24"/>
  <c r="I71" i="24"/>
  <c r="H71" i="24"/>
  <c r="BA70" i="24"/>
  <c r="AZ70" i="24"/>
  <c r="AY70" i="24"/>
  <c r="AX70" i="24"/>
  <c r="AW70" i="24"/>
  <c r="AV70" i="24"/>
  <c r="AU70" i="24"/>
  <c r="AT70" i="24"/>
  <c r="AS70" i="24"/>
  <c r="AR70" i="24"/>
  <c r="AQ70" i="24"/>
  <c r="AP70" i="24"/>
  <c r="AO70" i="24"/>
  <c r="AN70" i="24"/>
  <c r="AM70" i="24"/>
  <c r="AL70" i="24"/>
  <c r="AK70" i="24"/>
  <c r="AJ70" i="24"/>
  <c r="AI70" i="24"/>
  <c r="AH70" i="24"/>
  <c r="AG70" i="24"/>
  <c r="AF70" i="24"/>
  <c r="AE70" i="24"/>
  <c r="AD70" i="24"/>
  <c r="AC70" i="24"/>
  <c r="AB70" i="24"/>
  <c r="AA70" i="24"/>
  <c r="Z70" i="24"/>
  <c r="Y70" i="24"/>
  <c r="X70" i="24"/>
  <c r="W70" i="24"/>
  <c r="V70" i="24"/>
  <c r="U70" i="24"/>
  <c r="T70" i="24"/>
  <c r="S70" i="24"/>
  <c r="R70" i="24"/>
  <c r="Q70" i="24"/>
  <c r="P70" i="24"/>
  <c r="O70" i="24"/>
  <c r="N70" i="24"/>
  <c r="M70" i="24"/>
  <c r="L70" i="24"/>
  <c r="K70" i="24"/>
  <c r="J70" i="24"/>
  <c r="I70" i="24"/>
  <c r="H70" i="24"/>
  <c r="BA69" i="24"/>
  <c r="AZ69" i="24"/>
  <c r="AY69" i="24"/>
  <c r="AX69" i="24"/>
  <c r="AW69" i="24"/>
  <c r="AV69" i="24"/>
  <c r="AU69" i="24"/>
  <c r="AT69" i="24"/>
  <c r="AS69" i="24"/>
  <c r="AR69" i="24"/>
  <c r="AQ69" i="24"/>
  <c r="AP69" i="24"/>
  <c r="AO69" i="24"/>
  <c r="AN69" i="24"/>
  <c r="AM69" i="24"/>
  <c r="AL69" i="24"/>
  <c r="AK69" i="24"/>
  <c r="AJ69" i="24"/>
  <c r="AI69" i="24"/>
  <c r="AH69" i="24"/>
  <c r="AG69" i="24"/>
  <c r="AF69" i="24"/>
  <c r="AE69" i="24"/>
  <c r="AD69" i="24"/>
  <c r="AC69" i="24"/>
  <c r="AB69" i="24"/>
  <c r="AA69" i="24"/>
  <c r="Z69" i="24"/>
  <c r="Y69" i="24"/>
  <c r="X69" i="24"/>
  <c r="W69" i="24"/>
  <c r="V69" i="24"/>
  <c r="U69" i="24"/>
  <c r="T69" i="24"/>
  <c r="S69" i="24"/>
  <c r="R69" i="24"/>
  <c r="Q69" i="24"/>
  <c r="P69" i="24"/>
  <c r="O69" i="24"/>
  <c r="N69" i="24"/>
  <c r="M69" i="24"/>
  <c r="L69" i="24"/>
  <c r="K69" i="24"/>
  <c r="J69" i="24"/>
  <c r="I69" i="24"/>
  <c r="H69" i="24"/>
  <c r="BA68" i="24"/>
  <c r="AZ68" i="24"/>
  <c r="AY68" i="24"/>
  <c r="AX68" i="24"/>
  <c r="AW68" i="24"/>
  <c r="AV68" i="24"/>
  <c r="AU68" i="24"/>
  <c r="AT68" i="24"/>
  <c r="AS68" i="24"/>
  <c r="AR68" i="24"/>
  <c r="AQ68" i="24"/>
  <c r="AP68" i="24"/>
  <c r="AO68" i="24"/>
  <c r="AN68" i="24"/>
  <c r="AM68" i="24"/>
  <c r="AL68" i="24"/>
  <c r="AK68" i="24"/>
  <c r="AJ68" i="24"/>
  <c r="AI68" i="24"/>
  <c r="AH68" i="24"/>
  <c r="AG68" i="24"/>
  <c r="AF68" i="24"/>
  <c r="AE68" i="24"/>
  <c r="AD68" i="24"/>
  <c r="AC68" i="24"/>
  <c r="AB68" i="24"/>
  <c r="AA68" i="24"/>
  <c r="Z68" i="24"/>
  <c r="Y68" i="24"/>
  <c r="X68" i="24"/>
  <c r="W68" i="24"/>
  <c r="V68" i="24"/>
  <c r="U68" i="24"/>
  <c r="T68" i="24"/>
  <c r="S68" i="24"/>
  <c r="R68" i="24"/>
  <c r="Q68" i="24"/>
  <c r="P68" i="24"/>
  <c r="O68" i="24"/>
  <c r="N68" i="24"/>
  <c r="M68" i="24"/>
  <c r="L68" i="24"/>
  <c r="K68" i="24"/>
  <c r="J68" i="24"/>
  <c r="I68" i="24"/>
  <c r="H68" i="24"/>
  <c r="BA67" i="24"/>
  <c r="AZ67" i="24"/>
  <c r="AY67" i="24"/>
  <c r="AX67" i="24"/>
  <c r="AW67" i="24"/>
  <c r="AV67" i="24"/>
  <c r="AU67" i="24"/>
  <c r="AT67" i="24"/>
  <c r="AS67" i="24"/>
  <c r="AR67" i="24"/>
  <c r="AQ67" i="24"/>
  <c r="AP67" i="24"/>
  <c r="AO67" i="24"/>
  <c r="AN67" i="24"/>
  <c r="AM67" i="24"/>
  <c r="AL67" i="24"/>
  <c r="AK67" i="24"/>
  <c r="AJ67" i="24"/>
  <c r="AI67" i="24"/>
  <c r="AH67" i="24"/>
  <c r="AG67" i="24"/>
  <c r="AF67" i="24"/>
  <c r="AE67" i="24"/>
  <c r="AD67" i="24"/>
  <c r="AC67" i="24"/>
  <c r="AB67" i="24"/>
  <c r="AA67" i="24"/>
  <c r="Z67" i="24"/>
  <c r="Y67" i="24"/>
  <c r="X67" i="24"/>
  <c r="W67" i="24"/>
  <c r="V67" i="24"/>
  <c r="U67" i="24"/>
  <c r="T67" i="24"/>
  <c r="S67" i="24"/>
  <c r="R67" i="24"/>
  <c r="Q67" i="24"/>
  <c r="P67" i="24"/>
  <c r="O67" i="24"/>
  <c r="N67" i="24"/>
  <c r="M67" i="24"/>
  <c r="L67" i="24"/>
  <c r="K67" i="24"/>
  <c r="J67" i="24"/>
  <c r="I67" i="24"/>
  <c r="H67" i="24"/>
  <c r="BA66" i="24"/>
  <c r="AZ66" i="24"/>
  <c r="AY66" i="24"/>
  <c r="AX66" i="24"/>
  <c r="AW66" i="24"/>
  <c r="AV66" i="24"/>
  <c r="AU66" i="24"/>
  <c r="AT66" i="24"/>
  <c r="AS66" i="24"/>
  <c r="AR66" i="24"/>
  <c r="AQ66" i="24"/>
  <c r="AP66" i="24"/>
  <c r="AO66" i="24"/>
  <c r="AN66" i="24"/>
  <c r="AM66" i="24"/>
  <c r="AL66" i="24"/>
  <c r="AK66" i="24"/>
  <c r="AJ66" i="24"/>
  <c r="AI66" i="24"/>
  <c r="AH66" i="24"/>
  <c r="AG66" i="24"/>
  <c r="AF66" i="24"/>
  <c r="AE66" i="24"/>
  <c r="AD66" i="24"/>
  <c r="AC66" i="24"/>
  <c r="AB66" i="24"/>
  <c r="AA66" i="24"/>
  <c r="Z66" i="24"/>
  <c r="Y66" i="24"/>
  <c r="X66" i="24"/>
  <c r="W66" i="24"/>
  <c r="V66" i="24"/>
  <c r="U66" i="24"/>
  <c r="T66" i="24"/>
  <c r="S66" i="24"/>
  <c r="R66" i="24"/>
  <c r="Q66" i="24"/>
  <c r="P66" i="24"/>
  <c r="O66" i="24"/>
  <c r="N66" i="24"/>
  <c r="M66" i="24"/>
  <c r="L66" i="24"/>
  <c r="K66" i="24"/>
  <c r="J66" i="24"/>
  <c r="I66" i="24"/>
  <c r="H66" i="24"/>
  <c r="BA65" i="24"/>
  <c r="AZ65" i="24"/>
  <c r="AY65" i="24"/>
  <c r="AX65" i="24"/>
  <c r="AW65" i="24"/>
  <c r="AV65" i="24"/>
  <c r="AU65" i="24"/>
  <c r="AT65" i="24"/>
  <c r="AS65" i="24"/>
  <c r="AR65" i="24"/>
  <c r="AQ65" i="24"/>
  <c r="AP65" i="24"/>
  <c r="AO65" i="24"/>
  <c r="AN65" i="24"/>
  <c r="AM65" i="24"/>
  <c r="AL65" i="24"/>
  <c r="AK65" i="24"/>
  <c r="AJ65" i="24"/>
  <c r="AI65" i="24"/>
  <c r="AH65" i="24"/>
  <c r="AG65" i="24"/>
  <c r="AF65" i="24"/>
  <c r="AE65" i="24"/>
  <c r="AD65" i="24"/>
  <c r="AC65" i="24"/>
  <c r="AB65" i="24"/>
  <c r="AA65" i="24"/>
  <c r="Z65" i="24"/>
  <c r="Y65" i="24"/>
  <c r="X65" i="24"/>
  <c r="W65" i="24"/>
  <c r="V65" i="24"/>
  <c r="U65" i="24"/>
  <c r="T65" i="24"/>
  <c r="S65" i="24"/>
  <c r="R65" i="24"/>
  <c r="Q65" i="24"/>
  <c r="P65" i="24"/>
  <c r="O65" i="24"/>
  <c r="N65" i="24"/>
  <c r="M65" i="24"/>
  <c r="L65" i="24"/>
  <c r="K65" i="24"/>
  <c r="J65" i="24"/>
  <c r="I65" i="24"/>
  <c r="H65" i="24"/>
  <c r="BA64" i="24"/>
  <c r="AZ64" i="24"/>
  <c r="AY64" i="24"/>
  <c r="AX64" i="24"/>
  <c r="AW64" i="24"/>
  <c r="AV64" i="24"/>
  <c r="AU64" i="24"/>
  <c r="AT64" i="24"/>
  <c r="AS64" i="24"/>
  <c r="AR64" i="24"/>
  <c r="AQ64" i="24"/>
  <c r="AP64" i="24"/>
  <c r="AO64" i="24"/>
  <c r="AN64" i="24"/>
  <c r="AM64" i="24"/>
  <c r="AL64" i="24"/>
  <c r="AK64" i="24"/>
  <c r="AJ64" i="24"/>
  <c r="AI64" i="24"/>
  <c r="AH64" i="24"/>
  <c r="AG64" i="24"/>
  <c r="AF64" i="24"/>
  <c r="AE64" i="24"/>
  <c r="AD64" i="24"/>
  <c r="AC64" i="24"/>
  <c r="AB64" i="24"/>
  <c r="AA64" i="24"/>
  <c r="Z64" i="24"/>
  <c r="Y64" i="24"/>
  <c r="X64" i="24"/>
  <c r="W64" i="24"/>
  <c r="V64" i="24"/>
  <c r="U64" i="24"/>
  <c r="T64" i="24"/>
  <c r="S64" i="24"/>
  <c r="R64" i="24"/>
  <c r="Q64" i="24"/>
  <c r="P64" i="24"/>
  <c r="O64" i="24"/>
  <c r="N64" i="24"/>
  <c r="M64" i="24"/>
  <c r="L64" i="24"/>
  <c r="K64" i="24"/>
  <c r="J64" i="24"/>
  <c r="I64" i="24"/>
  <c r="H64" i="24"/>
  <c r="BA63" i="24"/>
  <c r="AZ63" i="24"/>
  <c r="AY63" i="24"/>
  <c r="AX63" i="24"/>
  <c r="AW63" i="24"/>
  <c r="AV63" i="24"/>
  <c r="AU63" i="24"/>
  <c r="AT63" i="24"/>
  <c r="AS63" i="24"/>
  <c r="AR63" i="24"/>
  <c r="AQ63" i="24"/>
  <c r="AP63" i="24"/>
  <c r="AO63" i="24"/>
  <c r="AN63" i="24"/>
  <c r="AM63" i="24"/>
  <c r="AL63" i="24"/>
  <c r="AK63" i="24"/>
  <c r="AJ63" i="24"/>
  <c r="AI63" i="24"/>
  <c r="AH63" i="24"/>
  <c r="AG63" i="24"/>
  <c r="AF63" i="24"/>
  <c r="AE63" i="24"/>
  <c r="AD63" i="24"/>
  <c r="AC63" i="24"/>
  <c r="AB63" i="24"/>
  <c r="AA63" i="24"/>
  <c r="Z63" i="24"/>
  <c r="Y63" i="24"/>
  <c r="X63" i="24"/>
  <c r="W63" i="24"/>
  <c r="V63" i="24"/>
  <c r="U63" i="24"/>
  <c r="T63" i="24"/>
  <c r="S63" i="24"/>
  <c r="R63" i="24"/>
  <c r="Q63" i="24"/>
  <c r="P63" i="24"/>
  <c r="O63" i="24"/>
  <c r="N63" i="24"/>
  <c r="M63" i="24"/>
  <c r="L63" i="24"/>
  <c r="K63" i="24"/>
  <c r="J63" i="24"/>
  <c r="I63" i="24"/>
  <c r="H63" i="24"/>
  <c r="BA62" i="24"/>
  <c r="AZ62" i="24"/>
  <c r="AY62" i="24"/>
  <c r="AX62" i="24"/>
  <c r="AW62" i="24"/>
  <c r="AV62" i="24"/>
  <c r="AU62" i="24"/>
  <c r="AT62" i="24"/>
  <c r="AS62" i="24"/>
  <c r="AR62" i="24"/>
  <c r="AQ62" i="24"/>
  <c r="AP62" i="24"/>
  <c r="AO62" i="24"/>
  <c r="AN62" i="24"/>
  <c r="AM62" i="24"/>
  <c r="AL62" i="24"/>
  <c r="AK62" i="24"/>
  <c r="AJ62" i="24"/>
  <c r="AI62" i="24"/>
  <c r="AH62" i="24"/>
  <c r="AG62" i="24"/>
  <c r="AF62" i="24"/>
  <c r="AE62" i="24"/>
  <c r="AD62" i="24"/>
  <c r="AC62" i="24"/>
  <c r="AB62" i="24"/>
  <c r="AA62" i="24"/>
  <c r="Z62" i="24"/>
  <c r="Y62" i="24"/>
  <c r="X62" i="24"/>
  <c r="W62" i="24"/>
  <c r="V62" i="24"/>
  <c r="U62" i="24"/>
  <c r="T62" i="24"/>
  <c r="S62" i="24"/>
  <c r="R62" i="24"/>
  <c r="Q62" i="24"/>
  <c r="P62" i="24"/>
  <c r="O62" i="24"/>
  <c r="N62" i="24"/>
  <c r="M62" i="24"/>
  <c r="L62" i="24"/>
  <c r="K62" i="24"/>
  <c r="J62" i="24"/>
  <c r="I62" i="24"/>
  <c r="H62" i="24"/>
  <c r="BA61" i="24"/>
  <c r="AZ61" i="24"/>
  <c r="AY61" i="24"/>
  <c r="AX61" i="24"/>
  <c r="AW61" i="24"/>
  <c r="AV61" i="24"/>
  <c r="AU61" i="24"/>
  <c r="AT61" i="24"/>
  <c r="AS61" i="24"/>
  <c r="AR61" i="24"/>
  <c r="AQ61" i="24"/>
  <c r="AP61" i="24"/>
  <c r="AO61" i="24"/>
  <c r="AN61" i="24"/>
  <c r="AM61" i="24"/>
  <c r="AL61" i="24"/>
  <c r="AK61" i="24"/>
  <c r="AJ61" i="24"/>
  <c r="AI61" i="24"/>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BA60" i="24"/>
  <c r="AZ60" i="24"/>
  <c r="AY60" i="24"/>
  <c r="AX60" i="24"/>
  <c r="AW60" i="24"/>
  <c r="AV60" i="24"/>
  <c r="AU60" i="24"/>
  <c r="AT60" i="24"/>
  <c r="AS60" i="24"/>
  <c r="AR60" i="24"/>
  <c r="AQ60" i="24"/>
  <c r="AP60" i="24"/>
  <c r="AO60" i="24"/>
  <c r="AN60" i="24"/>
  <c r="AM60" i="24"/>
  <c r="AL60" i="24"/>
  <c r="AK60" i="24"/>
  <c r="AJ60" i="24"/>
  <c r="AI60" i="24"/>
  <c r="AH60" i="24"/>
  <c r="AG60" i="24"/>
  <c r="AF60" i="24"/>
  <c r="AE60" i="24"/>
  <c r="AD60" i="24"/>
  <c r="AC60" i="24"/>
  <c r="AB60" i="24"/>
  <c r="AA60" i="24"/>
  <c r="Z60" i="24"/>
  <c r="Y60" i="24"/>
  <c r="X60" i="24"/>
  <c r="W60" i="24"/>
  <c r="V60" i="24"/>
  <c r="U60" i="24"/>
  <c r="T60" i="24"/>
  <c r="S60" i="24"/>
  <c r="R60" i="24"/>
  <c r="Q60" i="24"/>
  <c r="P60" i="24"/>
  <c r="O60" i="24"/>
  <c r="N60" i="24"/>
  <c r="M60" i="24"/>
  <c r="L60" i="24"/>
  <c r="K60" i="24"/>
  <c r="J60" i="24"/>
  <c r="I60" i="24"/>
  <c r="H60" i="24"/>
  <c r="BA59" i="24"/>
  <c r="AZ59" i="24"/>
  <c r="AY59" i="24"/>
  <c r="AX59" i="24"/>
  <c r="AW59" i="24"/>
  <c r="AV59" i="24"/>
  <c r="AU59" i="24"/>
  <c r="AT59" i="24"/>
  <c r="AS59" i="24"/>
  <c r="AR59" i="24"/>
  <c r="AQ59" i="24"/>
  <c r="AP59" i="24"/>
  <c r="AO59" i="24"/>
  <c r="AN59" i="24"/>
  <c r="AM59" i="24"/>
  <c r="AL59" i="24"/>
  <c r="AK59" i="24"/>
  <c r="AJ59" i="24"/>
  <c r="AI59" i="24"/>
  <c r="AH59" i="24"/>
  <c r="AG59" i="24"/>
  <c r="AF59" i="24"/>
  <c r="AE59" i="24"/>
  <c r="AD59" i="24"/>
  <c r="AC59" i="24"/>
  <c r="AB59" i="24"/>
  <c r="AA59" i="24"/>
  <c r="Z59" i="24"/>
  <c r="Y59" i="24"/>
  <c r="X59" i="24"/>
  <c r="W59" i="24"/>
  <c r="V59" i="24"/>
  <c r="U59" i="24"/>
  <c r="T59" i="24"/>
  <c r="S59" i="24"/>
  <c r="R59" i="24"/>
  <c r="Q59" i="24"/>
  <c r="P59" i="24"/>
  <c r="O59" i="24"/>
  <c r="N59" i="24"/>
  <c r="M59" i="24"/>
  <c r="L59" i="24"/>
  <c r="K59" i="24"/>
  <c r="J59" i="24"/>
  <c r="I59" i="24"/>
  <c r="H59" i="24"/>
  <c r="BA58" i="24"/>
  <c r="AZ58" i="24"/>
  <c r="AY58" i="24"/>
  <c r="AX58" i="24"/>
  <c r="AW58" i="24"/>
  <c r="AV58" i="24"/>
  <c r="AU58" i="24"/>
  <c r="AT58" i="24"/>
  <c r="AS58" i="24"/>
  <c r="AR58" i="24"/>
  <c r="AQ58" i="24"/>
  <c r="AP58" i="24"/>
  <c r="AO58" i="24"/>
  <c r="AN58" i="24"/>
  <c r="AM58" i="24"/>
  <c r="AL58" i="24"/>
  <c r="AK58" i="24"/>
  <c r="AJ58" i="24"/>
  <c r="AI58" i="24"/>
  <c r="AH58" i="24"/>
  <c r="AG58" i="24"/>
  <c r="AF58" i="24"/>
  <c r="AE58" i="24"/>
  <c r="AD58" i="24"/>
  <c r="AC58" i="24"/>
  <c r="AB58" i="24"/>
  <c r="AA58" i="24"/>
  <c r="Z58" i="24"/>
  <c r="Y58" i="24"/>
  <c r="X58" i="24"/>
  <c r="W58" i="24"/>
  <c r="V58" i="24"/>
  <c r="U58" i="24"/>
  <c r="T58" i="24"/>
  <c r="S58" i="24"/>
  <c r="R58" i="24"/>
  <c r="Q58" i="24"/>
  <c r="P58" i="24"/>
  <c r="O58" i="24"/>
  <c r="N58" i="24"/>
  <c r="M58" i="24"/>
  <c r="L58" i="24"/>
  <c r="K58" i="24"/>
  <c r="J58" i="24"/>
  <c r="I58" i="24"/>
  <c r="H58" i="24"/>
  <c r="BA57" i="24"/>
  <c r="AZ57" i="24"/>
  <c r="AY57" i="24"/>
  <c r="AX57" i="24"/>
  <c r="AW57" i="24"/>
  <c r="AV57" i="24"/>
  <c r="AU57" i="24"/>
  <c r="AT57" i="24"/>
  <c r="AS57" i="24"/>
  <c r="AR57" i="24"/>
  <c r="AQ57" i="24"/>
  <c r="AP57" i="24"/>
  <c r="AO57" i="24"/>
  <c r="AN57" i="24"/>
  <c r="AM57" i="24"/>
  <c r="AL57" i="24"/>
  <c r="AK57" i="24"/>
  <c r="AJ57" i="24"/>
  <c r="AI57" i="24"/>
  <c r="AH57" i="24"/>
  <c r="AG57" i="24"/>
  <c r="AF57" i="24"/>
  <c r="AE57" i="24"/>
  <c r="AD57" i="24"/>
  <c r="AC57" i="24"/>
  <c r="AB57" i="24"/>
  <c r="AA57" i="24"/>
  <c r="Z57" i="24"/>
  <c r="Y57" i="24"/>
  <c r="X57" i="24"/>
  <c r="W57" i="24"/>
  <c r="V57" i="24"/>
  <c r="U57" i="24"/>
  <c r="T57" i="24"/>
  <c r="S57" i="24"/>
  <c r="R57" i="24"/>
  <c r="Q57" i="24"/>
  <c r="P57" i="24"/>
  <c r="O57" i="24"/>
  <c r="N57" i="24"/>
  <c r="M57" i="24"/>
  <c r="L57" i="24"/>
  <c r="K57" i="24"/>
  <c r="J57" i="24"/>
  <c r="I57" i="24"/>
  <c r="H57" i="24"/>
  <c r="BA56" i="24"/>
  <c r="AZ56" i="24"/>
  <c r="AY56" i="24"/>
  <c r="AX56" i="24"/>
  <c r="AW56" i="24"/>
  <c r="AV56" i="24"/>
  <c r="AU56" i="24"/>
  <c r="AT56" i="24"/>
  <c r="AS56" i="24"/>
  <c r="AR56" i="24"/>
  <c r="AQ56" i="24"/>
  <c r="AP56" i="24"/>
  <c r="AO56" i="24"/>
  <c r="AN56" i="24"/>
  <c r="AM56" i="24"/>
  <c r="AL56" i="24"/>
  <c r="AK56" i="24"/>
  <c r="AJ56" i="24"/>
  <c r="AI56" i="24"/>
  <c r="AH56" i="24"/>
  <c r="AG56" i="24"/>
  <c r="AF56" i="24"/>
  <c r="AE56" i="24"/>
  <c r="AD56" i="24"/>
  <c r="AC56" i="24"/>
  <c r="AB56" i="24"/>
  <c r="AA56" i="24"/>
  <c r="Z56" i="24"/>
  <c r="Y56" i="24"/>
  <c r="X56" i="24"/>
  <c r="W56" i="24"/>
  <c r="V56" i="24"/>
  <c r="U56" i="24"/>
  <c r="T56" i="24"/>
  <c r="S56" i="24"/>
  <c r="R56" i="24"/>
  <c r="Q56" i="24"/>
  <c r="P56" i="24"/>
  <c r="O56" i="24"/>
  <c r="N56" i="24"/>
  <c r="M56" i="24"/>
  <c r="L56" i="24"/>
  <c r="K56" i="24"/>
  <c r="J56" i="24"/>
  <c r="I56" i="24"/>
  <c r="H56" i="24"/>
  <c r="BA55" i="24"/>
  <c r="AZ55" i="24"/>
  <c r="AY55" i="24"/>
  <c r="AX55" i="24"/>
  <c r="AW55" i="24"/>
  <c r="AV55" i="24"/>
  <c r="AU55" i="24"/>
  <c r="AT55" i="24"/>
  <c r="AS55" i="24"/>
  <c r="AR55" i="24"/>
  <c r="AQ55" i="24"/>
  <c r="AP55" i="24"/>
  <c r="AO55" i="24"/>
  <c r="AN55" i="24"/>
  <c r="AM55" i="24"/>
  <c r="AL55" i="24"/>
  <c r="AK55" i="24"/>
  <c r="AJ55" i="24"/>
  <c r="AI55" i="24"/>
  <c r="AH55" i="24"/>
  <c r="AG55" i="24"/>
  <c r="AF55" i="24"/>
  <c r="AE55" i="24"/>
  <c r="AD55" i="24"/>
  <c r="AC55" i="24"/>
  <c r="AB55" i="24"/>
  <c r="AA55" i="24"/>
  <c r="Z55" i="24"/>
  <c r="Y55" i="24"/>
  <c r="X55" i="24"/>
  <c r="W55" i="24"/>
  <c r="V55" i="24"/>
  <c r="U55" i="24"/>
  <c r="T55" i="24"/>
  <c r="S55" i="24"/>
  <c r="R55" i="24"/>
  <c r="Q55" i="24"/>
  <c r="P55" i="24"/>
  <c r="O55" i="24"/>
  <c r="N55" i="24"/>
  <c r="M55" i="24"/>
  <c r="L55" i="24"/>
  <c r="K55" i="24"/>
  <c r="J55" i="24"/>
  <c r="I55" i="24"/>
  <c r="H55" i="24"/>
  <c r="BA54" i="24"/>
  <c r="AZ54" i="24"/>
  <c r="AY54" i="24"/>
  <c r="AX54" i="24"/>
  <c r="AW54" i="24"/>
  <c r="AV54" i="24"/>
  <c r="AU54" i="24"/>
  <c r="AT54" i="24"/>
  <c r="AS54" i="24"/>
  <c r="AR54" i="24"/>
  <c r="AQ54" i="24"/>
  <c r="AP54" i="24"/>
  <c r="AO54" i="24"/>
  <c r="AN54" i="24"/>
  <c r="AM54" i="24"/>
  <c r="AL54" i="24"/>
  <c r="AK54" i="24"/>
  <c r="AJ54" i="24"/>
  <c r="AI54" i="24"/>
  <c r="AH54" i="24"/>
  <c r="AG54" i="24"/>
  <c r="AF54" i="24"/>
  <c r="AE54" i="24"/>
  <c r="AD54" i="24"/>
  <c r="AC54" i="24"/>
  <c r="AB54" i="24"/>
  <c r="AA54" i="24"/>
  <c r="Z54" i="24"/>
  <c r="Y54" i="24"/>
  <c r="X54" i="24"/>
  <c r="W54" i="24"/>
  <c r="V54" i="24"/>
  <c r="U54" i="24"/>
  <c r="T54" i="24"/>
  <c r="S54" i="24"/>
  <c r="R54" i="24"/>
  <c r="Q54" i="24"/>
  <c r="P54" i="24"/>
  <c r="O54" i="24"/>
  <c r="N54" i="24"/>
  <c r="M54" i="24"/>
  <c r="L54" i="24"/>
  <c r="K54" i="24"/>
  <c r="J54" i="24"/>
  <c r="I54" i="24"/>
  <c r="H54" i="24"/>
  <c r="BA53" i="24"/>
  <c r="AZ53" i="24"/>
  <c r="AY53" i="24"/>
  <c r="AX53" i="24"/>
  <c r="AW53" i="24"/>
  <c r="AV53" i="24"/>
  <c r="AU53" i="24"/>
  <c r="AT53" i="24"/>
  <c r="AS53" i="24"/>
  <c r="AR53" i="24"/>
  <c r="AQ53" i="24"/>
  <c r="AP53" i="24"/>
  <c r="AO53" i="24"/>
  <c r="AN53" i="24"/>
  <c r="AM53" i="24"/>
  <c r="AL53" i="24"/>
  <c r="AK53" i="24"/>
  <c r="AJ53" i="24"/>
  <c r="AI53" i="24"/>
  <c r="AH53" i="24"/>
  <c r="AG53" i="24"/>
  <c r="AF53" i="24"/>
  <c r="AE53" i="24"/>
  <c r="AD53" i="24"/>
  <c r="AC53" i="24"/>
  <c r="AB53" i="24"/>
  <c r="AA53" i="24"/>
  <c r="Z53" i="24"/>
  <c r="Y53" i="24"/>
  <c r="X53" i="24"/>
  <c r="W53" i="24"/>
  <c r="V53" i="24"/>
  <c r="U53" i="24"/>
  <c r="T53" i="24"/>
  <c r="S53" i="24"/>
  <c r="R53" i="24"/>
  <c r="Q53" i="24"/>
  <c r="P53" i="24"/>
  <c r="O53" i="24"/>
  <c r="N53" i="24"/>
  <c r="M53" i="24"/>
  <c r="L53" i="24"/>
  <c r="K53" i="24"/>
  <c r="J53" i="24"/>
  <c r="I53" i="24"/>
  <c r="H53" i="24"/>
  <c r="BA52" i="24"/>
  <c r="AZ52" i="24"/>
  <c r="AY52" i="24"/>
  <c r="AX52" i="24"/>
  <c r="AW52" i="24"/>
  <c r="AV52" i="24"/>
  <c r="AU52" i="24"/>
  <c r="AT52" i="24"/>
  <c r="AS52" i="24"/>
  <c r="AR52" i="24"/>
  <c r="AQ52" i="24"/>
  <c r="AP52" i="24"/>
  <c r="AO52" i="24"/>
  <c r="AN52" i="24"/>
  <c r="AM52" i="24"/>
  <c r="AL52" i="24"/>
  <c r="AK52" i="24"/>
  <c r="AJ52" i="24"/>
  <c r="AI52" i="24"/>
  <c r="AH52" i="24"/>
  <c r="AG52" i="24"/>
  <c r="AF52" i="24"/>
  <c r="AE52" i="24"/>
  <c r="AD52" i="24"/>
  <c r="AC52" i="24"/>
  <c r="AB52" i="24"/>
  <c r="AA52" i="24"/>
  <c r="Z52" i="24"/>
  <c r="Y52" i="24"/>
  <c r="X52" i="24"/>
  <c r="W52" i="24"/>
  <c r="V52" i="24"/>
  <c r="U52" i="24"/>
  <c r="T52" i="24"/>
  <c r="S52" i="24"/>
  <c r="R52" i="24"/>
  <c r="Q52" i="24"/>
  <c r="P52" i="24"/>
  <c r="O52" i="24"/>
  <c r="N52" i="24"/>
  <c r="M52" i="24"/>
  <c r="L52" i="24"/>
  <c r="K52" i="24"/>
  <c r="J52" i="24"/>
  <c r="I52" i="24"/>
  <c r="H52" i="24"/>
  <c r="BA51" i="24"/>
  <c r="AZ51" i="24"/>
  <c r="AY51" i="24"/>
  <c r="AX51" i="24"/>
  <c r="AW51" i="24"/>
  <c r="AV51" i="24"/>
  <c r="AU51" i="24"/>
  <c r="AT51" i="24"/>
  <c r="AS51" i="24"/>
  <c r="AR51" i="24"/>
  <c r="AQ51" i="24"/>
  <c r="AP51" i="24"/>
  <c r="AO51" i="24"/>
  <c r="AN51" i="24"/>
  <c r="AM51" i="24"/>
  <c r="AL51" i="24"/>
  <c r="AK51" i="24"/>
  <c r="AJ51" i="24"/>
  <c r="AI51" i="24"/>
  <c r="AH51" i="24"/>
  <c r="AG51" i="24"/>
  <c r="AF51" i="24"/>
  <c r="AE51" i="24"/>
  <c r="AD51" i="24"/>
  <c r="AC51" i="24"/>
  <c r="AB51" i="24"/>
  <c r="AA51" i="24"/>
  <c r="Z51" i="24"/>
  <c r="Y51" i="24"/>
  <c r="X51" i="24"/>
  <c r="W51" i="24"/>
  <c r="V51" i="24"/>
  <c r="U51" i="24"/>
  <c r="T51" i="24"/>
  <c r="S51" i="24"/>
  <c r="R51" i="24"/>
  <c r="Q51" i="24"/>
  <c r="P51" i="24"/>
  <c r="O51" i="24"/>
  <c r="N51" i="24"/>
  <c r="M51" i="24"/>
  <c r="L51" i="24"/>
  <c r="K51" i="24"/>
  <c r="J51" i="24"/>
  <c r="I51" i="24"/>
  <c r="H51" i="24"/>
  <c r="BA50" i="24"/>
  <c r="AZ50" i="24"/>
  <c r="AY50" i="24"/>
  <c r="AX50" i="24"/>
  <c r="AW50" i="24"/>
  <c r="AV50" i="24"/>
  <c r="AU50" i="24"/>
  <c r="AT50" i="24"/>
  <c r="AS50" i="24"/>
  <c r="AR50" i="24"/>
  <c r="AQ50" i="24"/>
  <c r="AP50" i="24"/>
  <c r="AO50" i="24"/>
  <c r="AN50" i="24"/>
  <c r="AM50" i="24"/>
  <c r="AL50" i="24"/>
  <c r="AK50" i="24"/>
  <c r="AJ50" i="24"/>
  <c r="AI50" i="24"/>
  <c r="AH50" i="24"/>
  <c r="AG50" i="24"/>
  <c r="AF50" i="24"/>
  <c r="AE50" i="24"/>
  <c r="AD50" i="24"/>
  <c r="AC50" i="24"/>
  <c r="AB50" i="24"/>
  <c r="AA50" i="24"/>
  <c r="Z50" i="24"/>
  <c r="Y50" i="24"/>
  <c r="X50" i="24"/>
  <c r="W50" i="24"/>
  <c r="V50" i="24"/>
  <c r="U50" i="24"/>
  <c r="T50" i="24"/>
  <c r="S50" i="24"/>
  <c r="R50" i="24"/>
  <c r="Q50" i="24"/>
  <c r="P50" i="24"/>
  <c r="O50" i="24"/>
  <c r="N50" i="24"/>
  <c r="M50" i="24"/>
  <c r="L50" i="24"/>
  <c r="K50" i="24"/>
  <c r="J50" i="24"/>
  <c r="I50" i="24"/>
  <c r="H50" i="24"/>
  <c r="BA49" i="24"/>
  <c r="AZ49" i="24"/>
  <c r="AY49" i="24"/>
  <c r="AX49" i="24"/>
  <c r="AW49" i="24"/>
  <c r="AV49" i="24"/>
  <c r="AU49" i="24"/>
  <c r="AT49" i="24"/>
  <c r="AS49" i="24"/>
  <c r="AR49" i="24"/>
  <c r="AQ49" i="24"/>
  <c r="AP49" i="24"/>
  <c r="AO49" i="24"/>
  <c r="AN49" i="24"/>
  <c r="AM49" i="24"/>
  <c r="AL49" i="24"/>
  <c r="AK49" i="24"/>
  <c r="AJ49" i="24"/>
  <c r="AI49" i="24"/>
  <c r="AH49" i="24"/>
  <c r="AG49" i="24"/>
  <c r="AF49" i="24"/>
  <c r="AE49" i="24"/>
  <c r="AD49" i="24"/>
  <c r="AC49" i="24"/>
  <c r="AB49" i="24"/>
  <c r="AA49" i="24"/>
  <c r="Z49" i="24"/>
  <c r="Y49" i="24"/>
  <c r="X49" i="24"/>
  <c r="W49" i="24"/>
  <c r="V49" i="24"/>
  <c r="U49" i="24"/>
  <c r="T49" i="24"/>
  <c r="S49" i="24"/>
  <c r="R49" i="24"/>
  <c r="Q49" i="24"/>
  <c r="P49" i="24"/>
  <c r="O49" i="24"/>
  <c r="N49" i="24"/>
  <c r="M49" i="24"/>
  <c r="L49" i="24"/>
  <c r="K49" i="24"/>
  <c r="J49" i="24"/>
  <c r="I49" i="24"/>
  <c r="H49" i="24"/>
  <c r="BA48" i="24"/>
  <c r="AZ48" i="24"/>
  <c r="AY48" i="24"/>
  <c r="AX48" i="24"/>
  <c r="AW48" i="24"/>
  <c r="AV48" i="24"/>
  <c r="AU48" i="24"/>
  <c r="AT48" i="24"/>
  <c r="AS48" i="24"/>
  <c r="AR48" i="24"/>
  <c r="AQ48" i="24"/>
  <c r="AP48" i="24"/>
  <c r="AO48" i="24"/>
  <c r="AN48" i="24"/>
  <c r="AM48" i="24"/>
  <c r="AL48" i="24"/>
  <c r="AK48" i="24"/>
  <c r="AJ48" i="24"/>
  <c r="AI48" i="24"/>
  <c r="AH48" i="24"/>
  <c r="AG48" i="24"/>
  <c r="AF48" i="24"/>
  <c r="AE48" i="24"/>
  <c r="AD48" i="24"/>
  <c r="AC48" i="24"/>
  <c r="AB48" i="24"/>
  <c r="AA48" i="24"/>
  <c r="Z48" i="24"/>
  <c r="Y48" i="24"/>
  <c r="X48" i="24"/>
  <c r="W48" i="24"/>
  <c r="V48" i="24"/>
  <c r="U48" i="24"/>
  <c r="T48" i="24"/>
  <c r="S48" i="24"/>
  <c r="R48" i="24"/>
  <c r="Q48" i="24"/>
  <c r="P48" i="24"/>
  <c r="O48" i="24"/>
  <c r="N48" i="24"/>
  <c r="M48" i="24"/>
  <c r="L48" i="24"/>
  <c r="K48" i="24"/>
  <c r="J48" i="24"/>
  <c r="I48" i="24"/>
  <c r="H48" i="24"/>
  <c r="BA47" i="24"/>
  <c r="AZ47" i="24"/>
  <c r="AY47" i="24"/>
  <c r="AX47" i="24"/>
  <c r="AW47" i="24"/>
  <c r="AV47" i="24"/>
  <c r="AU47" i="24"/>
  <c r="AT47" i="24"/>
  <c r="AS47" i="24"/>
  <c r="AR47" i="24"/>
  <c r="AQ47" i="24"/>
  <c r="AP47" i="24"/>
  <c r="AO47" i="24"/>
  <c r="AN47" i="24"/>
  <c r="AM47" i="24"/>
  <c r="AL47" i="24"/>
  <c r="AK47" i="24"/>
  <c r="AJ47" i="24"/>
  <c r="AI47" i="24"/>
  <c r="AH47" i="24"/>
  <c r="AG47" i="24"/>
  <c r="AF47" i="24"/>
  <c r="AE47" i="24"/>
  <c r="AD47" i="24"/>
  <c r="AC47" i="24"/>
  <c r="AB47" i="24"/>
  <c r="AA47" i="24"/>
  <c r="Z47" i="24"/>
  <c r="Y47" i="24"/>
  <c r="X47" i="24"/>
  <c r="W47" i="24"/>
  <c r="V47" i="24"/>
  <c r="U47" i="24"/>
  <c r="T47" i="24"/>
  <c r="S47" i="24"/>
  <c r="R47" i="24"/>
  <c r="Q47" i="24"/>
  <c r="P47" i="24"/>
  <c r="O47" i="24"/>
  <c r="N47" i="24"/>
  <c r="M47" i="24"/>
  <c r="L47" i="24"/>
  <c r="K47" i="24"/>
  <c r="J47" i="24"/>
  <c r="I47" i="24"/>
  <c r="H47" i="24"/>
  <c r="BA46" i="24"/>
  <c r="AZ46" i="24"/>
  <c r="AY46" i="24"/>
  <c r="AX46" i="24"/>
  <c r="AW46" i="24"/>
  <c r="AV46" i="24"/>
  <c r="AU46" i="24"/>
  <c r="AT46" i="24"/>
  <c r="AS46" i="24"/>
  <c r="AR46" i="24"/>
  <c r="AQ46" i="24"/>
  <c r="AP46" i="24"/>
  <c r="AO46" i="24"/>
  <c r="AN46" i="24"/>
  <c r="AM46" i="24"/>
  <c r="AL46" i="24"/>
  <c r="AK46" i="24"/>
  <c r="AJ46" i="24"/>
  <c r="AI46" i="24"/>
  <c r="AH46" i="24"/>
  <c r="AG46" i="24"/>
  <c r="AF46" i="24"/>
  <c r="AE46" i="24"/>
  <c r="AD46" i="24"/>
  <c r="AC46" i="24"/>
  <c r="AB46" i="24"/>
  <c r="AA46" i="24"/>
  <c r="Z46" i="24"/>
  <c r="Y46" i="24"/>
  <c r="X46" i="24"/>
  <c r="W46" i="24"/>
  <c r="V46" i="24"/>
  <c r="U46" i="24"/>
  <c r="T46" i="24"/>
  <c r="S46" i="24"/>
  <c r="R46" i="24"/>
  <c r="Q46" i="24"/>
  <c r="P46" i="24"/>
  <c r="O46" i="24"/>
  <c r="N46" i="24"/>
  <c r="M46" i="24"/>
  <c r="L46" i="24"/>
  <c r="K46" i="24"/>
  <c r="J46" i="24"/>
  <c r="I46" i="24"/>
  <c r="H46" i="24"/>
  <c r="BA45" i="24"/>
  <c r="AZ45" i="24"/>
  <c r="AY45" i="24"/>
  <c r="AX45" i="24"/>
  <c r="AW45" i="24"/>
  <c r="AV45" i="24"/>
  <c r="AU45" i="24"/>
  <c r="AT45" i="24"/>
  <c r="AS45" i="24"/>
  <c r="AR45" i="24"/>
  <c r="AQ45" i="24"/>
  <c r="AP45" i="24"/>
  <c r="AO45" i="24"/>
  <c r="AN45" i="24"/>
  <c r="AM45" i="24"/>
  <c r="AL45" i="24"/>
  <c r="AK45" i="24"/>
  <c r="AJ45" i="24"/>
  <c r="AI45" i="24"/>
  <c r="AH45" i="24"/>
  <c r="AG45" i="24"/>
  <c r="AF45" i="24"/>
  <c r="AE45" i="24"/>
  <c r="AD45" i="24"/>
  <c r="AC45" i="24"/>
  <c r="AB45" i="24"/>
  <c r="AA45" i="24"/>
  <c r="Z45" i="24"/>
  <c r="Y45" i="24"/>
  <c r="X45" i="24"/>
  <c r="W45" i="24"/>
  <c r="V45" i="24"/>
  <c r="U45" i="24"/>
  <c r="T45" i="24"/>
  <c r="S45" i="24"/>
  <c r="R45" i="24"/>
  <c r="Q45" i="24"/>
  <c r="P45" i="24"/>
  <c r="O45" i="24"/>
  <c r="N45" i="24"/>
  <c r="M45" i="24"/>
  <c r="L45" i="24"/>
  <c r="K45" i="24"/>
  <c r="J45" i="24"/>
  <c r="I45" i="24"/>
  <c r="H45" i="24"/>
  <c r="BA44" i="24"/>
  <c r="AZ44" i="24"/>
  <c r="AY44" i="24"/>
  <c r="AX44" i="24"/>
  <c r="AW44" i="24"/>
  <c r="AV44" i="24"/>
  <c r="AU44" i="24"/>
  <c r="AT44" i="24"/>
  <c r="AS44" i="24"/>
  <c r="AR44" i="24"/>
  <c r="AQ44" i="24"/>
  <c r="AP44" i="24"/>
  <c r="AO44" i="24"/>
  <c r="AN44" i="24"/>
  <c r="AM44" i="24"/>
  <c r="AL44" i="24"/>
  <c r="AK44" i="24"/>
  <c r="AJ44" i="24"/>
  <c r="AI44" i="24"/>
  <c r="AH44" i="24"/>
  <c r="AG44" i="24"/>
  <c r="AF44" i="24"/>
  <c r="AE44" i="24"/>
  <c r="AD44" i="24"/>
  <c r="AC44" i="24"/>
  <c r="AB44" i="24"/>
  <c r="AA44" i="24"/>
  <c r="Z44" i="24"/>
  <c r="Y44" i="24"/>
  <c r="X44" i="24"/>
  <c r="W44" i="24"/>
  <c r="V44" i="24"/>
  <c r="U44" i="24"/>
  <c r="T44" i="24"/>
  <c r="S44" i="24"/>
  <c r="R44" i="24"/>
  <c r="Q44" i="24"/>
  <c r="P44" i="24"/>
  <c r="O44" i="24"/>
  <c r="N44" i="24"/>
  <c r="M44" i="24"/>
  <c r="L44" i="24"/>
  <c r="K44" i="24"/>
  <c r="J44" i="24"/>
  <c r="I44" i="24"/>
  <c r="H44" i="24"/>
  <c r="BA43" i="24"/>
  <c r="AZ43" i="24"/>
  <c r="AY43" i="24"/>
  <c r="AX43" i="24"/>
  <c r="AW43" i="24"/>
  <c r="AV43" i="24"/>
  <c r="AU43" i="24"/>
  <c r="AT43" i="24"/>
  <c r="AS43" i="24"/>
  <c r="AR43" i="24"/>
  <c r="AQ43" i="24"/>
  <c r="AP43" i="24"/>
  <c r="AO43" i="24"/>
  <c r="AN43" i="24"/>
  <c r="AM43" i="24"/>
  <c r="AL43" i="24"/>
  <c r="AK43" i="24"/>
  <c r="AJ43" i="24"/>
  <c r="AI43" i="24"/>
  <c r="AH43" i="24"/>
  <c r="AG43" i="24"/>
  <c r="AF43" i="24"/>
  <c r="AE43" i="24"/>
  <c r="AD43" i="24"/>
  <c r="AC43" i="24"/>
  <c r="AB43" i="24"/>
  <c r="AA43" i="24"/>
  <c r="Z43" i="24"/>
  <c r="Y43" i="24"/>
  <c r="X43" i="24"/>
  <c r="W43" i="24"/>
  <c r="V43" i="24"/>
  <c r="U43" i="24"/>
  <c r="T43" i="24"/>
  <c r="S43" i="24"/>
  <c r="R43" i="24"/>
  <c r="Q43" i="24"/>
  <c r="P43" i="24"/>
  <c r="O43" i="24"/>
  <c r="N43" i="24"/>
  <c r="M43" i="24"/>
  <c r="L43" i="24"/>
  <c r="K43" i="24"/>
  <c r="J43" i="24"/>
  <c r="I43" i="24"/>
  <c r="H43" i="24"/>
  <c r="BA42" i="24"/>
  <c r="AZ42" i="24"/>
  <c r="AY42" i="24"/>
  <c r="AX42" i="24"/>
  <c r="AW42" i="24"/>
  <c r="AV42" i="24"/>
  <c r="AU42" i="24"/>
  <c r="AT42" i="24"/>
  <c r="AS42" i="24"/>
  <c r="AR42" i="24"/>
  <c r="AQ42" i="24"/>
  <c r="AP42" i="24"/>
  <c r="AO42" i="24"/>
  <c r="AN42" i="24"/>
  <c r="AM42" i="24"/>
  <c r="AL42" i="24"/>
  <c r="AK42" i="24"/>
  <c r="AJ42" i="24"/>
  <c r="AI42" i="24"/>
  <c r="AH42" i="24"/>
  <c r="AG42" i="24"/>
  <c r="AF42" i="24"/>
  <c r="AE42" i="24"/>
  <c r="AD42" i="24"/>
  <c r="AC42" i="24"/>
  <c r="AB42" i="24"/>
  <c r="AA42" i="24"/>
  <c r="Z42" i="24"/>
  <c r="Y42" i="24"/>
  <c r="X42" i="24"/>
  <c r="W42" i="24"/>
  <c r="V42" i="24"/>
  <c r="U42" i="24"/>
  <c r="T42" i="24"/>
  <c r="S42" i="24"/>
  <c r="R42" i="24"/>
  <c r="Q42" i="24"/>
  <c r="P42" i="24"/>
  <c r="O42" i="24"/>
  <c r="N42" i="24"/>
  <c r="M42" i="24"/>
  <c r="L42" i="24"/>
  <c r="K42" i="24"/>
  <c r="J42" i="24"/>
  <c r="I42" i="24"/>
  <c r="H42" i="24"/>
  <c r="BA41" i="24"/>
  <c r="AZ41" i="24"/>
  <c r="AY41" i="24"/>
  <c r="AX41" i="24"/>
  <c r="AW41" i="24"/>
  <c r="AV41" i="24"/>
  <c r="AU41" i="24"/>
  <c r="AT41" i="24"/>
  <c r="AS41" i="24"/>
  <c r="AR41" i="24"/>
  <c r="AQ41" i="24"/>
  <c r="AP41" i="24"/>
  <c r="AO41" i="24"/>
  <c r="AN41" i="24"/>
  <c r="AM41" i="24"/>
  <c r="AL41" i="24"/>
  <c r="AK41" i="24"/>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BA40" i="24"/>
  <c r="AZ40" i="24"/>
  <c r="AY40" i="24"/>
  <c r="AX40" i="24"/>
  <c r="AW40" i="24"/>
  <c r="AV40" i="24"/>
  <c r="AU40" i="24"/>
  <c r="AT40" i="24"/>
  <c r="AS40" i="24"/>
  <c r="AR40" i="24"/>
  <c r="AQ40" i="24"/>
  <c r="AP40" i="24"/>
  <c r="AO40" i="24"/>
  <c r="AN40" i="24"/>
  <c r="AM40" i="24"/>
  <c r="AL40" i="24"/>
  <c r="AK40"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BA39" i="24"/>
  <c r="AZ39" i="24"/>
  <c r="AY39" i="24"/>
  <c r="AX39" i="24"/>
  <c r="AW39" i="24"/>
  <c r="AV39" i="24"/>
  <c r="AU39" i="24"/>
  <c r="AT39" i="24"/>
  <c r="AS39" i="24"/>
  <c r="AR39" i="24"/>
  <c r="AQ39" i="24"/>
  <c r="AP39" i="24"/>
  <c r="AO39" i="24"/>
  <c r="AN39" i="24"/>
  <c r="AM39" i="24"/>
  <c r="AL39" i="24"/>
  <c r="AK39"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BA38" i="24"/>
  <c r="AZ38" i="24"/>
  <c r="AY38" i="24"/>
  <c r="AX38" i="24"/>
  <c r="AW38" i="24"/>
  <c r="AV38" i="24"/>
  <c r="AU38" i="24"/>
  <c r="AT38" i="24"/>
  <c r="AS38" i="24"/>
  <c r="AR38" i="24"/>
  <c r="AQ38" i="24"/>
  <c r="AP38" i="24"/>
  <c r="AO38" i="24"/>
  <c r="AN38" i="24"/>
  <c r="AM38" i="24"/>
  <c r="AL38" i="24"/>
  <c r="AK38" i="24"/>
  <c r="AJ38" i="24"/>
  <c r="AI38" i="24"/>
  <c r="AH38" i="24"/>
  <c r="AG38" i="24"/>
  <c r="AF38" i="24"/>
  <c r="AE38" i="24"/>
  <c r="AD38" i="24"/>
  <c r="AC38" i="24"/>
  <c r="AB38" i="24"/>
  <c r="AA38" i="24"/>
  <c r="Z38" i="24"/>
  <c r="Y38" i="24"/>
  <c r="X38" i="24"/>
  <c r="W38" i="24"/>
  <c r="V38" i="24"/>
  <c r="U38" i="24"/>
  <c r="T38" i="24"/>
  <c r="S38" i="24"/>
  <c r="R38" i="24"/>
  <c r="Q38" i="24"/>
  <c r="P38" i="24"/>
  <c r="O38" i="24"/>
  <c r="N38" i="24"/>
  <c r="M38" i="24"/>
  <c r="L38" i="24"/>
  <c r="K38" i="24"/>
  <c r="J38" i="24"/>
  <c r="I38" i="24"/>
  <c r="H38" i="24"/>
  <c r="BA37" i="24"/>
  <c r="AZ37" i="24"/>
  <c r="AY37" i="24"/>
  <c r="AX37" i="24"/>
  <c r="AW37" i="24"/>
  <c r="AV37" i="24"/>
  <c r="AU37" i="24"/>
  <c r="AT37" i="24"/>
  <c r="AS37" i="24"/>
  <c r="AR37" i="24"/>
  <c r="AQ37" i="24"/>
  <c r="AP37" i="24"/>
  <c r="AO37" i="24"/>
  <c r="AN37" i="24"/>
  <c r="AM37" i="24"/>
  <c r="AL37" i="24"/>
  <c r="AK37" i="24"/>
  <c r="AJ37" i="24"/>
  <c r="AI37" i="24"/>
  <c r="AH37" i="24"/>
  <c r="AG37" i="24"/>
  <c r="AF37" i="24"/>
  <c r="AE37" i="24"/>
  <c r="AD37" i="24"/>
  <c r="AC37" i="24"/>
  <c r="AB37" i="24"/>
  <c r="AA37" i="24"/>
  <c r="Z37" i="24"/>
  <c r="Y37" i="24"/>
  <c r="X37" i="24"/>
  <c r="W37" i="24"/>
  <c r="V37" i="24"/>
  <c r="U37" i="24"/>
  <c r="T37" i="24"/>
  <c r="S37" i="24"/>
  <c r="R37" i="24"/>
  <c r="Q37" i="24"/>
  <c r="P37" i="24"/>
  <c r="O37" i="24"/>
  <c r="N37" i="24"/>
  <c r="M37" i="24"/>
  <c r="L37" i="24"/>
  <c r="K37" i="24"/>
  <c r="J37" i="24"/>
  <c r="I37" i="24"/>
  <c r="H37" i="24"/>
  <c r="BA36" i="24"/>
  <c r="AZ36" i="24"/>
  <c r="AY36" i="24"/>
  <c r="AX36" i="24"/>
  <c r="AW36" i="24"/>
  <c r="AV36" i="24"/>
  <c r="AU36" i="24"/>
  <c r="AT36" i="24"/>
  <c r="AS36" i="24"/>
  <c r="AR36" i="24"/>
  <c r="AQ36" i="24"/>
  <c r="AP36" i="24"/>
  <c r="AO36" i="24"/>
  <c r="AN36" i="24"/>
  <c r="AM36" i="24"/>
  <c r="AL36" i="24"/>
  <c r="AK36" i="24"/>
  <c r="AJ36" i="24"/>
  <c r="AI36" i="24"/>
  <c r="AH36" i="24"/>
  <c r="AG36" i="24"/>
  <c r="AF36" i="24"/>
  <c r="AE36" i="24"/>
  <c r="AD36" i="24"/>
  <c r="AC36" i="24"/>
  <c r="AB36" i="24"/>
  <c r="AA36" i="24"/>
  <c r="Z36" i="24"/>
  <c r="Y36" i="24"/>
  <c r="X36" i="24"/>
  <c r="W36" i="24"/>
  <c r="V36" i="24"/>
  <c r="U36" i="24"/>
  <c r="T36" i="24"/>
  <c r="S36" i="24"/>
  <c r="R36" i="24"/>
  <c r="Q36" i="24"/>
  <c r="P36" i="24"/>
  <c r="O36" i="24"/>
  <c r="N36" i="24"/>
  <c r="M36" i="24"/>
  <c r="L36" i="24"/>
  <c r="K36" i="24"/>
  <c r="J36" i="24"/>
  <c r="I36" i="24"/>
  <c r="H36" i="24"/>
  <c r="BA35" i="24"/>
  <c r="AZ35" i="24"/>
  <c r="AY35" i="24"/>
  <c r="AX35" i="24"/>
  <c r="AW35" i="24"/>
  <c r="AV35" i="24"/>
  <c r="AU35" i="24"/>
  <c r="AT35" i="24"/>
  <c r="AS35" i="24"/>
  <c r="AR35" i="24"/>
  <c r="AQ35" i="24"/>
  <c r="AP35" i="24"/>
  <c r="AO35" i="24"/>
  <c r="AN35" i="24"/>
  <c r="AM35" i="24"/>
  <c r="AL35" i="24"/>
  <c r="AK35" i="24"/>
  <c r="AJ35" i="24"/>
  <c r="AI35" i="24"/>
  <c r="AH35" i="24"/>
  <c r="AG35" i="24"/>
  <c r="AF35" i="24"/>
  <c r="AE35" i="24"/>
  <c r="AD35" i="24"/>
  <c r="AC35" i="24"/>
  <c r="AB35" i="24"/>
  <c r="AA35" i="24"/>
  <c r="Z35" i="24"/>
  <c r="Y35" i="24"/>
  <c r="X35" i="24"/>
  <c r="W35" i="24"/>
  <c r="V35" i="24"/>
  <c r="U35" i="24"/>
  <c r="T35" i="24"/>
  <c r="S35" i="24"/>
  <c r="R35" i="24"/>
  <c r="Q35" i="24"/>
  <c r="P35" i="24"/>
  <c r="O35" i="24"/>
  <c r="N35" i="24"/>
  <c r="M35" i="24"/>
  <c r="L35" i="24"/>
  <c r="K35" i="24"/>
  <c r="J35" i="24"/>
  <c r="I35" i="24"/>
  <c r="H35" i="24"/>
  <c r="BA34" i="24"/>
  <c r="AZ34" i="24"/>
  <c r="AY34" i="24"/>
  <c r="AX34" i="24"/>
  <c r="AW34" i="24"/>
  <c r="AV34" i="24"/>
  <c r="AU34" i="24"/>
  <c r="AT34" i="24"/>
  <c r="AS34" i="24"/>
  <c r="AR34" i="24"/>
  <c r="AQ34" i="24"/>
  <c r="AP34" i="24"/>
  <c r="AO34" i="24"/>
  <c r="AN34" i="24"/>
  <c r="AM34" i="24"/>
  <c r="AL34" i="24"/>
  <c r="AK34" i="24"/>
  <c r="AJ34" i="24"/>
  <c r="AI34" i="24"/>
  <c r="AH34" i="24"/>
  <c r="AG34" i="24"/>
  <c r="AF34" i="24"/>
  <c r="AE34" i="24"/>
  <c r="AD34" i="24"/>
  <c r="AC34" i="24"/>
  <c r="AB34" i="24"/>
  <c r="AA34" i="24"/>
  <c r="Z34" i="24"/>
  <c r="Y34" i="24"/>
  <c r="X34" i="24"/>
  <c r="W34" i="24"/>
  <c r="V34" i="24"/>
  <c r="U34" i="24"/>
  <c r="T34" i="24"/>
  <c r="S34" i="24"/>
  <c r="R34" i="24"/>
  <c r="Q34" i="24"/>
  <c r="P34" i="24"/>
  <c r="O34" i="24"/>
  <c r="N34" i="24"/>
  <c r="M34" i="24"/>
  <c r="L34" i="24"/>
  <c r="K34" i="24"/>
  <c r="J34" i="24"/>
  <c r="I34" i="24"/>
  <c r="H34" i="24"/>
  <c r="BA33" i="24"/>
  <c r="AZ33" i="24"/>
  <c r="AY33" i="24"/>
  <c r="AX33" i="24"/>
  <c r="AW33" i="24"/>
  <c r="AV33" i="24"/>
  <c r="AU33" i="24"/>
  <c r="AT33" i="24"/>
  <c r="AS33" i="24"/>
  <c r="AR33" i="24"/>
  <c r="AQ33" i="24"/>
  <c r="AP33" i="24"/>
  <c r="AO33" i="24"/>
  <c r="AN33" i="24"/>
  <c r="AM33" i="24"/>
  <c r="AL33" i="24"/>
  <c r="AK33"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BA32" i="24"/>
  <c r="AZ32" i="24"/>
  <c r="AY32" i="24"/>
  <c r="AX32" i="24"/>
  <c r="AW32" i="24"/>
  <c r="AV32" i="24"/>
  <c r="AU32" i="24"/>
  <c r="AT32" i="24"/>
  <c r="AS32" i="24"/>
  <c r="AR32" i="24"/>
  <c r="AQ32" i="24"/>
  <c r="AP32" i="24"/>
  <c r="AO32" i="24"/>
  <c r="AN32" i="24"/>
  <c r="AM32" i="2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BA31" i="24"/>
  <c r="AZ31" i="24"/>
  <c r="AY31" i="24"/>
  <c r="AX31" i="24"/>
  <c r="AW31" i="24"/>
  <c r="AV31" i="24"/>
  <c r="AU31" i="24"/>
  <c r="AT31" i="24"/>
  <c r="AS31" i="24"/>
  <c r="AR31" i="24"/>
  <c r="AQ31" i="24"/>
  <c r="AP31" i="24"/>
  <c r="AO31" i="24"/>
  <c r="AN31" i="24"/>
  <c r="AM31"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BA30" i="24"/>
  <c r="AZ30" i="24"/>
  <c r="AY30" i="24"/>
  <c r="AX30" i="24"/>
  <c r="AW30" i="24"/>
  <c r="AV30" i="24"/>
  <c r="AU30" i="24"/>
  <c r="AT30" i="24"/>
  <c r="AS30" i="24"/>
  <c r="AR30" i="24"/>
  <c r="AQ30" i="24"/>
  <c r="AP30" i="24"/>
  <c r="AO30" i="24"/>
  <c r="AN30" i="24"/>
  <c r="AM30" i="24"/>
  <c r="AL30" i="24"/>
  <c r="AK30"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BA29" i="24"/>
  <c r="AZ29" i="24"/>
  <c r="AY29" i="24"/>
  <c r="AX29" i="24"/>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BA28" i="24"/>
  <c r="AZ28" i="24"/>
  <c r="AY28" i="24"/>
  <c r="AX28" i="24"/>
  <c r="AW28" i="24"/>
  <c r="AV28" i="24"/>
  <c r="AU28" i="24"/>
  <c r="AT28" i="24"/>
  <c r="AS28" i="24"/>
  <c r="AR28" i="24"/>
  <c r="AQ28" i="24"/>
  <c r="AP28" i="24"/>
  <c r="AO28" i="24"/>
  <c r="AN28" i="24"/>
  <c r="AM28" i="24"/>
  <c r="AL28" i="24"/>
  <c r="AK28"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BA27" i="24"/>
  <c r="AZ27" i="24"/>
  <c r="AY27" i="24"/>
  <c r="AX27" i="24"/>
  <c r="AW27" i="24"/>
  <c r="AV27" i="24"/>
  <c r="AU27" i="24"/>
  <c r="AT27" i="24"/>
  <c r="AS27" i="24"/>
  <c r="AR27" i="24"/>
  <c r="AQ27" i="24"/>
  <c r="AP27" i="24"/>
  <c r="AO27" i="24"/>
  <c r="AN27" i="24"/>
  <c r="AM27" i="24"/>
  <c r="AL27" i="24"/>
  <c r="AK27"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BA26" i="24"/>
  <c r="AZ26" i="24"/>
  <c r="AY26" i="24"/>
  <c r="AX26" i="24"/>
  <c r="AW26" i="24"/>
  <c r="AV26" i="24"/>
  <c r="AU26" i="24"/>
  <c r="AT26" i="24"/>
  <c r="AS26" i="24"/>
  <c r="AR26" i="24"/>
  <c r="AQ26" i="24"/>
  <c r="AP26" i="24"/>
  <c r="AO26" i="24"/>
  <c r="AN26" i="24"/>
  <c r="AM26" i="24"/>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BA25" i="24"/>
  <c r="AZ25" i="24"/>
  <c r="AY25" i="24"/>
  <c r="AX25" i="24"/>
  <c r="AW25" i="24"/>
  <c r="AV25" i="24"/>
  <c r="AU25" i="24"/>
  <c r="AT25" i="24"/>
  <c r="AS25" i="24"/>
  <c r="AR25" i="24"/>
  <c r="AQ25" i="24"/>
  <c r="AP25" i="24"/>
  <c r="AO25" i="24"/>
  <c r="AN25" i="24"/>
  <c r="AM25" i="24"/>
  <c r="AL25" i="24"/>
  <c r="AK25"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BA24" i="24"/>
  <c r="AZ24" i="24"/>
  <c r="AY24" i="24"/>
  <c r="AX24" i="24"/>
  <c r="AW24" i="24"/>
  <c r="AV24" i="24"/>
  <c r="AU24" i="24"/>
  <c r="AT24" i="24"/>
  <c r="AS24" i="24"/>
  <c r="AR24" i="24"/>
  <c r="AQ24" i="24"/>
  <c r="AP24" i="24"/>
  <c r="AO24" i="24"/>
  <c r="AN24" i="24"/>
  <c r="AM24" i="24"/>
  <c r="AL24" i="24"/>
  <c r="AK24" i="24"/>
  <c r="AJ24" i="24"/>
  <c r="AI24"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BA23" i="24"/>
  <c r="AZ23" i="24"/>
  <c r="AY23" i="24"/>
  <c r="AX23" i="24"/>
  <c r="AW23" i="24"/>
  <c r="AV23" i="24"/>
  <c r="AU23" i="24"/>
  <c r="AT23" i="24"/>
  <c r="AS23" i="24"/>
  <c r="AR23" i="24"/>
  <c r="AQ23" i="24"/>
  <c r="AP23" i="24"/>
  <c r="AO23" i="24"/>
  <c r="AN23" i="24"/>
  <c r="AM23" i="24"/>
  <c r="AL23" i="24"/>
  <c r="AK23"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BA22" i="24"/>
  <c r="AZ22" i="24"/>
  <c r="AY22" i="24"/>
  <c r="AX22" i="24"/>
  <c r="AW22" i="24"/>
  <c r="AV22" i="24"/>
  <c r="AU22" i="24"/>
  <c r="AT22" i="24"/>
  <c r="AS22" i="24"/>
  <c r="AR22" i="24"/>
  <c r="AQ22" i="24"/>
  <c r="AP22" i="24"/>
  <c r="AO22" i="24"/>
  <c r="AN22" i="24"/>
  <c r="AM22" i="24"/>
  <c r="AL22" i="24"/>
  <c r="AK22"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BA21" i="24"/>
  <c r="AZ21" i="24"/>
  <c r="AY21" i="24"/>
  <c r="AX21" i="24"/>
  <c r="AW21" i="24"/>
  <c r="AV21" i="24"/>
  <c r="AU21" i="24"/>
  <c r="AT21" i="24"/>
  <c r="AS21" i="24"/>
  <c r="AR21" i="24"/>
  <c r="AQ21" i="24"/>
  <c r="AP21" i="24"/>
  <c r="AO21" i="24"/>
  <c r="AN21" i="24"/>
  <c r="AM21" i="24"/>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BA20" i="24"/>
  <c r="AZ20" i="24"/>
  <c r="AY20" i="24"/>
  <c r="AX20" i="24"/>
  <c r="AW20" i="24"/>
  <c r="AV20" i="24"/>
  <c r="AU20" i="24"/>
  <c r="AT20" i="24"/>
  <c r="AS20" i="24"/>
  <c r="AR20" i="24"/>
  <c r="AQ20" i="24"/>
  <c r="AP20" i="24"/>
  <c r="AO20" i="24"/>
  <c r="AN20" i="24"/>
  <c r="AM20" i="24"/>
  <c r="AL20" i="24"/>
  <c r="AK20"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BA19" i="24"/>
  <c r="AZ19" i="24"/>
  <c r="AY19" i="24"/>
  <c r="AX19" i="24"/>
  <c r="AW19" i="24"/>
  <c r="AV19" i="24"/>
  <c r="AU19" i="24"/>
  <c r="AT19" i="24"/>
  <c r="AS19" i="24"/>
  <c r="AR19" i="24"/>
  <c r="AQ19" i="24"/>
  <c r="AP19" i="24"/>
  <c r="AO19" i="24"/>
  <c r="AN19" i="24"/>
  <c r="AM19" i="24"/>
  <c r="AL19" i="24"/>
  <c r="AK19"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BA18" i="24"/>
  <c r="AZ18" i="24"/>
  <c r="AY18" i="24"/>
  <c r="AX18" i="24"/>
  <c r="AW18" i="24"/>
  <c r="AV18" i="24"/>
  <c r="AU18" i="24"/>
  <c r="AT18" i="24"/>
  <c r="AS18" i="24"/>
  <c r="AR18" i="24"/>
  <c r="AQ18" i="24"/>
  <c r="AP18" i="24"/>
  <c r="AO18" i="24"/>
  <c r="AN18" i="24"/>
  <c r="AM18" i="24"/>
  <c r="AL18" i="24"/>
  <c r="AK18" i="24"/>
  <c r="AJ18" i="24"/>
  <c r="AI18" i="24"/>
  <c r="AH18" i="24"/>
  <c r="AG18" i="24"/>
  <c r="AF18" i="24"/>
  <c r="AE18" i="24"/>
  <c r="AD18" i="24"/>
  <c r="AC18" i="24"/>
  <c r="AB18" i="24"/>
  <c r="AA18" i="24"/>
  <c r="Z18" i="24"/>
  <c r="Y18" i="24"/>
  <c r="X18" i="24"/>
  <c r="W18" i="24"/>
  <c r="V18" i="24"/>
  <c r="U18" i="24"/>
  <c r="T18" i="24"/>
  <c r="S18" i="24"/>
  <c r="R18" i="24"/>
  <c r="Q18" i="24"/>
  <c r="P18" i="24"/>
  <c r="O18" i="24"/>
  <c r="N18" i="24"/>
  <c r="M18" i="24"/>
  <c r="L18" i="24"/>
  <c r="K18" i="24"/>
  <c r="J18" i="24"/>
  <c r="I18" i="24"/>
  <c r="H18" i="24"/>
  <c r="BA17" i="24"/>
  <c r="AZ17" i="24"/>
  <c r="AY17" i="24"/>
  <c r="AX17" i="24"/>
  <c r="AW17" i="24"/>
  <c r="AV17" i="24"/>
  <c r="AU17" i="24"/>
  <c r="AT17" i="24"/>
  <c r="AS17" i="24"/>
  <c r="AR17" i="24"/>
  <c r="AQ17" i="24"/>
  <c r="AP17" i="24"/>
  <c r="AO17" i="24"/>
  <c r="AN17" i="24"/>
  <c r="AM17" i="24"/>
  <c r="AL17" i="24"/>
  <c r="AK17"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BA16" i="24"/>
  <c r="AZ16" i="24"/>
  <c r="AY16" i="24"/>
  <c r="AX16" i="24"/>
  <c r="AW16" i="24"/>
  <c r="AV16" i="24"/>
  <c r="AU16" i="24"/>
  <c r="AT16" i="24"/>
  <c r="AS16" i="24"/>
  <c r="AR16" i="24"/>
  <c r="AQ16" i="24"/>
  <c r="AP16" i="24"/>
  <c r="AO16" i="24"/>
  <c r="AN16" i="24"/>
  <c r="AM16" i="24"/>
  <c r="AL16" i="24"/>
  <c r="AK16"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BA15" i="24"/>
  <c r="AZ15" i="24"/>
  <c r="AY15" i="24"/>
  <c r="AX15" i="24"/>
  <c r="AW15" i="24"/>
  <c r="AV15" i="24"/>
  <c r="AU15" i="24"/>
  <c r="AT15" i="24"/>
  <c r="AS15" i="24"/>
  <c r="AR15" i="24"/>
  <c r="AQ15" i="24"/>
  <c r="AP15" i="24"/>
  <c r="AO15" i="24"/>
  <c r="AN15" i="24"/>
  <c r="AM15" i="24"/>
  <c r="AL15" i="24"/>
  <c r="AK15"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BA14" i="24"/>
  <c r="AZ14" i="24"/>
  <c r="AY14" i="24"/>
  <c r="AX14" i="24"/>
  <c r="AW14" i="24"/>
  <c r="AV14" i="24"/>
  <c r="AU14" i="24"/>
  <c r="AT14" i="24"/>
  <c r="AS14" i="24"/>
  <c r="AR14" i="24"/>
  <c r="AQ14" i="24"/>
  <c r="AP14" i="24"/>
  <c r="AO14" i="24"/>
  <c r="AN14" i="24"/>
  <c r="AM14" i="24"/>
  <c r="AL14" i="24"/>
  <c r="AK14"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BA13" i="24"/>
  <c r="AZ13" i="24"/>
  <c r="AY13" i="24"/>
  <c r="AX13" i="24"/>
  <c r="AW13" i="24"/>
  <c r="AV13" i="24"/>
  <c r="AU13" i="24"/>
  <c r="AT13" i="24"/>
  <c r="AS13" i="24"/>
  <c r="AR13" i="24"/>
  <c r="AQ13" i="24"/>
  <c r="AP13" i="24"/>
  <c r="AO13" i="24"/>
  <c r="AN13" i="24"/>
  <c r="AM13" i="24"/>
  <c r="AL13" i="24"/>
  <c r="AK13"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BA12" i="24"/>
  <c r="AZ12" i="24"/>
  <c r="AY12" i="24"/>
  <c r="AX12" i="24"/>
  <c r="AW12" i="24"/>
  <c r="AV12" i="24"/>
  <c r="AU12" i="24"/>
  <c r="AT12" i="24"/>
  <c r="AS12" i="24"/>
  <c r="AR12" i="24"/>
  <c r="AQ12" i="24"/>
  <c r="AP12" i="24"/>
  <c r="AO12" i="24"/>
  <c r="AN12" i="24"/>
  <c r="AM12" i="24"/>
  <c r="AL12" i="24"/>
  <c r="AK12"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BA11" i="24"/>
  <c r="AZ11" i="24"/>
  <c r="AY11" i="24"/>
  <c r="AX11" i="24"/>
  <c r="AW11" i="24"/>
  <c r="AV11" i="24"/>
  <c r="AU11" i="24"/>
  <c r="AT11" i="24"/>
  <c r="AS11" i="24"/>
  <c r="AR11" i="24"/>
  <c r="AQ11" i="24"/>
  <c r="AP11" i="24"/>
  <c r="AO11" i="24"/>
  <c r="AN11" i="24"/>
  <c r="AM11" i="24"/>
  <c r="AL11" i="24"/>
  <c r="AK11"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BA10" i="24"/>
  <c r="AZ10" i="24"/>
  <c r="AY10" i="24"/>
  <c r="AX10" i="24"/>
  <c r="AW10" i="24"/>
  <c r="AV10" i="24"/>
  <c r="AU10" i="24"/>
  <c r="AT10" i="24"/>
  <c r="AS10" i="24"/>
  <c r="AR10" i="24"/>
  <c r="AQ10" i="24"/>
  <c r="AP10" i="24"/>
  <c r="AO10" i="24"/>
  <c r="AN10" i="24"/>
  <c r="AM10" i="24"/>
  <c r="AL10" i="24"/>
  <c r="AK10"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BA9" i="24"/>
  <c r="AZ9" i="24"/>
  <c r="AY9" i="24"/>
  <c r="AX9" i="24"/>
  <c r="AW9" i="24"/>
  <c r="AV9" i="24"/>
  <c r="AU9" i="24"/>
  <c r="AT9" i="24"/>
  <c r="AS9" i="24"/>
  <c r="AR9" i="24"/>
  <c r="AQ9" i="24"/>
  <c r="AP9" i="24"/>
  <c r="AO9" i="24"/>
  <c r="AN9" i="24"/>
  <c r="AM9" i="24"/>
  <c r="AL9" i="24"/>
  <c r="AK9"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BA8" i="24"/>
  <c r="AZ8" i="24"/>
  <c r="AY8" i="24"/>
  <c r="AX8" i="24"/>
  <c r="AW8" i="24"/>
  <c r="AV8" i="24"/>
  <c r="AU8" i="24"/>
  <c r="AT8" i="24"/>
  <c r="AS8" i="24"/>
  <c r="AR8" i="24"/>
  <c r="AQ8" i="24"/>
  <c r="AP8" i="24"/>
  <c r="AO8" i="24"/>
  <c r="AN8" i="24"/>
  <c r="AM8" i="24"/>
  <c r="AL8" i="24"/>
  <c r="AK8" i="24"/>
  <c r="AJ8" i="24"/>
  <c r="AI8" i="24"/>
  <c r="AH8" i="24"/>
  <c r="AG8" i="24"/>
  <c r="AF8" i="24"/>
  <c r="AE8" i="24"/>
  <c r="AD8" i="24"/>
  <c r="AC8" i="24"/>
  <c r="AB8" i="24"/>
  <c r="AA8" i="24"/>
  <c r="Z8" i="24"/>
  <c r="Y8" i="24"/>
  <c r="X8" i="24"/>
  <c r="W8" i="24"/>
  <c r="V8" i="24"/>
  <c r="U8" i="24"/>
  <c r="T8" i="24"/>
  <c r="S8" i="24"/>
  <c r="R8" i="24"/>
  <c r="Q8" i="24"/>
  <c r="P8" i="24"/>
  <c r="O8" i="24"/>
  <c r="N8" i="24"/>
  <c r="M8" i="24"/>
  <c r="L8" i="24"/>
  <c r="K8" i="24"/>
  <c r="J8" i="24"/>
  <c r="I8" i="24"/>
  <c r="H8" i="24"/>
  <c r="BA7" i="24"/>
  <c r="AZ7" i="24"/>
  <c r="AY7" i="24"/>
  <c r="AX7" i="24"/>
  <c r="AW7" i="24"/>
  <c r="AV7" i="24"/>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P7" i="24"/>
  <c r="O7" i="24"/>
  <c r="N7" i="24"/>
  <c r="M7" i="24"/>
  <c r="L7" i="24"/>
  <c r="K7" i="24"/>
  <c r="J7" i="24"/>
  <c r="I7" i="24"/>
  <c r="H7" i="24"/>
  <c r="O510" i="24" l="1"/>
  <c r="AA510" i="24"/>
  <c r="AM510" i="24"/>
  <c r="AY510" i="24"/>
  <c r="K511" i="24"/>
  <c r="AU511" i="24"/>
  <c r="S509" i="24"/>
  <c r="AE509" i="24"/>
  <c r="AQ509" i="24"/>
  <c r="L507" i="24"/>
  <c r="X507" i="24"/>
  <c r="AJ507" i="24"/>
  <c r="AV507" i="24"/>
  <c r="H508" i="24"/>
  <c r="T508" i="24"/>
  <c r="AF508" i="24"/>
  <c r="AR508" i="24"/>
  <c r="P509" i="24"/>
  <c r="AB509" i="24"/>
  <c r="AN509" i="24"/>
  <c r="AZ509" i="24"/>
  <c r="L510" i="24"/>
  <c r="X510" i="24"/>
  <c r="AJ510" i="24"/>
  <c r="H511" i="24"/>
  <c r="T511" i="24"/>
  <c r="AF511" i="24"/>
  <c r="AR511" i="24"/>
  <c r="W511" i="24"/>
  <c r="BG511" i="24"/>
  <c r="R507" i="24"/>
  <c r="AD507" i="24"/>
  <c r="AP507" i="24"/>
  <c r="BB507" i="24"/>
  <c r="Q507" i="24"/>
  <c r="AC507" i="24"/>
  <c r="AO507" i="24"/>
  <c r="BA507" i="24"/>
  <c r="M508" i="24"/>
  <c r="Y508" i="24"/>
  <c r="AK508" i="24"/>
  <c r="AW508" i="24"/>
  <c r="I509" i="24"/>
  <c r="U509" i="24"/>
  <c r="AG509" i="24"/>
  <c r="AS509" i="24"/>
  <c r="BE509" i="24"/>
  <c r="Q510" i="24"/>
  <c r="AC510" i="24"/>
  <c r="AO510" i="24"/>
  <c r="BA510" i="24"/>
  <c r="M511" i="24"/>
  <c r="Y511" i="24"/>
  <c r="AK511" i="24"/>
  <c r="AW511" i="24"/>
  <c r="N508" i="24"/>
  <c r="Z508" i="24"/>
  <c r="AL508" i="24"/>
  <c r="AX508" i="24"/>
  <c r="J509" i="24"/>
  <c r="V509" i="24"/>
  <c r="AH509" i="24"/>
  <c r="AT509" i="24"/>
  <c r="BF509" i="24"/>
  <c r="R510" i="24"/>
  <c r="AD510" i="24"/>
  <c r="AP510" i="24"/>
  <c r="BB510" i="24"/>
  <c r="N511" i="24"/>
  <c r="Z511" i="24"/>
  <c r="AL511" i="24"/>
  <c r="AX511" i="24"/>
  <c r="AI511" i="24"/>
  <c r="S507" i="24"/>
  <c r="AE507" i="24"/>
  <c r="AQ507" i="24"/>
  <c r="BC507" i="24"/>
  <c r="O508" i="24"/>
  <c r="AA508" i="24"/>
  <c r="AM508" i="24"/>
  <c r="AY508" i="24"/>
  <c r="K509" i="24"/>
  <c r="W509" i="24"/>
  <c r="AI509" i="24"/>
  <c r="AU509" i="24"/>
  <c r="BG509" i="24"/>
  <c r="N507" i="24"/>
  <c r="Z507" i="24"/>
  <c r="AL507" i="24"/>
  <c r="AX507" i="24"/>
  <c r="J508" i="24"/>
  <c r="V508" i="24"/>
  <c r="AH508" i="24"/>
  <c r="AT508" i="24"/>
  <c r="BF508" i="24"/>
  <c r="R509" i="24"/>
  <c r="AD509" i="24"/>
  <c r="AP509" i="24"/>
  <c r="BB509" i="24"/>
  <c r="N510" i="24"/>
  <c r="Z510" i="24"/>
  <c r="AL510" i="24"/>
  <c r="AX510" i="24"/>
  <c r="J511" i="24"/>
  <c r="V511" i="24"/>
  <c r="AH511" i="24"/>
  <c r="AT511" i="24"/>
  <c r="BF511" i="24"/>
  <c r="AA507" i="24"/>
  <c r="AY507" i="24"/>
  <c r="K508" i="24"/>
  <c r="W508" i="24"/>
  <c r="AI508" i="24"/>
  <c r="AU508" i="24"/>
  <c r="BG508" i="24"/>
  <c r="O507" i="24"/>
  <c r="AM507" i="24"/>
  <c r="P507" i="24"/>
  <c r="AB507" i="24"/>
  <c r="AN507" i="24"/>
  <c r="AZ507" i="24"/>
  <c r="L508" i="24"/>
  <c r="X508" i="24"/>
  <c r="AJ508" i="24"/>
  <c r="AV508" i="24"/>
  <c r="H509" i="24"/>
  <c r="T509" i="24"/>
  <c r="AF509" i="24"/>
  <c r="AR509" i="24"/>
  <c r="BD509" i="24"/>
  <c r="P510" i="24"/>
  <c r="AB510" i="24"/>
  <c r="AN510" i="24"/>
  <c r="AZ510" i="24"/>
  <c r="L511" i="24"/>
  <c r="X511" i="24"/>
  <c r="AJ511" i="24"/>
  <c r="AV511" i="24"/>
  <c r="S510" i="24"/>
  <c r="AE510" i="24"/>
  <c r="AQ510" i="24"/>
  <c r="BC510" i="24"/>
  <c r="O511" i="24"/>
  <c r="AA511" i="24"/>
  <c r="AM511" i="24"/>
  <c r="AY511" i="24"/>
  <c r="T507" i="24"/>
  <c r="P508" i="24"/>
  <c r="AB508" i="24"/>
  <c r="AN508" i="24"/>
  <c r="AZ508" i="24"/>
  <c r="L509" i="24"/>
  <c r="X509" i="24"/>
  <c r="AJ509" i="24"/>
  <c r="AV509" i="24"/>
  <c r="H510" i="24"/>
  <c r="T510" i="24"/>
  <c r="AF510" i="24"/>
  <c r="AR510" i="24"/>
  <c r="BD510" i="24"/>
  <c r="P511" i="24"/>
  <c r="AB511" i="24"/>
  <c r="AN511" i="24"/>
  <c r="AZ511" i="24"/>
  <c r="H507" i="24"/>
  <c r="AR507" i="24"/>
  <c r="I507" i="24"/>
  <c r="AS507" i="24"/>
  <c r="M507" i="24"/>
  <c r="AK507" i="24"/>
  <c r="Q508" i="24"/>
  <c r="AC508" i="24"/>
  <c r="AO508" i="24"/>
  <c r="BA508" i="24"/>
  <c r="I508" i="24"/>
  <c r="U508" i="24"/>
  <c r="AG508" i="24"/>
  <c r="AS508" i="24"/>
  <c r="BE508" i="24"/>
  <c r="M509" i="24"/>
  <c r="Y509" i="24"/>
  <c r="AK509" i="24"/>
  <c r="AW509" i="24"/>
  <c r="Q509" i="24"/>
  <c r="AC509" i="24"/>
  <c r="AO509" i="24"/>
  <c r="BA509" i="24"/>
  <c r="I510" i="24"/>
  <c r="U510" i="24"/>
  <c r="AG510" i="24"/>
  <c r="AS510" i="24"/>
  <c r="BE510" i="24"/>
  <c r="M510" i="24"/>
  <c r="Y510" i="24"/>
  <c r="AK510" i="24"/>
  <c r="AW510" i="24"/>
  <c r="Q511" i="24"/>
  <c r="AC511" i="24"/>
  <c r="AO511" i="24"/>
  <c r="BA511" i="24"/>
  <c r="I511" i="24"/>
  <c r="U511" i="24"/>
  <c r="AG511" i="24"/>
  <c r="AS511" i="24"/>
  <c r="BE511" i="24"/>
  <c r="AF507" i="24"/>
  <c r="BD507" i="24"/>
  <c r="U507" i="24"/>
  <c r="AG507" i="24"/>
  <c r="BE507" i="24"/>
  <c r="Y507" i="24"/>
  <c r="AW507" i="24"/>
  <c r="J507" i="24"/>
  <c r="V507" i="24"/>
  <c r="AH507" i="24"/>
  <c r="AT507" i="24"/>
  <c r="BF507" i="24"/>
  <c r="R508" i="24"/>
  <c r="AD508" i="24"/>
  <c r="AP508" i="24"/>
  <c r="BB508" i="24"/>
  <c r="N509" i="24"/>
  <c r="Z509" i="24"/>
  <c r="AL509" i="24"/>
  <c r="AX509" i="24"/>
  <c r="J510" i="24"/>
  <c r="V510" i="24"/>
  <c r="AH510" i="24"/>
  <c r="AT510" i="24"/>
  <c r="BF510" i="24"/>
  <c r="R511" i="24"/>
  <c r="AD511" i="24"/>
  <c r="AP511" i="24"/>
  <c r="BB511" i="24"/>
  <c r="K507" i="24"/>
  <c r="W507" i="24"/>
  <c r="AI507" i="24"/>
  <c r="AU507" i="24"/>
  <c r="BG507" i="24"/>
  <c r="S508" i="24"/>
  <c r="AE508" i="24"/>
  <c r="AQ508" i="24"/>
  <c r="BC508" i="24"/>
  <c r="O509" i="24"/>
  <c r="AA509" i="24"/>
  <c r="AM509" i="24"/>
  <c r="AY509" i="24"/>
  <c r="K510" i="24"/>
  <c r="W510" i="24"/>
  <c r="AI510" i="24"/>
  <c r="AU510" i="24"/>
  <c r="BG510" i="24"/>
  <c r="S511" i="24"/>
  <c r="AE511" i="24"/>
  <c r="AQ511" i="24"/>
  <c r="BC511" i="24"/>
  <c r="AV510" i="24"/>
  <c r="BA513" i="24" l="1"/>
  <c r="AV513" i="24"/>
  <c r="AD513" i="24"/>
  <c r="T513" i="24"/>
  <c r="AJ513" i="24"/>
  <c r="BF513" i="24"/>
  <c r="BC513" i="24"/>
  <c r="Q513" i="24"/>
  <c r="AC513" i="24"/>
  <c r="X513" i="24"/>
  <c r="J513" i="24"/>
  <c r="BB513" i="24"/>
  <c r="AO513" i="24"/>
  <c r="AQ513" i="24"/>
  <c r="AE513" i="24"/>
  <c r="BD513" i="24"/>
  <c r="S513" i="24"/>
  <c r="R513" i="24"/>
  <c r="AH513" i="24"/>
  <c r="W513" i="24"/>
  <c r="V513" i="24"/>
  <c r="L513" i="24"/>
  <c r="AY513" i="24"/>
  <c r="AP513" i="24"/>
  <c r="AW513" i="24"/>
  <c r="AB513" i="24"/>
  <c r="AT513" i="24"/>
  <c r="AZ513" i="24"/>
  <c r="AA513" i="24"/>
  <c r="I513" i="24"/>
  <c r="AN513" i="24"/>
  <c r="Y513" i="24"/>
  <c r="H513" i="24"/>
  <c r="P513" i="24"/>
  <c r="K513" i="24"/>
  <c r="AR513" i="24"/>
  <c r="BE513" i="24"/>
  <c r="AM513" i="24"/>
  <c r="AG513" i="24"/>
  <c r="O513" i="24"/>
  <c r="U513" i="24"/>
  <c r="M513" i="24"/>
  <c r="AX513" i="24"/>
  <c r="BG513" i="24"/>
  <c r="AF513" i="24"/>
  <c r="AL513" i="24"/>
  <c r="AU513" i="24"/>
  <c r="Z513" i="24"/>
  <c r="AS513" i="24"/>
  <c r="AI513" i="24"/>
  <c r="AK513" i="24"/>
  <c r="N513" i="24"/>
  <c r="AA193" i="23"/>
  <c r="AH193" i="23"/>
  <c r="B277" i="28" s="1"/>
  <c r="AJ193" i="23"/>
  <c r="O277" i="28" s="1"/>
  <c r="AA198" i="23"/>
  <c r="AH198" i="23"/>
  <c r="B278" i="28" s="1"/>
  <c r="AJ198" i="23"/>
  <c r="O278" i="28" s="1"/>
  <c r="AH219" i="23"/>
  <c r="B279" i="28" s="1"/>
  <c r="AJ219" i="23"/>
  <c r="O279" i="28" s="1"/>
  <c r="AA220" i="23"/>
  <c r="AH220" i="23"/>
  <c r="B280" i="28" s="1"/>
  <c r="AJ220" i="23"/>
  <c r="O280" i="28" s="1"/>
  <c r="AA248" i="23"/>
  <c r="AH248" i="23"/>
  <c r="B281" i="28" s="1"/>
  <c r="AI248" i="23"/>
  <c r="C281" i="28" s="1"/>
  <c r="AJ248" i="23"/>
  <c r="O281" i="28" s="1"/>
  <c r="AA250" i="23"/>
  <c r="AH250" i="23"/>
  <c r="B282" i="28" s="1"/>
  <c r="AI250" i="23"/>
  <c r="C282" i="28" s="1"/>
  <c r="AJ250" i="23"/>
  <c r="O282" i="28" s="1"/>
  <c r="K271" i="23"/>
  <c r="AH345" i="23"/>
  <c r="B284" i="28" s="1"/>
  <c r="AI345" i="23"/>
  <c r="C284" i="28" s="1"/>
  <c r="AJ345" i="23"/>
  <c r="O284" i="28" s="1"/>
  <c r="AA388" i="23"/>
  <c r="AH388" i="23"/>
  <c r="B285" i="28" s="1"/>
  <c r="AI388" i="23"/>
  <c r="C285" i="28" s="1"/>
  <c r="AJ388" i="23"/>
  <c r="O285" i="28" s="1"/>
  <c r="AA389" i="23"/>
  <c r="AH389" i="23"/>
  <c r="B286" i="28" s="1"/>
  <c r="AI389" i="23"/>
  <c r="C286" i="28" s="1"/>
  <c r="AJ389" i="23"/>
  <c r="O286" i="28" s="1"/>
  <c r="AH390" i="23"/>
  <c r="AI390" i="23"/>
  <c r="AJ390" i="23"/>
  <c r="AA410" i="23"/>
  <c r="AH410" i="23"/>
  <c r="B287" i="28" s="1"/>
  <c r="AI410" i="23"/>
  <c r="C287" i="28" s="1"/>
  <c r="AJ410" i="23"/>
  <c r="O287" i="28" s="1"/>
  <c r="AA431" i="23"/>
  <c r="AH431" i="23"/>
  <c r="B288" i="28" s="1"/>
  <c r="AI431" i="23"/>
  <c r="C288" i="28" s="1"/>
  <c r="AJ431" i="23"/>
  <c r="O288" i="28" s="1"/>
  <c r="AA432" i="23"/>
  <c r="AH432" i="23"/>
  <c r="B289" i="28" s="1"/>
  <c r="AI432" i="23"/>
  <c r="C289" i="28" s="1"/>
  <c r="AJ432" i="23"/>
  <c r="O289" i="28" s="1"/>
  <c r="AH452" i="23"/>
  <c r="B290" i="28" s="1"/>
  <c r="AI452" i="23"/>
  <c r="C290" i="28" s="1"/>
  <c r="AJ452" i="23"/>
  <c r="O290" i="28" s="1"/>
  <c r="AH454" i="23"/>
  <c r="B291" i="28" s="1"/>
  <c r="AI454" i="23"/>
  <c r="C291" i="28" s="1"/>
  <c r="AJ454" i="23"/>
  <c r="O291" i="28" s="1"/>
  <c r="AA522" i="23"/>
  <c r="AH522" i="23"/>
  <c r="B292" i="28" s="1"/>
  <c r="AI522" i="23"/>
  <c r="C292" i="28" s="1"/>
  <c r="AJ522" i="23"/>
  <c r="O292" i="28" s="1"/>
  <c r="K609" i="23"/>
  <c r="AH614" i="23"/>
  <c r="B294" i="28" s="1"/>
  <c r="AI614" i="23"/>
  <c r="C294" i="28" s="1"/>
  <c r="AJ614" i="23"/>
  <c r="O294" i="28" s="1"/>
  <c r="AA648" i="23"/>
  <c r="AH648" i="23"/>
  <c r="B295" i="28" s="1"/>
  <c r="AI648" i="23"/>
  <c r="C295" i="28" s="1"/>
  <c r="AJ648" i="23"/>
  <c r="O295" i="28" s="1"/>
  <c r="AA673" i="23"/>
  <c r="AH673" i="23"/>
  <c r="B296" i="28" s="1"/>
  <c r="AI673" i="23"/>
  <c r="C296" i="28" s="1"/>
  <c r="AJ673" i="23"/>
  <c r="O296" i="28" s="1"/>
  <c r="AA822" i="23"/>
  <c r="AH822" i="23"/>
  <c r="B298" i="28" s="1"/>
  <c r="AI822" i="23"/>
  <c r="C298" i="28" s="1"/>
  <c r="AJ822" i="23"/>
  <c r="O298" i="28" s="1"/>
  <c r="K1006" i="23"/>
  <c r="AA1217" i="23"/>
  <c r="AH1217" i="23"/>
  <c r="B300" i="28" s="1"/>
  <c r="AJ1217" i="23"/>
  <c r="O300" i="28" s="1"/>
  <c r="AA1222" i="23"/>
  <c r="AH1222" i="23"/>
  <c r="B301" i="28" s="1"/>
  <c r="AJ1222" i="23"/>
  <c r="O301" i="28" s="1"/>
  <c r="AA1253" i="23"/>
  <c r="AI1253" i="23"/>
  <c r="C302" i="28" s="1"/>
  <c r="AA1280" i="23"/>
  <c r="AH1280" i="23"/>
  <c r="B303" i="28" s="1"/>
  <c r="AI1280" i="23"/>
  <c r="C303" i="28" s="1"/>
  <c r="AJ1280" i="23"/>
  <c r="O303" i="28" s="1"/>
  <c r="AA1302" i="23"/>
  <c r="AH1302" i="23"/>
  <c r="B304" i="28" s="1"/>
  <c r="AJ1302" i="23"/>
  <c r="O304" i="28" s="1"/>
  <c r="K1324" i="23"/>
  <c r="H22" i="16"/>
  <c r="F780" i="23" l="1"/>
  <c r="F1199" i="23"/>
  <c r="F1053" i="23"/>
  <c r="F1161" i="23"/>
  <c r="F870" i="23"/>
  <c r="F895" i="23"/>
  <c r="G1338" i="23"/>
  <c r="F750" i="23"/>
  <c r="F833" i="23"/>
  <c r="F1344" i="23"/>
  <c r="F1309" i="23"/>
  <c r="F127" i="23"/>
  <c r="F809" i="23"/>
  <c r="F1137" i="23"/>
  <c r="F700" i="23"/>
  <c r="F532" i="23"/>
  <c r="F658" i="23"/>
  <c r="F286" i="23"/>
  <c r="F439" i="23"/>
  <c r="F955" i="23"/>
  <c r="F1113" i="23"/>
  <c r="F680" i="23"/>
  <c r="F498" i="23"/>
  <c r="F635" i="23"/>
  <c r="F1084" i="23"/>
  <c r="F263" i="23"/>
  <c r="F1029" i="23"/>
  <c r="F998" i="23"/>
  <c r="F205" i="23"/>
  <c r="F1267" i="23"/>
  <c r="F1236" i="23"/>
  <c r="F397" i="23"/>
  <c r="F975" i="23"/>
  <c r="F418" i="23"/>
  <c r="F174" i="23"/>
  <c r="F561" i="23"/>
  <c r="F330" i="23"/>
  <c r="F43" i="23"/>
  <c r="F1288" i="23"/>
  <c r="F931" i="23"/>
  <c r="F599" i="23"/>
  <c r="F310" i="23"/>
  <c r="F235" i="23"/>
  <c r="F461" i="23"/>
  <c r="F375" i="23"/>
  <c r="F152" i="23"/>
  <c r="F72" i="23" l="1"/>
  <c r="BP158" i="13" l="1"/>
  <c r="BP156" i="13"/>
  <c r="BP114" i="13"/>
  <c r="BQ255" i="13"/>
  <c r="BQ254" i="13"/>
  <c r="BQ253" i="13"/>
  <c r="BQ251" i="13"/>
  <c r="Q231" i="13" l="1"/>
  <c r="Q214" i="13"/>
  <c r="Q192" i="13"/>
  <c r="Q189" i="13"/>
  <c r="Q187" i="13"/>
  <c r="Q183" i="13"/>
  <c r="Q179" i="13"/>
  <c r="Q175" i="13"/>
  <c r="Q171" i="13"/>
  <c r="Q169" i="13"/>
  <c r="Q164" i="13"/>
  <c r="Q162" i="13"/>
  <c r="Q160" i="13"/>
  <c r="Q155" i="13"/>
  <c r="Q148" i="13"/>
  <c r="Q144" i="13"/>
  <c r="Q138" i="13"/>
  <c r="Q134" i="13"/>
  <c r="Q130" i="13"/>
  <c r="Q126" i="13"/>
  <c r="Q121" i="13"/>
  <c r="Q117" i="13"/>
  <c r="Q115" i="13"/>
  <c r="Q113" i="13"/>
  <c r="Q103" i="13"/>
  <c r="Q100" i="13"/>
  <c r="Q93" i="13"/>
  <c r="Q90" i="13"/>
  <c r="Q86" i="13"/>
  <c r="Q83" i="13"/>
  <c r="Q75" i="13"/>
  <c r="Q69" i="13"/>
  <c r="Q63" i="13"/>
  <c r="Q59" i="13"/>
  <c r="Q56" i="13"/>
  <c r="Q51" i="13"/>
  <c r="Q46" i="13"/>
  <c r="Q39" i="13"/>
  <c r="Q30" i="13"/>
  <c r="Q26" i="13"/>
  <c r="Q19" i="13"/>
  <c r="Q16" i="13"/>
  <c r="Q10" i="13"/>
  <c r="L17" i="3"/>
  <c r="R9" i="13" s="1"/>
  <c r="O2" i="11"/>
  <c r="AB36" i="11"/>
  <c r="AB37" i="11"/>
  <c r="AB39" i="11"/>
  <c r="AB40" i="11"/>
  <c r="AB41" i="11"/>
  <c r="AB43" i="11"/>
  <c r="AB44" i="11"/>
  <c r="AB45" i="11"/>
  <c r="AB46" i="11"/>
  <c r="AB47" i="11"/>
  <c r="AB48" i="11"/>
  <c r="AB49" i="11"/>
  <c r="AB50" i="11"/>
  <c r="AB51" i="11"/>
  <c r="AB52" i="11"/>
  <c r="AB53" i="11"/>
  <c r="AB54" i="11"/>
  <c r="AB55" i="11"/>
  <c r="AB56" i="11"/>
  <c r="Q152" i="13" l="1"/>
  <c r="Q110" i="13"/>
  <c r="Q123" i="13"/>
  <c r="Q36" i="13"/>
  <c r="Q97" i="13"/>
  <c r="Q66" i="13"/>
  <c r="Q166" i="13"/>
  <c r="Q197" i="13"/>
  <c r="E218" i="13"/>
  <c r="Y4" i="13"/>
  <c r="BQ252" i="13"/>
  <c r="C11" i="11"/>
  <c r="B47" i="11" s="1"/>
  <c r="BQ32" i="13"/>
  <c r="BR32" i="13" s="1"/>
  <c r="BQ33" i="13"/>
  <c r="BT33" i="13" s="1"/>
  <c r="BQ34" i="13"/>
  <c r="BR34" i="13" s="1"/>
  <c r="BQ35" i="13"/>
  <c r="BR35" i="13" s="1"/>
  <c r="BQ39" i="13"/>
  <c r="BR39" i="13" s="1"/>
  <c r="BQ40" i="13"/>
  <c r="BT40" i="13" s="1"/>
  <c r="BQ41" i="13"/>
  <c r="BR41" i="13" s="1"/>
  <c r="BQ42" i="13"/>
  <c r="BR42" i="13" s="1"/>
  <c r="BQ43" i="13"/>
  <c r="BR43" i="13" s="1"/>
  <c r="BQ44" i="13"/>
  <c r="BS44" i="13" s="1"/>
  <c r="BQ45" i="13"/>
  <c r="BR45" i="13" s="1"/>
  <c r="BQ46" i="13"/>
  <c r="BR46" i="13" s="1"/>
  <c r="BQ47" i="13"/>
  <c r="BR47" i="13" s="1"/>
  <c r="BQ48" i="13"/>
  <c r="BT48" i="13" s="1"/>
  <c r="BQ49" i="13"/>
  <c r="BQ50" i="13"/>
  <c r="BR50" i="13" s="1"/>
  <c r="BQ51" i="13"/>
  <c r="BR51" i="13" s="1"/>
  <c r="BQ52" i="13"/>
  <c r="BR52" i="13" s="1"/>
  <c r="BQ53" i="13"/>
  <c r="BT53" i="13" s="1"/>
  <c r="BQ54" i="13"/>
  <c r="BR54" i="13" s="1"/>
  <c r="BQ55" i="13"/>
  <c r="BR55" i="13" s="1"/>
  <c r="BQ56" i="13"/>
  <c r="BR56" i="13" s="1"/>
  <c r="BQ57" i="13"/>
  <c r="BT57" i="13" s="1"/>
  <c r="BQ58" i="13"/>
  <c r="BR58" i="13" s="1"/>
  <c r="BQ59" i="13"/>
  <c r="BR59" i="13" s="1"/>
  <c r="BQ60" i="13"/>
  <c r="BR60" i="13" s="1"/>
  <c r="BQ61" i="13"/>
  <c r="BT61" i="13" s="1"/>
  <c r="BQ62" i="13"/>
  <c r="BR62" i="13" s="1"/>
  <c r="BQ63" i="13"/>
  <c r="BR63" i="13" s="1"/>
  <c r="BQ64" i="13"/>
  <c r="BR64" i="13" s="1"/>
  <c r="BQ65" i="13"/>
  <c r="BT65" i="13" s="1"/>
  <c r="BQ69" i="13"/>
  <c r="BR69" i="13" s="1"/>
  <c r="BQ70" i="13"/>
  <c r="BR70" i="13" s="1"/>
  <c r="BQ71" i="13"/>
  <c r="BR71" i="13" s="1"/>
  <c r="BQ72" i="13"/>
  <c r="BQ73" i="13"/>
  <c r="BQ74" i="13"/>
  <c r="BR74" i="13" s="1"/>
  <c r="BQ75" i="13"/>
  <c r="BR75" i="13" s="1"/>
  <c r="BQ76" i="13"/>
  <c r="BR76" i="13" s="1"/>
  <c r="BQ77" i="13"/>
  <c r="BT77" i="13" s="1"/>
  <c r="BQ78" i="13"/>
  <c r="BR78" i="13" s="1"/>
  <c r="BQ79" i="13"/>
  <c r="BR79" i="13" s="1"/>
  <c r="BQ80" i="13"/>
  <c r="BR80" i="13" s="1"/>
  <c r="BQ81" i="13"/>
  <c r="BS81" i="13" s="1"/>
  <c r="BQ82" i="13"/>
  <c r="BR82" i="13" s="1"/>
  <c r="BQ83" i="13"/>
  <c r="BR83" i="13" s="1"/>
  <c r="BQ84" i="13"/>
  <c r="BR84" i="13" s="1"/>
  <c r="BQ85" i="13"/>
  <c r="BR85" i="13" s="1"/>
  <c r="BQ86" i="13"/>
  <c r="BR86" i="13" s="1"/>
  <c r="BQ87" i="13"/>
  <c r="BR87" i="13" s="1"/>
  <c r="BQ88" i="13"/>
  <c r="BR88" i="13" s="1"/>
  <c r="BQ89" i="13"/>
  <c r="BT89" i="13" s="1"/>
  <c r="BQ90" i="13"/>
  <c r="BR90" i="13" s="1"/>
  <c r="BQ91" i="13"/>
  <c r="BR91" i="13" s="1"/>
  <c r="BQ92" i="13"/>
  <c r="BR92" i="13" s="1"/>
  <c r="BQ93" i="13"/>
  <c r="BR93" i="13" s="1"/>
  <c r="BQ94" i="13"/>
  <c r="BR94" i="13" s="1"/>
  <c r="BQ95" i="13"/>
  <c r="BR95" i="13" s="1"/>
  <c r="BQ96" i="13"/>
  <c r="BR96" i="13" s="1"/>
  <c r="BQ100" i="13"/>
  <c r="BR100" i="13" s="1"/>
  <c r="BQ101" i="13"/>
  <c r="BQ102" i="13"/>
  <c r="BQ103" i="13"/>
  <c r="BR103" i="13" s="1"/>
  <c r="BQ104" i="13"/>
  <c r="BT104" i="13" s="1"/>
  <c r="BQ105" i="13"/>
  <c r="BR105" i="13" s="1"/>
  <c r="BQ106" i="13"/>
  <c r="BR106" i="13" s="1"/>
  <c r="BQ107" i="13"/>
  <c r="BR107" i="13" s="1"/>
  <c r="BQ108" i="13"/>
  <c r="BR108" i="13" s="1"/>
  <c r="BQ109" i="13"/>
  <c r="BR109" i="13" s="1"/>
  <c r="BQ113" i="13"/>
  <c r="BR113" i="13" s="1"/>
  <c r="BQ114" i="13"/>
  <c r="BQ115" i="13"/>
  <c r="BR115" i="13" s="1"/>
  <c r="BQ116" i="13"/>
  <c r="BT116" i="13" s="1"/>
  <c r="BQ117" i="13"/>
  <c r="BR117" i="13" s="1"/>
  <c r="BQ118" i="13"/>
  <c r="BR118" i="13" s="1"/>
  <c r="BQ119" i="13"/>
  <c r="BR119" i="13" s="1"/>
  <c r="BQ120" i="13"/>
  <c r="BT120" i="13" s="1"/>
  <c r="BQ121" i="13"/>
  <c r="BR121" i="13" s="1"/>
  <c r="BQ122" i="13"/>
  <c r="BR122" i="13" s="1"/>
  <c r="BQ126" i="13"/>
  <c r="BR126" i="13" s="1"/>
  <c r="BQ127" i="13"/>
  <c r="BS127" i="13" s="1"/>
  <c r="BQ128" i="13"/>
  <c r="BQ129" i="13"/>
  <c r="BQ130" i="13"/>
  <c r="BR130" i="13" s="1"/>
  <c r="BQ131" i="13"/>
  <c r="BT131" i="13" s="1"/>
  <c r="BQ132" i="13"/>
  <c r="BR132" i="13" s="1"/>
  <c r="BQ133" i="13"/>
  <c r="BR133" i="13" s="1"/>
  <c r="BQ134" i="13"/>
  <c r="BR134" i="13" s="1"/>
  <c r="BQ135" i="13"/>
  <c r="BT135" i="13" s="1"/>
  <c r="BQ136" i="13"/>
  <c r="BR136" i="13" s="1"/>
  <c r="BQ137" i="13"/>
  <c r="BR137" i="13" s="1"/>
  <c r="BQ138" i="13"/>
  <c r="BR138" i="13" s="1"/>
  <c r="BQ139" i="13"/>
  <c r="BR139" i="13" s="1"/>
  <c r="BQ140" i="13"/>
  <c r="BR140" i="13" s="1"/>
  <c r="BQ141" i="13"/>
  <c r="BR141" i="13" s="1"/>
  <c r="BQ142" i="13"/>
  <c r="BR142" i="13" s="1"/>
  <c r="BQ143" i="13"/>
  <c r="BT143" i="13" s="1"/>
  <c r="BQ144" i="13"/>
  <c r="BR144" i="13" s="1"/>
  <c r="BQ146" i="13"/>
  <c r="BQ147" i="13"/>
  <c r="BQ148" i="13"/>
  <c r="BR148" i="13" s="1"/>
  <c r="BQ150" i="13"/>
  <c r="BQ151" i="13"/>
  <c r="BQ155" i="13"/>
  <c r="BR155" i="13" s="1"/>
  <c r="BQ156" i="13"/>
  <c r="BQ157" i="13"/>
  <c r="BT157" i="13" s="1"/>
  <c r="BQ158" i="13"/>
  <c r="BQ159" i="13"/>
  <c r="BR159" i="13" s="1"/>
  <c r="BQ160" i="13"/>
  <c r="BR160" i="13" s="1"/>
  <c r="BQ161" i="13"/>
  <c r="BR161" i="13" s="1"/>
  <c r="BQ162" i="13"/>
  <c r="BR162" i="13" s="1"/>
  <c r="BQ163" i="13"/>
  <c r="BR163" i="13" s="1"/>
  <c r="BQ164" i="13"/>
  <c r="BT164" i="13" s="1"/>
  <c r="BQ165" i="13"/>
  <c r="BR165" i="13" s="1"/>
  <c r="BQ169" i="13"/>
  <c r="BR169" i="13" s="1"/>
  <c r="BQ170" i="13"/>
  <c r="BQ171" i="13"/>
  <c r="BT171" i="13" s="1"/>
  <c r="BQ172" i="13"/>
  <c r="BR172" i="13" s="1"/>
  <c r="BQ173" i="13"/>
  <c r="BQ175" i="13"/>
  <c r="BR175" i="13" s="1"/>
  <c r="BQ176" i="13"/>
  <c r="BT176" i="13" s="1"/>
  <c r="BQ179" i="13"/>
  <c r="BT179" i="13" s="1"/>
  <c r="BQ180" i="13"/>
  <c r="BR180" i="13" s="1"/>
  <c r="BQ181" i="13"/>
  <c r="BR181" i="13" s="1"/>
  <c r="BQ182" i="13"/>
  <c r="BR182" i="13" s="1"/>
  <c r="BQ183" i="13"/>
  <c r="BT183" i="13" s="1"/>
  <c r="BQ184" i="13"/>
  <c r="BR184" i="13" s="1"/>
  <c r="BQ185" i="13"/>
  <c r="BR185" i="13" s="1"/>
  <c r="BQ186" i="13"/>
  <c r="BR186" i="13" s="1"/>
  <c r="BQ187" i="13"/>
  <c r="BT187" i="13" s="1"/>
  <c r="BQ188" i="13"/>
  <c r="BQ189" i="13"/>
  <c r="BR189" i="13" s="1"/>
  <c r="BQ190" i="13"/>
  <c r="BR190" i="13" s="1"/>
  <c r="BQ191" i="13"/>
  <c r="BR191" i="13" s="1"/>
  <c r="BQ192" i="13"/>
  <c r="BT192" i="13" s="1"/>
  <c r="BQ193" i="13"/>
  <c r="BR193" i="13" s="1"/>
  <c r="BQ194" i="13"/>
  <c r="BR194" i="13" s="1"/>
  <c r="BQ195" i="13"/>
  <c r="BR195" i="13" s="1"/>
  <c r="BQ196" i="13"/>
  <c r="BT196" i="13" s="1"/>
  <c r="BQ200" i="13"/>
  <c r="BR200" i="13" s="1"/>
  <c r="BQ201" i="13"/>
  <c r="BR201" i="13" s="1"/>
  <c r="BQ202" i="13"/>
  <c r="BS202" i="13" s="1"/>
  <c r="BQ203" i="13"/>
  <c r="BS203" i="13" s="1"/>
  <c r="BQ204" i="13"/>
  <c r="BR204" i="13" s="1"/>
  <c r="BQ205" i="13"/>
  <c r="BR205" i="13" s="1"/>
  <c r="BQ206" i="13"/>
  <c r="BR206" i="13" s="1"/>
  <c r="BQ207" i="13"/>
  <c r="BT207" i="13" s="1"/>
  <c r="BQ208" i="13"/>
  <c r="BR208" i="13" s="1"/>
  <c r="BQ209" i="13"/>
  <c r="BR209" i="13" s="1"/>
  <c r="BQ210" i="13"/>
  <c r="BS210" i="13" s="1"/>
  <c r="BQ211" i="13"/>
  <c r="BT211" i="13" s="1"/>
  <c r="BQ212" i="13"/>
  <c r="BR212" i="13" s="1"/>
  <c r="BQ213" i="13"/>
  <c r="BR213" i="13" s="1"/>
  <c r="BQ217" i="13"/>
  <c r="BR217" i="13" s="1"/>
  <c r="BQ218" i="13"/>
  <c r="BS218" i="13" s="1"/>
  <c r="BQ219" i="13"/>
  <c r="BR219" i="13" s="1"/>
  <c r="BQ220" i="13"/>
  <c r="BR220" i="13" s="1"/>
  <c r="BQ221" i="13"/>
  <c r="BS221" i="13" s="1"/>
  <c r="BQ222" i="13"/>
  <c r="BT222" i="13" s="1"/>
  <c r="BQ223" i="13"/>
  <c r="BR223" i="13" s="1"/>
  <c r="BQ224" i="13"/>
  <c r="BR224" i="13" s="1"/>
  <c r="BQ225" i="13"/>
  <c r="BQ226" i="13"/>
  <c r="BR226" i="13" s="1"/>
  <c r="BQ227" i="13"/>
  <c r="BT227" i="13" s="1"/>
  <c r="BQ228" i="13"/>
  <c r="BR228" i="13" s="1"/>
  <c r="BQ229" i="13"/>
  <c r="BR229" i="13" s="1"/>
  <c r="BQ230" i="13"/>
  <c r="BT230" i="13" s="1"/>
  <c r="BQ234" i="13"/>
  <c r="BS234" i="13" s="1"/>
  <c r="BQ236" i="13"/>
  <c r="BR236" i="13" s="1"/>
  <c r="BQ237" i="13"/>
  <c r="BR237" i="13" s="1"/>
  <c r="BQ238" i="13"/>
  <c r="BQ239" i="13"/>
  <c r="BQ240" i="13"/>
  <c r="BR240" i="13" s="1"/>
  <c r="BQ241" i="13"/>
  <c r="BR241" i="13" s="1"/>
  <c r="BQ243" i="13"/>
  <c r="BT243" i="13" s="1"/>
  <c r="BQ244" i="13"/>
  <c r="BR244" i="13" s="1"/>
  <c r="BQ245" i="13"/>
  <c r="BR245" i="13" s="1"/>
  <c r="BQ246" i="13"/>
  <c r="BS246" i="13" s="1"/>
  <c r="BQ247" i="13"/>
  <c r="BS247" i="13" s="1"/>
  <c r="BQ248" i="13"/>
  <c r="BR248" i="13" s="1"/>
  <c r="BQ249" i="13"/>
  <c r="BR249" i="13" s="1"/>
  <c r="BQ11" i="13"/>
  <c r="BS11" i="13" s="1"/>
  <c r="BQ12" i="13"/>
  <c r="BQ13" i="13"/>
  <c r="BT13" i="13" s="1"/>
  <c r="BQ14" i="13"/>
  <c r="BS14" i="13" s="1"/>
  <c r="BQ15" i="13"/>
  <c r="BR15" i="13" s="1"/>
  <c r="BQ16" i="13"/>
  <c r="BR16" i="13" s="1"/>
  <c r="BQ17" i="13"/>
  <c r="BT17" i="13" s="1"/>
  <c r="BQ18" i="13"/>
  <c r="BS18" i="13" s="1"/>
  <c r="BQ19" i="13"/>
  <c r="BS19" i="13" s="1"/>
  <c r="BQ20" i="13"/>
  <c r="BS20" i="13" s="1"/>
  <c r="BQ21" i="13"/>
  <c r="BR21" i="13" s="1"/>
  <c r="BQ22" i="13"/>
  <c r="BQ23" i="13"/>
  <c r="BQ24" i="13"/>
  <c r="BQ25" i="13"/>
  <c r="BQ26" i="13"/>
  <c r="BT26" i="13" s="1"/>
  <c r="BQ27" i="13"/>
  <c r="BS27" i="13" s="1"/>
  <c r="BQ28" i="13"/>
  <c r="BR28" i="13" s="1"/>
  <c r="BQ29" i="13"/>
  <c r="BT29" i="13" s="1"/>
  <c r="BQ30" i="13"/>
  <c r="BT30" i="13" s="1"/>
  <c r="BQ31" i="13"/>
  <c r="BR31" i="13" s="1"/>
  <c r="BQ10" i="13"/>
  <c r="BT10" i="13" s="1"/>
  <c r="Q259" i="13" l="1"/>
  <c r="BS157" i="13"/>
  <c r="BR127" i="13"/>
  <c r="BS94" i="13"/>
  <c r="BR81" i="13"/>
  <c r="BS57" i="13"/>
  <c r="BR157" i="13"/>
  <c r="BR120" i="13"/>
  <c r="BT93" i="13"/>
  <c r="BR77" i="13"/>
  <c r="BR57" i="13"/>
  <c r="BT140" i="13"/>
  <c r="BT109" i="13"/>
  <c r="BS93" i="13"/>
  <c r="BT54" i="13"/>
  <c r="BS140" i="13"/>
  <c r="BS109" i="13"/>
  <c r="BS54" i="13"/>
  <c r="BT139" i="13"/>
  <c r="BT108" i="13"/>
  <c r="BR89" i="13"/>
  <c r="BR53" i="13"/>
  <c r="BS139" i="13"/>
  <c r="BS108" i="13"/>
  <c r="BT85" i="13"/>
  <c r="BT69" i="13"/>
  <c r="BR48" i="13"/>
  <c r="BR19" i="13"/>
  <c r="BS85" i="13"/>
  <c r="BS69" i="13"/>
  <c r="BT45" i="13"/>
  <c r="BS26" i="13"/>
  <c r="BR135" i="13"/>
  <c r="BR104" i="13"/>
  <c r="BR65" i="13"/>
  <c r="BS45" i="13"/>
  <c r="BT100" i="13"/>
  <c r="BT82" i="13"/>
  <c r="BR61" i="13"/>
  <c r="BT44" i="13"/>
  <c r="BS13" i="13"/>
  <c r="BS100" i="13"/>
  <c r="BS82" i="13"/>
  <c r="BT58" i="13"/>
  <c r="BR44" i="13"/>
  <c r="BS196" i="13"/>
  <c r="BT127" i="13"/>
  <c r="BT81" i="13"/>
  <c r="BS58" i="13"/>
  <c r="BR33" i="13"/>
  <c r="BT94" i="13"/>
  <c r="BR20" i="13"/>
  <c r="BS30" i="13"/>
  <c r="BS17" i="13"/>
  <c r="BR210" i="13"/>
  <c r="BS143" i="13"/>
  <c r="BS135" i="13"/>
  <c r="BS131" i="13"/>
  <c r="BS120" i="13"/>
  <c r="BS116" i="13"/>
  <c r="BS104" i="13"/>
  <c r="BS89" i="13"/>
  <c r="BS77" i="13"/>
  <c r="BS65" i="13"/>
  <c r="BS61" i="13"/>
  <c r="BS53" i="13"/>
  <c r="BS48" i="13"/>
  <c r="BS40" i="13"/>
  <c r="BS33" i="13"/>
  <c r="BR11" i="13"/>
  <c r="BR18" i="13"/>
  <c r="BS29" i="13"/>
  <c r="BS16" i="13"/>
  <c r="BR196" i="13"/>
  <c r="BT155" i="13"/>
  <c r="BT142" i="13"/>
  <c r="BT138" i="13"/>
  <c r="BT134" i="13"/>
  <c r="BT130" i="13"/>
  <c r="BT126" i="13"/>
  <c r="BT119" i="13"/>
  <c r="BT115" i="13"/>
  <c r="BT107" i="13"/>
  <c r="BT103" i="13"/>
  <c r="BT96" i="13"/>
  <c r="BT92" i="13"/>
  <c r="BT88" i="13"/>
  <c r="BT84" i="13"/>
  <c r="BT80" i="13"/>
  <c r="BT76" i="13"/>
  <c r="BT71" i="13"/>
  <c r="BT64" i="13"/>
  <c r="BT60" i="13"/>
  <c r="BT56" i="13"/>
  <c r="BT52" i="13"/>
  <c r="BT47" i="13"/>
  <c r="BT43" i="13"/>
  <c r="BT39" i="13"/>
  <c r="BT32" i="13"/>
  <c r="BR116" i="13"/>
  <c r="BR40" i="13"/>
  <c r="BR30" i="13"/>
  <c r="BR17" i="13"/>
  <c r="BT28" i="13"/>
  <c r="BT21" i="13"/>
  <c r="BT15" i="13"/>
  <c r="BR192" i="13"/>
  <c r="BS155" i="13"/>
  <c r="BS142" i="13"/>
  <c r="BS138" i="13"/>
  <c r="BS134" i="13"/>
  <c r="BS130" i="13"/>
  <c r="BS126" i="13"/>
  <c r="BS119" i="13"/>
  <c r="BS115" i="13"/>
  <c r="BS107" i="13"/>
  <c r="BS103" i="13"/>
  <c r="BS96" i="13"/>
  <c r="BS92" i="13"/>
  <c r="BS88" i="13"/>
  <c r="BS84" i="13"/>
  <c r="BS80" i="13"/>
  <c r="BS76" i="13"/>
  <c r="BS71" i="13"/>
  <c r="BS64" i="13"/>
  <c r="BS60" i="13"/>
  <c r="BS56" i="13"/>
  <c r="BS52" i="13"/>
  <c r="BS47" i="13"/>
  <c r="BS43" i="13"/>
  <c r="BS39" i="13"/>
  <c r="BS32" i="13"/>
  <c r="BT16" i="13"/>
  <c r="BR143" i="13"/>
  <c r="BR29" i="13"/>
  <c r="BS28" i="13"/>
  <c r="BS21" i="13"/>
  <c r="BS15" i="13"/>
  <c r="BT186" i="13"/>
  <c r="BR131" i="13"/>
  <c r="BT27" i="13"/>
  <c r="BT20" i="13"/>
  <c r="BT14" i="13"/>
  <c r="BS183" i="13"/>
  <c r="BT148" i="13"/>
  <c r="BT141" i="13"/>
  <c r="BT137" i="13"/>
  <c r="BT133" i="13"/>
  <c r="BT122" i="13"/>
  <c r="BT118" i="13"/>
  <c r="BT113" i="13"/>
  <c r="BT106" i="13"/>
  <c r="BT95" i="13"/>
  <c r="BT91" i="13"/>
  <c r="BT87" i="13"/>
  <c r="BT83" i="13"/>
  <c r="BT79" i="13"/>
  <c r="BT75" i="13"/>
  <c r="BT70" i="13"/>
  <c r="BT63" i="13"/>
  <c r="BT59" i="13"/>
  <c r="BT55" i="13"/>
  <c r="BT51" i="13"/>
  <c r="BT46" i="13"/>
  <c r="BT42" i="13"/>
  <c r="BT35" i="13"/>
  <c r="BT31" i="13"/>
  <c r="BR27" i="13"/>
  <c r="BR14" i="13"/>
  <c r="BS148" i="13"/>
  <c r="BS141" i="13"/>
  <c r="BS137" i="13"/>
  <c r="BS133" i="13"/>
  <c r="BS122" i="13"/>
  <c r="BS118" i="13"/>
  <c r="BS113" i="13"/>
  <c r="BS106" i="13"/>
  <c r="BS95" i="13"/>
  <c r="BS91" i="13"/>
  <c r="BS87" i="13"/>
  <c r="BS83" i="13"/>
  <c r="BS79" i="13"/>
  <c r="BS75" i="13"/>
  <c r="BS70" i="13"/>
  <c r="BS63" i="13"/>
  <c r="BS59" i="13"/>
  <c r="BS55" i="13"/>
  <c r="BS51" i="13"/>
  <c r="BS46" i="13"/>
  <c r="BS42" i="13"/>
  <c r="BS35" i="13"/>
  <c r="BS31" i="13"/>
  <c r="BR26" i="13"/>
  <c r="BR13" i="13"/>
  <c r="BT19" i="13"/>
  <c r="BT161" i="13"/>
  <c r="BR10" i="13"/>
  <c r="BT159" i="13"/>
  <c r="BT144" i="13"/>
  <c r="BT136" i="13"/>
  <c r="BT132" i="13"/>
  <c r="BT121" i="13"/>
  <c r="BT117" i="13"/>
  <c r="BT105" i="13"/>
  <c r="BT90" i="13"/>
  <c r="BT86" i="13"/>
  <c r="BT78" i="13"/>
  <c r="BT74" i="13"/>
  <c r="BT62" i="13"/>
  <c r="BT50" i="13"/>
  <c r="BT41" i="13"/>
  <c r="BT34" i="13"/>
  <c r="BS10" i="13"/>
  <c r="BT18" i="13"/>
  <c r="BT11" i="13"/>
  <c r="BS159" i="13"/>
  <c r="BS144" i="13"/>
  <c r="BS136" i="13"/>
  <c r="BS132" i="13"/>
  <c r="BS121" i="13"/>
  <c r="BS117" i="13"/>
  <c r="BS105" i="13"/>
  <c r="BS90" i="13"/>
  <c r="BS86" i="13"/>
  <c r="BS78" i="13"/>
  <c r="BS74" i="13"/>
  <c r="BS62" i="13"/>
  <c r="BS50" i="13"/>
  <c r="BS41" i="13"/>
  <c r="BS34" i="13"/>
  <c r="BT226" i="13"/>
  <c r="BS226" i="13"/>
  <c r="BS207" i="13"/>
  <c r="BT191" i="13"/>
  <c r="BR179" i="13"/>
  <c r="BS161" i="13"/>
  <c r="BR243" i="13"/>
  <c r="BT249" i="13"/>
  <c r="BR207" i="13"/>
  <c r="BS191" i="13"/>
  <c r="BS171" i="13"/>
  <c r="BS222" i="13"/>
  <c r="BT206" i="13"/>
  <c r="BR171" i="13"/>
  <c r="BT160" i="13"/>
  <c r="BS179" i="13"/>
  <c r="BS243" i="13"/>
  <c r="BR222" i="13"/>
  <c r="BS206" i="13"/>
  <c r="BS187" i="13"/>
  <c r="BS160" i="13"/>
  <c r="BT221" i="13"/>
  <c r="BR187" i="13"/>
  <c r="BS249" i="13"/>
  <c r="BS211" i="13"/>
  <c r="BT195" i="13"/>
  <c r="BR183" i="13"/>
  <c r="BR164" i="13"/>
  <c r="BR221" i="13"/>
  <c r="BR211" i="13"/>
  <c r="BS195" i="13"/>
  <c r="BT182" i="13"/>
  <c r="BT163" i="13"/>
  <c r="BT248" i="13"/>
  <c r="BT237" i="13"/>
  <c r="BS227" i="13"/>
  <c r="BT210" i="13"/>
  <c r="BS182" i="13"/>
  <c r="BS163" i="13"/>
  <c r="BS248" i="13"/>
  <c r="BS164" i="13"/>
  <c r="BS237" i="13"/>
  <c r="BR227" i="13"/>
  <c r="BS192" i="13"/>
  <c r="BT217" i="13"/>
  <c r="BT234" i="13"/>
  <c r="BR246" i="13"/>
  <c r="BR203" i="13"/>
  <c r="BR230" i="13"/>
  <c r="BR176" i="13"/>
  <c r="BT229" i="13"/>
  <c r="BT224" i="13"/>
  <c r="BT220" i="13"/>
  <c r="BT213" i="13"/>
  <c r="BT209" i="13"/>
  <c r="BT205" i="13"/>
  <c r="BT201" i="13"/>
  <c r="BT194" i="13"/>
  <c r="BT190" i="13"/>
  <c r="BT185" i="13"/>
  <c r="BT181" i="13"/>
  <c r="BT175" i="13"/>
  <c r="BT169" i="13"/>
  <c r="BT162" i="13"/>
  <c r="BT245" i="13"/>
  <c r="BT241" i="13"/>
  <c r="BT236" i="13"/>
  <c r="BR234" i="13"/>
  <c r="BS217" i="13"/>
  <c r="BR202" i="13"/>
  <c r="BS229" i="13"/>
  <c r="BS224" i="13"/>
  <c r="BS220" i="13"/>
  <c r="BS213" i="13"/>
  <c r="BS209" i="13"/>
  <c r="BS205" i="13"/>
  <c r="BS201" i="13"/>
  <c r="BS194" i="13"/>
  <c r="BS190" i="13"/>
  <c r="BS185" i="13"/>
  <c r="BS181" i="13"/>
  <c r="BS175" i="13"/>
  <c r="BS169" i="13"/>
  <c r="BS162" i="13"/>
  <c r="BS245" i="13"/>
  <c r="BS241" i="13"/>
  <c r="BS236" i="13"/>
  <c r="BT228" i="13"/>
  <c r="BT223" i="13"/>
  <c r="BT219" i="13"/>
  <c r="BT212" i="13"/>
  <c r="BT208" i="13"/>
  <c r="BT204" i="13"/>
  <c r="BT200" i="13"/>
  <c r="BT193" i="13"/>
  <c r="BT189" i="13"/>
  <c r="BT184" i="13"/>
  <c r="BT180" i="13"/>
  <c r="BT172" i="13"/>
  <c r="BT165" i="13"/>
  <c r="BT244" i="13"/>
  <c r="BT240" i="13"/>
  <c r="BT246" i="13"/>
  <c r="BS228" i="13"/>
  <c r="BS223" i="13"/>
  <c r="BS219" i="13"/>
  <c r="BS212" i="13"/>
  <c r="BS208" i="13"/>
  <c r="BS204" i="13"/>
  <c r="BS200" i="13"/>
  <c r="BS193" i="13"/>
  <c r="BS189" i="13"/>
  <c r="BS184" i="13"/>
  <c r="BS180" i="13"/>
  <c r="BS172" i="13"/>
  <c r="BS165" i="13"/>
  <c r="BS244" i="13"/>
  <c r="BS240" i="13"/>
  <c r="BR218" i="13"/>
  <c r="BR247" i="13"/>
  <c r="BT202" i="13"/>
  <c r="BS230" i="13"/>
  <c r="BS176" i="13"/>
  <c r="BS186" i="13"/>
  <c r="BT218" i="13"/>
  <c r="BT203" i="13"/>
  <c r="BT247" i="13"/>
  <c r="BS342" i="13" l="1"/>
  <c r="BJ195" i="13"/>
  <c r="BK195" i="13" s="1"/>
  <c r="BG195" i="13"/>
  <c r="BH195" i="13" s="1"/>
  <c r="BD195" i="13"/>
  <c r="BE195" i="13" s="1"/>
  <c r="B195" i="13"/>
  <c r="U122" i="13" l="1"/>
  <c r="U121" i="13" s="1"/>
  <c r="BJ40" i="13"/>
  <c r="BK40" i="13" s="1"/>
  <c r="BG40" i="13"/>
  <c r="BH40" i="13" s="1"/>
  <c r="BD40" i="13"/>
  <c r="BE40" i="13" s="1"/>
  <c r="K39" i="13"/>
  <c r="BJ178" i="13" l="1"/>
  <c r="BK178" i="13" s="1"/>
  <c r="BG178" i="13"/>
  <c r="BH178" i="13" s="1"/>
  <c r="BD178" i="13"/>
  <c r="BE178" i="13" s="1"/>
  <c r="BJ177" i="13"/>
  <c r="BK177" i="13" s="1"/>
  <c r="BG177" i="13"/>
  <c r="BH177" i="13" s="1"/>
  <c r="BD177" i="13"/>
  <c r="BE177" i="13" s="1"/>
  <c r="AI261" i="13"/>
  <c r="AI260" i="13"/>
  <c r="H158" i="16" l="1"/>
  <c r="H140" i="16"/>
  <c r="H139" i="16"/>
  <c r="H21" i="16"/>
  <c r="H20" i="16"/>
  <c r="H19" i="16"/>
  <c r="H86" i="16"/>
  <c r="H85" i="16"/>
  <c r="H7" i="16"/>
  <c r="BJ88" i="13" l="1"/>
  <c r="BK88" i="13" s="1"/>
  <c r="BG88" i="13"/>
  <c r="BH88" i="13" s="1"/>
  <c r="BD88" i="13"/>
  <c r="BE88" i="13" s="1"/>
  <c r="B88" i="13"/>
  <c r="Z88" i="13" s="1"/>
  <c r="H75" i="13"/>
  <c r="N59" i="13"/>
  <c r="M59" i="13"/>
  <c r="H59" i="13"/>
  <c r="N56" i="13"/>
  <c r="M56" i="13"/>
  <c r="H56" i="13"/>
  <c r="B23" i="13"/>
  <c r="B24" i="13"/>
  <c r="L187" i="13" l="1"/>
  <c r="BJ143" i="13"/>
  <c r="BK143" i="13" s="1"/>
  <c r="BG143" i="13"/>
  <c r="BH143" i="13" s="1"/>
  <c r="BD143" i="13"/>
  <c r="BE143" i="13" s="1"/>
  <c r="H137" i="16"/>
  <c r="R138" i="13"/>
  <c r="P138" i="13"/>
  <c r="O138" i="13"/>
  <c r="N138" i="13"/>
  <c r="M138" i="13"/>
  <c r="L138" i="13"/>
  <c r="K138" i="13"/>
  <c r="J138" i="13"/>
  <c r="I138" i="13"/>
  <c r="H138" i="13"/>
  <c r="G138" i="13"/>
  <c r="F138" i="13"/>
  <c r="B143" i="13"/>
  <c r="H8" i="16" l="1"/>
  <c r="H9" i="16"/>
  <c r="H10" i="16"/>
  <c r="H11" i="16"/>
  <c r="H12" i="16"/>
  <c r="H13" i="16"/>
  <c r="H14" i="16"/>
  <c r="H15" i="16"/>
  <c r="H16" i="16"/>
  <c r="H17" i="16"/>
  <c r="H18" i="16"/>
  <c r="Z23" i="13"/>
  <c r="Z24" i="13"/>
  <c r="H23" i="16"/>
  <c r="H24" i="16"/>
  <c r="H25" i="16"/>
  <c r="H26" i="16"/>
  <c r="H27" i="16"/>
  <c r="H28" i="16"/>
  <c r="H29" i="16"/>
  <c r="H30" i="16"/>
  <c r="H31" i="16"/>
  <c r="H32" i="16"/>
  <c r="H33" i="16"/>
  <c r="H34" i="16"/>
  <c r="H35" i="16"/>
  <c r="H36"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9" i="16"/>
  <c r="H80" i="16"/>
  <c r="H81" i="16"/>
  <c r="H82" i="16"/>
  <c r="H83" i="16"/>
  <c r="H84"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8" i="16"/>
  <c r="Z143" i="13"/>
  <c r="H141" i="16"/>
  <c r="H142" i="16"/>
  <c r="H143" i="16"/>
  <c r="H144" i="16"/>
  <c r="H145" i="16"/>
  <c r="H146" i="16"/>
  <c r="H147" i="16"/>
  <c r="H148" i="16"/>
  <c r="H149" i="16"/>
  <c r="H150" i="16"/>
  <c r="H151" i="16"/>
  <c r="H152" i="16"/>
  <c r="H153" i="16"/>
  <c r="H154" i="16"/>
  <c r="H155" i="16"/>
  <c r="H156" i="16"/>
  <c r="H157"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3" i="16"/>
  <c r="Z195" i="13" s="1"/>
  <c r="H194" i="16"/>
  <c r="H195" i="16"/>
  <c r="H196" i="16"/>
  <c r="H197" i="16"/>
  <c r="H198" i="16"/>
  <c r="H200" i="16" s="1"/>
  <c r="H201" i="16"/>
  <c r="H202" i="16"/>
  <c r="H203" i="16" s="1"/>
  <c r="H204" i="16"/>
  <c r="H205" i="16"/>
  <c r="H206" i="16"/>
  <c r="H207" i="16" s="1"/>
  <c r="H208" i="16"/>
  <c r="H209" i="16"/>
  <c r="H210" i="16" s="1"/>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BJ213" i="13"/>
  <c r="BK213" i="13" s="1"/>
  <c r="BG213" i="13"/>
  <c r="BH213" i="13" s="1"/>
  <c r="BD213" i="13"/>
  <c r="BE213" i="13" s="1"/>
  <c r="BJ212" i="13"/>
  <c r="BK212" i="13" s="1"/>
  <c r="BG212" i="13"/>
  <c r="BH212" i="13" s="1"/>
  <c r="BD212" i="13"/>
  <c r="BE212" i="13" s="1"/>
  <c r="BJ196" i="13"/>
  <c r="BK196" i="13" s="1"/>
  <c r="BG196" i="13"/>
  <c r="BH196" i="13" s="1"/>
  <c r="BD196" i="13"/>
  <c r="BE196" i="13" s="1"/>
  <c r="BJ194" i="13"/>
  <c r="BK194" i="13" s="1"/>
  <c r="BG194" i="13"/>
  <c r="BH194" i="13" s="1"/>
  <c r="BD194" i="13"/>
  <c r="BE194" i="13" s="1"/>
  <c r="BJ193" i="13"/>
  <c r="BK193" i="13" s="1"/>
  <c r="BG193" i="13"/>
  <c r="BH193" i="13" s="1"/>
  <c r="BD193" i="13"/>
  <c r="BE193" i="13" s="1"/>
  <c r="BJ149" i="13"/>
  <c r="BK149" i="13" s="1"/>
  <c r="BG149" i="13"/>
  <c r="BH149" i="13" s="1"/>
  <c r="BD149" i="13"/>
  <c r="BE149" i="13" s="1"/>
  <c r="BD205" i="13"/>
  <c r="BE205" i="13" s="1"/>
  <c r="BG205" i="13"/>
  <c r="BH205" i="13" s="1"/>
  <c r="BJ205" i="13"/>
  <c r="BK205" i="13" s="1"/>
  <c r="BD206" i="13"/>
  <c r="BE206" i="13" s="1"/>
  <c r="BG206" i="13"/>
  <c r="BH206" i="13" s="1"/>
  <c r="BJ206" i="13"/>
  <c r="BK206" i="13" s="1"/>
  <c r="BD209" i="13"/>
  <c r="BE209" i="13" s="1"/>
  <c r="BG209" i="13"/>
  <c r="BH209" i="13" s="1"/>
  <c r="BJ209" i="13"/>
  <c r="BK209" i="13" s="1"/>
  <c r="BD210" i="13"/>
  <c r="BE210" i="13" s="1"/>
  <c r="BG210" i="13"/>
  <c r="BH210" i="13" s="1"/>
  <c r="BJ210" i="13"/>
  <c r="BK210" i="13" s="1"/>
  <c r="BD201" i="13"/>
  <c r="BE201" i="13" s="1"/>
  <c r="BG201" i="13"/>
  <c r="BH201" i="13" s="1"/>
  <c r="BJ201" i="13"/>
  <c r="BK201" i="13" s="1"/>
  <c r="BD202" i="13"/>
  <c r="BE202" i="13" s="1"/>
  <c r="BG202" i="13"/>
  <c r="BH202" i="13" s="1"/>
  <c r="BJ202" i="13"/>
  <c r="BK202" i="13" s="1"/>
  <c r="BD203" i="13"/>
  <c r="BE203" i="13" s="1"/>
  <c r="BG203" i="13"/>
  <c r="BH203" i="13" s="1"/>
  <c r="BJ203" i="13"/>
  <c r="BK203" i="13" s="1"/>
  <c r="BD172" i="13"/>
  <c r="BE172" i="13" s="1"/>
  <c r="BG172" i="13"/>
  <c r="BH172" i="13" s="1"/>
  <c r="BJ172" i="13"/>
  <c r="BK172" i="13" s="1"/>
  <c r="BD174" i="13"/>
  <c r="BE174" i="13" s="1"/>
  <c r="BG174" i="13"/>
  <c r="BH174" i="13" s="1"/>
  <c r="BJ174" i="13"/>
  <c r="BK174" i="13" s="1"/>
  <c r="BD176" i="13"/>
  <c r="BE176" i="13" s="1"/>
  <c r="BG176" i="13"/>
  <c r="BH176" i="13" s="1"/>
  <c r="BJ176" i="13"/>
  <c r="BK176" i="13" s="1"/>
  <c r="BD180" i="13"/>
  <c r="BE180" i="13" s="1"/>
  <c r="BG180" i="13"/>
  <c r="BH180" i="13" s="1"/>
  <c r="BJ180" i="13"/>
  <c r="BK180" i="13" s="1"/>
  <c r="BD182" i="13"/>
  <c r="BE182" i="13" s="1"/>
  <c r="BG182" i="13"/>
  <c r="BH182" i="13" s="1"/>
  <c r="BJ182" i="13"/>
  <c r="BK182" i="13" s="1"/>
  <c r="BD184" i="13"/>
  <c r="BE184" i="13" s="1"/>
  <c r="BG184" i="13"/>
  <c r="BH184" i="13" s="1"/>
  <c r="BJ184" i="13"/>
  <c r="BK184" i="13" s="1"/>
  <c r="BD185" i="13"/>
  <c r="BE185" i="13" s="1"/>
  <c r="BG185" i="13"/>
  <c r="BH185" i="13" s="1"/>
  <c r="BJ185" i="13"/>
  <c r="BK185" i="13" s="1"/>
  <c r="BD186" i="13"/>
  <c r="BE186" i="13" s="1"/>
  <c r="BG186" i="13"/>
  <c r="BH186" i="13" s="1"/>
  <c r="BJ186" i="13"/>
  <c r="BK186" i="13" s="1"/>
  <c r="BD190" i="13"/>
  <c r="BE190" i="13" s="1"/>
  <c r="BG190" i="13"/>
  <c r="BH190" i="13" s="1"/>
  <c r="BJ190" i="13"/>
  <c r="BK190" i="13" s="1"/>
  <c r="BD191" i="13"/>
  <c r="BE191" i="13" s="1"/>
  <c r="BG191" i="13"/>
  <c r="BH191" i="13" s="1"/>
  <c r="BJ191" i="13"/>
  <c r="BK191" i="13" s="1"/>
  <c r="BD170" i="13"/>
  <c r="BE170" i="13" s="1"/>
  <c r="BG170" i="13"/>
  <c r="BH170" i="13" s="1"/>
  <c r="BJ170" i="13"/>
  <c r="BK170" i="13" s="1"/>
  <c r="BD162" i="13"/>
  <c r="BE162" i="13" s="1"/>
  <c r="BG162" i="13"/>
  <c r="BH162" i="13" s="1"/>
  <c r="BJ162" i="13"/>
  <c r="BK162" i="13" s="1"/>
  <c r="BD131" i="13"/>
  <c r="BE131" i="13" s="1"/>
  <c r="BG131" i="13"/>
  <c r="BH131" i="13" s="1"/>
  <c r="BJ131" i="13"/>
  <c r="BK131" i="13" s="1"/>
  <c r="BD132" i="13"/>
  <c r="BE132" i="13" s="1"/>
  <c r="BG132" i="13"/>
  <c r="BH132" i="13" s="1"/>
  <c r="BJ132" i="13"/>
  <c r="BK132" i="13" s="1"/>
  <c r="BD133" i="13"/>
  <c r="BE133" i="13" s="1"/>
  <c r="BG133" i="13"/>
  <c r="BH133" i="13" s="1"/>
  <c r="BJ133" i="13"/>
  <c r="BK133" i="13" s="1"/>
  <c r="BD135" i="13"/>
  <c r="BE135" i="13" s="1"/>
  <c r="BG135" i="13"/>
  <c r="BH135" i="13" s="1"/>
  <c r="BJ135" i="13"/>
  <c r="BK135" i="13" s="1"/>
  <c r="BD136" i="13"/>
  <c r="BE136" i="13" s="1"/>
  <c r="BG136" i="13"/>
  <c r="BH136" i="13" s="1"/>
  <c r="BJ136" i="13"/>
  <c r="BK136" i="13" s="1"/>
  <c r="BD137" i="13"/>
  <c r="BE137" i="13" s="1"/>
  <c r="BG137" i="13"/>
  <c r="BH137" i="13" s="1"/>
  <c r="BJ137" i="13"/>
  <c r="BK137" i="13" s="1"/>
  <c r="BD139" i="13"/>
  <c r="BE139" i="13" s="1"/>
  <c r="BG139" i="13"/>
  <c r="BH139" i="13" s="1"/>
  <c r="BJ139" i="13"/>
  <c r="BK139" i="13" s="1"/>
  <c r="BD140" i="13"/>
  <c r="BE140" i="13" s="1"/>
  <c r="BG140" i="13"/>
  <c r="BH140" i="13" s="1"/>
  <c r="BJ140" i="13"/>
  <c r="BK140" i="13" s="1"/>
  <c r="BD141" i="13"/>
  <c r="BE141" i="13" s="1"/>
  <c r="BG141" i="13"/>
  <c r="BH141" i="13" s="1"/>
  <c r="BJ141" i="13"/>
  <c r="BK141" i="13" s="1"/>
  <c r="BD146" i="13"/>
  <c r="BE146" i="13" s="1"/>
  <c r="BG146" i="13"/>
  <c r="BH146" i="13" s="1"/>
  <c r="BJ146" i="13"/>
  <c r="BK146" i="13" s="1"/>
  <c r="BD147" i="13"/>
  <c r="BE147" i="13" s="1"/>
  <c r="BG147" i="13"/>
  <c r="BH147" i="13" s="1"/>
  <c r="BJ147" i="13"/>
  <c r="BK147" i="13" s="1"/>
  <c r="BD127" i="13"/>
  <c r="BE127" i="13" s="1"/>
  <c r="BG127" i="13"/>
  <c r="BH127" i="13" s="1"/>
  <c r="BJ127" i="13"/>
  <c r="BK127" i="13" s="1"/>
  <c r="BD129" i="13"/>
  <c r="BE129" i="13" s="1"/>
  <c r="BG129" i="13"/>
  <c r="BH129" i="13" s="1"/>
  <c r="BJ129" i="13"/>
  <c r="BK129" i="13" s="1"/>
  <c r="BD116" i="13"/>
  <c r="BE116" i="13" s="1"/>
  <c r="BG116" i="13"/>
  <c r="BH116" i="13" s="1"/>
  <c r="BJ116" i="13"/>
  <c r="BK116" i="13" s="1"/>
  <c r="BD118" i="13"/>
  <c r="BE118" i="13" s="1"/>
  <c r="BG118" i="13"/>
  <c r="BH118" i="13" s="1"/>
  <c r="BJ118" i="13"/>
  <c r="BK118" i="13" s="1"/>
  <c r="BD119" i="13"/>
  <c r="BE119" i="13" s="1"/>
  <c r="BG119" i="13"/>
  <c r="BH119" i="13" s="1"/>
  <c r="BJ119" i="13"/>
  <c r="BK119" i="13" s="1"/>
  <c r="BD120" i="13"/>
  <c r="BE120" i="13" s="1"/>
  <c r="BG120" i="13"/>
  <c r="BH120" i="13" s="1"/>
  <c r="BJ120" i="13"/>
  <c r="BK120" i="13" s="1"/>
  <c r="BD101" i="13"/>
  <c r="BE101" i="13" s="1"/>
  <c r="BG101" i="13"/>
  <c r="BH101" i="13" s="1"/>
  <c r="BJ101" i="13"/>
  <c r="BK101" i="13" s="1"/>
  <c r="BD104" i="13"/>
  <c r="BE104" i="13" s="1"/>
  <c r="BG104" i="13"/>
  <c r="BH104" i="13" s="1"/>
  <c r="BJ104" i="13"/>
  <c r="BK104" i="13" s="1"/>
  <c r="BD105" i="13"/>
  <c r="BE105" i="13" s="1"/>
  <c r="BG105" i="13"/>
  <c r="BH105" i="13" s="1"/>
  <c r="BJ105" i="13"/>
  <c r="BK105" i="13" s="1"/>
  <c r="BD76" i="13"/>
  <c r="BE76" i="13" s="1"/>
  <c r="BG76" i="13"/>
  <c r="BH76" i="13" s="1"/>
  <c r="BJ76" i="13"/>
  <c r="BK76" i="13" s="1"/>
  <c r="BD77" i="13"/>
  <c r="BE77" i="13" s="1"/>
  <c r="BG77" i="13"/>
  <c r="BH77" i="13" s="1"/>
  <c r="BJ77" i="13"/>
  <c r="BK77" i="13" s="1"/>
  <c r="BD78" i="13"/>
  <c r="BE78" i="13" s="1"/>
  <c r="BG78" i="13"/>
  <c r="BH78" i="13" s="1"/>
  <c r="BJ78" i="13"/>
  <c r="BK78" i="13" s="1"/>
  <c r="BD80" i="13"/>
  <c r="BE80" i="13" s="1"/>
  <c r="BG80" i="13"/>
  <c r="BH80" i="13" s="1"/>
  <c r="BJ80" i="13"/>
  <c r="BK80" i="13" s="1"/>
  <c r="BD81" i="13"/>
  <c r="BE81" i="13" s="1"/>
  <c r="BG81" i="13"/>
  <c r="BH81" i="13" s="1"/>
  <c r="BJ81" i="13"/>
  <c r="BK81" i="13" s="1"/>
  <c r="BD84" i="13"/>
  <c r="BE84" i="13" s="1"/>
  <c r="BG84" i="13"/>
  <c r="BH84" i="13" s="1"/>
  <c r="BJ84" i="13"/>
  <c r="BK84" i="13" s="1"/>
  <c r="BD85" i="13"/>
  <c r="BE85" i="13" s="1"/>
  <c r="BG85" i="13"/>
  <c r="BH85" i="13" s="1"/>
  <c r="BJ85" i="13"/>
  <c r="BK85" i="13" s="1"/>
  <c r="BD87" i="13"/>
  <c r="BE87" i="13" s="1"/>
  <c r="BG87" i="13"/>
  <c r="BH87" i="13" s="1"/>
  <c r="BJ87" i="13"/>
  <c r="BK87" i="13" s="1"/>
  <c r="BD89" i="13"/>
  <c r="BE89" i="13" s="1"/>
  <c r="BG89" i="13"/>
  <c r="BH89" i="13" s="1"/>
  <c r="BJ89" i="13"/>
  <c r="BK89" i="13" s="1"/>
  <c r="BD92" i="13"/>
  <c r="BE92" i="13" s="1"/>
  <c r="BG92" i="13"/>
  <c r="BH92" i="13" s="1"/>
  <c r="BJ92" i="13"/>
  <c r="BK92" i="13" s="1"/>
  <c r="BD94" i="13"/>
  <c r="BE94" i="13" s="1"/>
  <c r="BG94" i="13"/>
  <c r="BH94" i="13" s="1"/>
  <c r="BJ94" i="13"/>
  <c r="BK94" i="13" s="1"/>
  <c r="BD70" i="13"/>
  <c r="BE70" i="13" s="1"/>
  <c r="BG70" i="13"/>
  <c r="BH70" i="13" s="1"/>
  <c r="BJ70" i="13"/>
  <c r="BK70" i="13" s="1"/>
  <c r="BD71" i="13"/>
  <c r="BE71" i="13" s="1"/>
  <c r="BG71" i="13"/>
  <c r="BH71" i="13" s="1"/>
  <c r="BJ71" i="13"/>
  <c r="BK71" i="13" s="1"/>
  <c r="BD74" i="13"/>
  <c r="BE74" i="13" s="1"/>
  <c r="BG74" i="13"/>
  <c r="BH74" i="13" s="1"/>
  <c r="BJ74" i="13"/>
  <c r="BK74" i="13" s="1"/>
  <c r="BD47" i="13"/>
  <c r="BE47" i="13" s="1"/>
  <c r="BG47" i="13"/>
  <c r="BH47" i="13" s="1"/>
  <c r="BJ47" i="13"/>
  <c r="BK47" i="13" s="1"/>
  <c r="BD48" i="13"/>
  <c r="BE48" i="13" s="1"/>
  <c r="BG48" i="13"/>
  <c r="BH48" i="13" s="1"/>
  <c r="BJ48" i="13"/>
  <c r="BK48" i="13" s="1"/>
  <c r="BD50" i="13"/>
  <c r="BE50" i="13" s="1"/>
  <c r="BG50" i="13"/>
  <c r="BH50" i="13" s="1"/>
  <c r="BJ50" i="13"/>
  <c r="BK50" i="13" s="1"/>
  <c r="BD52" i="13"/>
  <c r="BE52" i="13" s="1"/>
  <c r="BG52" i="13"/>
  <c r="BH52" i="13" s="1"/>
  <c r="BJ52" i="13"/>
  <c r="BK52" i="13" s="1"/>
  <c r="BD53" i="13"/>
  <c r="BE53" i="13" s="1"/>
  <c r="BG53" i="13"/>
  <c r="BH53" i="13" s="1"/>
  <c r="BJ53" i="13"/>
  <c r="BK53" i="13" s="1"/>
  <c r="BD54" i="13"/>
  <c r="BE54" i="13" s="1"/>
  <c r="BG54" i="13"/>
  <c r="BH54" i="13" s="1"/>
  <c r="BJ54" i="13"/>
  <c r="BK54" i="13" s="1"/>
  <c r="BD57" i="13"/>
  <c r="BE57" i="13" s="1"/>
  <c r="BG57" i="13"/>
  <c r="BH57" i="13" s="1"/>
  <c r="BJ57" i="13"/>
  <c r="BK57" i="13" s="1"/>
  <c r="BD58" i="13"/>
  <c r="BE58" i="13" s="1"/>
  <c r="BG58" i="13"/>
  <c r="BH58" i="13" s="1"/>
  <c r="BJ58" i="13"/>
  <c r="BK58" i="13" s="1"/>
  <c r="BD60" i="13"/>
  <c r="BE60" i="13" s="1"/>
  <c r="BG60" i="13"/>
  <c r="BH60" i="13" s="1"/>
  <c r="BJ60" i="13"/>
  <c r="BK60" i="13" s="1"/>
  <c r="BD61" i="13"/>
  <c r="BE61" i="13" s="1"/>
  <c r="BG61" i="13"/>
  <c r="BH61" i="13" s="1"/>
  <c r="BJ61" i="13"/>
  <c r="BK61" i="13" s="1"/>
  <c r="BD64" i="13"/>
  <c r="BE64" i="13" s="1"/>
  <c r="BG64" i="13"/>
  <c r="BH64" i="13" s="1"/>
  <c r="BJ64" i="13"/>
  <c r="BK64" i="13" s="1"/>
  <c r="BD41" i="13"/>
  <c r="BE41" i="13" s="1"/>
  <c r="BG41" i="13"/>
  <c r="BH41" i="13" s="1"/>
  <c r="BJ41" i="13"/>
  <c r="BK41" i="13" s="1"/>
  <c r="BD42" i="13"/>
  <c r="BE42" i="13" s="1"/>
  <c r="BG42" i="13"/>
  <c r="BH42" i="13" s="1"/>
  <c r="BJ42" i="13"/>
  <c r="BK42" i="13" s="1"/>
  <c r="BD43" i="13"/>
  <c r="BE43" i="13" s="1"/>
  <c r="BG43" i="13"/>
  <c r="BH43" i="13" s="1"/>
  <c r="BJ43" i="13"/>
  <c r="BK43" i="13" s="1"/>
  <c r="BD44" i="13"/>
  <c r="BE44" i="13" s="1"/>
  <c r="BG44" i="13"/>
  <c r="BH44" i="13" s="1"/>
  <c r="BJ44" i="13"/>
  <c r="BK44" i="13" s="1"/>
  <c r="BD45" i="13"/>
  <c r="BE45" i="13" s="1"/>
  <c r="BG45" i="13"/>
  <c r="BH45" i="13" s="1"/>
  <c r="BJ45" i="13"/>
  <c r="BK45" i="13" s="1"/>
  <c r="BD17" i="13"/>
  <c r="BE17" i="13" s="1"/>
  <c r="BG17" i="13"/>
  <c r="BH17" i="13" s="1"/>
  <c r="BJ17" i="13"/>
  <c r="BK17" i="13" s="1"/>
  <c r="BD18" i="13"/>
  <c r="BE18" i="13" s="1"/>
  <c r="BG18" i="13"/>
  <c r="BH18" i="13" s="1"/>
  <c r="BJ18" i="13"/>
  <c r="BK18" i="13" s="1"/>
  <c r="BD20" i="13"/>
  <c r="BE20" i="13" s="1"/>
  <c r="BG20" i="13"/>
  <c r="BH20" i="13" s="1"/>
  <c r="BJ20" i="13"/>
  <c r="BK20" i="13" s="1"/>
  <c r="BD21" i="13"/>
  <c r="BE21" i="13" s="1"/>
  <c r="BG21" i="13"/>
  <c r="BH21" i="13" s="1"/>
  <c r="BJ21" i="13"/>
  <c r="BK21" i="13" s="1"/>
  <c r="BD26" i="13"/>
  <c r="BG26" i="13"/>
  <c r="BH26" i="13" s="1"/>
  <c r="BJ26" i="13"/>
  <c r="BK26" i="13" s="1"/>
  <c r="BD28" i="13"/>
  <c r="BE28" i="13" s="1"/>
  <c r="BG28" i="13"/>
  <c r="BH28" i="13" s="1"/>
  <c r="BJ28" i="13"/>
  <c r="BK28" i="13" s="1"/>
  <c r="BD31" i="13"/>
  <c r="BE31" i="13" s="1"/>
  <c r="BG31" i="13"/>
  <c r="BH31" i="13" s="1"/>
  <c r="BJ31" i="13"/>
  <c r="BK31" i="13" s="1"/>
  <c r="BD33" i="13"/>
  <c r="BE33" i="13" s="1"/>
  <c r="BG33" i="13"/>
  <c r="BH33" i="13" s="1"/>
  <c r="BJ33" i="13"/>
  <c r="BK33" i="13" s="1"/>
  <c r="BD13" i="13"/>
  <c r="BE13" i="13" s="1"/>
  <c r="BG13" i="13"/>
  <c r="BH13" i="13" s="1"/>
  <c r="BJ13" i="13"/>
  <c r="BK13" i="13" s="1"/>
  <c r="BD14" i="13"/>
  <c r="BE14" i="13" s="1"/>
  <c r="BG14" i="13"/>
  <c r="BH14" i="13" s="1"/>
  <c r="BJ14" i="13"/>
  <c r="BK14" i="13" s="1"/>
  <c r="BE26" i="13" l="1"/>
  <c r="H199" i="16"/>
  <c r="H78" i="16"/>
  <c r="AG95" i="13"/>
  <c r="AG96" i="13"/>
  <c r="G231" i="13"/>
  <c r="H231" i="13"/>
  <c r="I231" i="13"/>
  <c r="J231" i="13"/>
  <c r="K231" i="13"/>
  <c r="L231" i="13"/>
  <c r="M231" i="13"/>
  <c r="N231" i="13"/>
  <c r="O231" i="13"/>
  <c r="P231" i="13"/>
  <c r="R231" i="13"/>
  <c r="F231" i="13"/>
  <c r="G214" i="13"/>
  <c r="H214" i="13"/>
  <c r="I214" i="13"/>
  <c r="J214" i="13"/>
  <c r="K214" i="13"/>
  <c r="L214" i="13"/>
  <c r="M214" i="13"/>
  <c r="N214" i="13"/>
  <c r="O214" i="13"/>
  <c r="P214" i="13"/>
  <c r="R214" i="13"/>
  <c r="R169" i="13"/>
  <c r="P169" i="13"/>
  <c r="O169" i="13"/>
  <c r="N169" i="13"/>
  <c r="M169" i="13"/>
  <c r="L169" i="13"/>
  <c r="K169" i="13"/>
  <c r="J169" i="13"/>
  <c r="I169" i="13"/>
  <c r="H169" i="13"/>
  <c r="G169" i="13"/>
  <c r="R192" i="13"/>
  <c r="P192" i="13"/>
  <c r="O192" i="13"/>
  <c r="N192" i="13"/>
  <c r="M192" i="13"/>
  <c r="L192" i="13"/>
  <c r="K192" i="13"/>
  <c r="J192" i="13"/>
  <c r="I192" i="13"/>
  <c r="H192" i="13"/>
  <c r="G192" i="13"/>
  <c r="R189" i="13"/>
  <c r="P189" i="13"/>
  <c r="O189" i="13"/>
  <c r="N189" i="13"/>
  <c r="M189" i="13"/>
  <c r="L189" i="13"/>
  <c r="K189" i="13"/>
  <c r="J189" i="13"/>
  <c r="I189" i="13"/>
  <c r="H189" i="13"/>
  <c r="G189" i="13"/>
  <c r="R187" i="13"/>
  <c r="P187" i="13"/>
  <c r="O187" i="13"/>
  <c r="N187" i="13"/>
  <c r="M187" i="13"/>
  <c r="K187" i="13"/>
  <c r="J187" i="13"/>
  <c r="I187" i="13"/>
  <c r="H187" i="13"/>
  <c r="G187" i="13"/>
  <c r="R183" i="13"/>
  <c r="P183" i="13"/>
  <c r="O183" i="13"/>
  <c r="N183" i="13"/>
  <c r="M183" i="13"/>
  <c r="L183" i="13"/>
  <c r="K183" i="13"/>
  <c r="J183" i="13"/>
  <c r="I183" i="13"/>
  <c r="H183" i="13"/>
  <c r="G183" i="13"/>
  <c r="R179" i="13"/>
  <c r="P179" i="13"/>
  <c r="O179" i="13"/>
  <c r="N179" i="13"/>
  <c r="M179" i="13"/>
  <c r="L179" i="13"/>
  <c r="K179" i="13"/>
  <c r="J179" i="13"/>
  <c r="I179" i="13"/>
  <c r="H179" i="13"/>
  <c r="G179" i="13"/>
  <c r="R175" i="13"/>
  <c r="P175" i="13"/>
  <c r="O175" i="13"/>
  <c r="N175" i="13"/>
  <c r="M175" i="13"/>
  <c r="L175" i="13"/>
  <c r="K175" i="13"/>
  <c r="J175" i="13"/>
  <c r="I175" i="13"/>
  <c r="H175" i="13"/>
  <c r="G175" i="13"/>
  <c r="R171" i="13"/>
  <c r="P171" i="13"/>
  <c r="O171" i="13"/>
  <c r="N171" i="13"/>
  <c r="M171" i="13"/>
  <c r="L171" i="13"/>
  <c r="K171" i="13"/>
  <c r="J171" i="13"/>
  <c r="I171" i="13"/>
  <c r="H171" i="13"/>
  <c r="G171" i="13"/>
  <c r="R164" i="13"/>
  <c r="P164" i="13"/>
  <c r="O164" i="13"/>
  <c r="N164" i="13"/>
  <c r="M164" i="13"/>
  <c r="L164" i="13"/>
  <c r="K164" i="13"/>
  <c r="J164" i="13"/>
  <c r="I164" i="13"/>
  <c r="H164" i="13"/>
  <c r="G164" i="13"/>
  <c r="R162" i="13"/>
  <c r="P162" i="13"/>
  <c r="O162" i="13"/>
  <c r="N162" i="13"/>
  <c r="M162" i="13"/>
  <c r="L162" i="13"/>
  <c r="K162" i="13"/>
  <c r="J162" i="13"/>
  <c r="I162" i="13"/>
  <c r="H162" i="13"/>
  <c r="G162" i="13"/>
  <c r="R160" i="13"/>
  <c r="P160" i="13"/>
  <c r="O160" i="13"/>
  <c r="N160" i="13"/>
  <c r="M160" i="13"/>
  <c r="L160" i="13"/>
  <c r="K160" i="13"/>
  <c r="J160" i="13"/>
  <c r="I160" i="13"/>
  <c r="H160" i="13"/>
  <c r="G160" i="13"/>
  <c r="R155" i="13"/>
  <c r="P155" i="13"/>
  <c r="O155" i="13"/>
  <c r="N155" i="13"/>
  <c r="M155" i="13"/>
  <c r="L155" i="13"/>
  <c r="K155" i="13"/>
  <c r="J155" i="13"/>
  <c r="I155" i="13"/>
  <c r="H155" i="13"/>
  <c r="G155" i="13"/>
  <c r="R148" i="13"/>
  <c r="P148" i="13"/>
  <c r="O148" i="13"/>
  <c r="N148" i="13"/>
  <c r="M148" i="13"/>
  <c r="L148" i="13"/>
  <c r="K148" i="13"/>
  <c r="J148" i="13"/>
  <c r="I148" i="13"/>
  <c r="H148" i="13"/>
  <c r="G148" i="13"/>
  <c r="R144" i="13"/>
  <c r="P144" i="13"/>
  <c r="O144" i="13"/>
  <c r="N144" i="13"/>
  <c r="M144" i="13"/>
  <c r="L144" i="13"/>
  <c r="K144" i="13"/>
  <c r="J144" i="13"/>
  <c r="I144" i="13"/>
  <c r="H144" i="13"/>
  <c r="G144" i="13"/>
  <c r="R134" i="13"/>
  <c r="P134" i="13"/>
  <c r="O134" i="13"/>
  <c r="N134" i="13"/>
  <c r="M134" i="13"/>
  <c r="L134" i="13"/>
  <c r="K134" i="13"/>
  <c r="J134" i="13"/>
  <c r="I134" i="13"/>
  <c r="H134" i="13"/>
  <c r="G134" i="13"/>
  <c r="R130" i="13"/>
  <c r="P130" i="13"/>
  <c r="O130" i="13"/>
  <c r="N130" i="13"/>
  <c r="M130" i="13"/>
  <c r="L130" i="13"/>
  <c r="K130" i="13"/>
  <c r="J130" i="13"/>
  <c r="I130" i="13"/>
  <c r="H130" i="13"/>
  <c r="G130" i="13"/>
  <c r="R126" i="13"/>
  <c r="P126" i="13"/>
  <c r="O126" i="13"/>
  <c r="N126" i="13"/>
  <c r="M126" i="13"/>
  <c r="L126" i="13"/>
  <c r="K126" i="13"/>
  <c r="J126" i="13"/>
  <c r="I126" i="13"/>
  <c r="H126" i="13"/>
  <c r="G126" i="13"/>
  <c r="R121" i="13"/>
  <c r="P121" i="13"/>
  <c r="O121" i="13"/>
  <c r="N121" i="13"/>
  <c r="M121" i="13"/>
  <c r="L121" i="13"/>
  <c r="K121" i="13"/>
  <c r="J121" i="13"/>
  <c r="I121" i="13"/>
  <c r="H121" i="13"/>
  <c r="G121" i="13"/>
  <c r="R117" i="13"/>
  <c r="P117" i="13"/>
  <c r="O117" i="13"/>
  <c r="N117" i="13"/>
  <c r="M117" i="13"/>
  <c r="L117" i="13"/>
  <c r="K117" i="13"/>
  <c r="J117" i="13"/>
  <c r="I117" i="13"/>
  <c r="H117" i="13"/>
  <c r="G117" i="13"/>
  <c r="R115" i="13"/>
  <c r="P115" i="13"/>
  <c r="O115" i="13"/>
  <c r="N115" i="13"/>
  <c r="M115" i="13"/>
  <c r="L115" i="13"/>
  <c r="K115" i="13"/>
  <c r="J115" i="13"/>
  <c r="I115" i="13"/>
  <c r="H115" i="13"/>
  <c r="G115" i="13"/>
  <c r="R113" i="13"/>
  <c r="P113" i="13"/>
  <c r="O113" i="13"/>
  <c r="N113" i="13"/>
  <c r="M113" i="13"/>
  <c r="L113" i="13"/>
  <c r="K113" i="13"/>
  <c r="J113" i="13"/>
  <c r="I113" i="13"/>
  <c r="H113" i="13"/>
  <c r="G113" i="13"/>
  <c r="R103" i="13"/>
  <c r="P103" i="13"/>
  <c r="O103" i="13"/>
  <c r="N103" i="13"/>
  <c r="M103" i="13"/>
  <c r="L103" i="13"/>
  <c r="K103" i="13"/>
  <c r="J103" i="13"/>
  <c r="I103" i="13"/>
  <c r="H103" i="13"/>
  <c r="G103" i="13"/>
  <c r="R100" i="13"/>
  <c r="P100" i="13"/>
  <c r="O100" i="13"/>
  <c r="N100" i="13"/>
  <c r="M100" i="13"/>
  <c r="L100" i="13"/>
  <c r="K100" i="13"/>
  <c r="J100" i="13"/>
  <c r="I100" i="13"/>
  <c r="H100" i="13"/>
  <c r="G100" i="13"/>
  <c r="R93" i="13"/>
  <c r="P93" i="13"/>
  <c r="O93" i="13"/>
  <c r="N93" i="13"/>
  <c r="M93" i="13"/>
  <c r="L93" i="13"/>
  <c r="K93" i="13"/>
  <c r="J93" i="13"/>
  <c r="I93" i="13"/>
  <c r="H93" i="13"/>
  <c r="G93" i="13"/>
  <c r="H83" i="13"/>
  <c r="P90" i="13"/>
  <c r="O90" i="13"/>
  <c r="N90" i="13"/>
  <c r="M90" i="13"/>
  <c r="L90" i="13"/>
  <c r="K90" i="13"/>
  <c r="J90" i="13"/>
  <c r="I90" i="13"/>
  <c r="H90" i="13"/>
  <c r="G90" i="13"/>
  <c r="R90" i="13"/>
  <c r="H86" i="13"/>
  <c r="R86" i="13"/>
  <c r="R83" i="13"/>
  <c r="P86" i="13"/>
  <c r="P83" i="13"/>
  <c r="O86" i="13"/>
  <c r="O83" i="13"/>
  <c r="N86" i="13"/>
  <c r="N83" i="13"/>
  <c r="M86" i="13"/>
  <c r="M83" i="13"/>
  <c r="L86" i="13"/>
  <c r="L83" i="13"/>
  <c r="K86" i="13"/>
  <c r="K83" i="13"/>
  <c r="J86" i="13"/>
  <c r="J83" i="13"/>
  <c r="I86" i="13"/>
  <c r="I83" i="13"/>
  <c r="G86" i="13"/>
  <c r="G83" i="13"/>
  <c r="R75" i="13"/>
  <c r="R69" i="13"/>
  <c r="P75" i="13"/>
  <c r="P69" i="13"/>
  <c r="O75" i="13"/>
  <c r="O69" i="13"/>
  <c r="N75" i="13"/>
  <c r="N69" i="13"/>
  <c r="M75" i="13"/>
  <c r="M69" i="13"/>
  <c r="L75" i="13"/>
  <c r="L69" i="13"/>
  <c r="K75" i="13"/>
  <c r="K69" i="13"/>
  <c r="J75" i="13"/>
  <c r="J69" i="13"/>
  <c r="I75" i="13"/>
  <c r="I69" i="13"/>
  <c r="H69" i="13"/>
  <c r="G75" i="13"/>
  <c r="G69" i="13"/>
  <c r="H63" i="13"/>
  <c r="R63" i="13"/>
  <c r="P63" i="13"/>
  <c r="O63" i="13"/>
  <c r="N63" i="13"/>
  <c r="M63" i="13"/>
  <c r="L63" i="13"/>
  <c r="K63" i="13"/>
  <c r="J63" i="13"/>
  <c r="I63" i="13"/>
  <c r="G63" i="13"/>
  <c r="R59" i="13"/>
  <c r="R56" i="13"/>
  <c r="P59" i="13"/>
  <c r="P56" i="13"/>
  <c r="O59" i="13"/>
  <c r="O56" i="13"/>
  <c r="L59" i="13"/>
  <c r="L56" i="13"/>
  <c r="K59" i="13"/>
  <c r="K56" i="13"/>
  <c r="J59" i="13"/>
  <c r="J56" i="13"/>
  <c r="I59" i="13"/>
  <c r="I56" i="13"/>
  <c r="G59" i="13"/>
  <c r="G56" i="13"/>
  <c r="K51" i="13"/>
  <c r="K46" i="13"/>
  <c r="R51" i="13"/>
  <c r="R46" i="13"/>
  <c r="R39" i="13"/>
  <c r="P51" i="13"/>
  <c r="P46" i="13"/>
  <c r="P39" i="13"/>
  <c r="O51" i="13"/>
  <c r="O46" i="13"/>
  <c r="O39" i="13"/>
  <c r="N51" i="13"/>
  <c r="N46" i="13"/>
  <c r="N39" i="13"/>
  <c r="M51" i="13"/>
  <c r="M46" i="13"/>
  <c r="M39" i="13"/>
  <c r="L51" i="13"/>
  <c r="L46" i="13"/>
  <c r="L39" i="13"/>
  <c r="J51" i="13"/>
  <c r="J46" i="13"/>
  <c r="J39" i="13"/>
  <c r="I51" i="13"/>
  <c r="I46" i="13"/>
  <c r="I39" i="13"/>
  <c r="H51" i="13"/>
  <c r="H46" i="13"/>
  <c r="H39" i="13"/>
  <c r="G51" i="13"/>
  <c r="G46" i="13"/>
  <c r="G39" i="13"/>
  <c r="B202" i="13"/>
  <c r="Z202" i="13" s="1"/>
  <c r="B203" i="13"/>
  <c r="Z203" i="13" s="1"/>
  <c r="J123" i="13" l="1"/>
  <c r="M66" i="13"/>
  <c r="K110" i="13"/>
  <c r="J152" i="13"/>
  <c r="J110" i="13"/>
  <c r="H123" i="13"/>
  <c r="N166" i="13"/>
  <c r="J66" i="13"/>
  <c r="O66" i="13"/>
  <c r="M97" i="13"/>
  <c r="M110" i="13"/>
  <c r="O110" i="13"/>
  <c r="R110" i="13"/>
  <c r="N66" i="13"/>
  <c r="I123" i="13"/>
  <c r="H66" i="13"/>
  <c r="R97" i="13"/>
  <c r="L110" i="13"/>
  <c r="I166" i="13"/>
  <c r="G66" i="13"/>
  <c r="P66" i="13"/>
  <c r="N110" i="13"/>
  <c r="J166" i="13"/>
  <c r="O123" i="13"/>
  <c r="P110" i="13"/>
  <c r="R66" i="13"/>
  <c r="G110" i="13"/>
  <c r="J97" i="13"/>
  <c r="I66" i="13"/>
  <c r="R166" i="13"/>
  <c r="G97" i="13"/>
  <c r="I97" i="13"/>
  <c r="O97" i="13"/>
  <c r="M197" i="13"/>
  <c r="P97" i="13"/>
  <c r="P123" i="13"/>
  <c r="K66" i="13"/>
  <c r="H110" i="13"/>
  <c r="R123" i="13"/>
  <c r="H152" i="13"/>
  <c r="M166" i="13"/>
  <c r="K97" i="13"/>
  <c r="I110" i="13"/>
  <c r="L97" i="13"/>
  <c r="K152" i="13"/>
  <c r="L152" i="13"/>
  <c r="O166" i="13"/>
  <c r="M123" i="13"/>
  <c r="P166" i="13"/>
  <c r="L66" i="13"/>
  <c r="H166" i="13"/>
  <c r="H97" i="13"/>
  <c r="N97" i="13"/>
  <c r="I152" i="13"/>
  <c r="G123" i="13"/>
  <c r="G166" i="13"/>
  <c r="L197" i="13"/>
  <c r="I197" i="13"/>
  <c r="K123" i="13"/>
  <c r="K166" i="13"/>
  <c r="N197" i="13"/>
  <c r="J197" i="13"/>
  <c r="L123" i="13"/>
  <c r="N123" i="13"/>
  <c r="L166" i="13"/>
  <c r="O197" i="13"/>
  <c r="K197" i="13"/>
  <c r="R197" i="13"/>
  <c r="P197" i="13"/>
  <c r="M152" i="13"/>
  <c r="N152" i="13"/>
  <c r="O152" i="13"/>
  <c r="P152" i="13"/>
  <c r="R152" i="13"/>
  <c r="G152" i="13"/>
  <c r="AE95" i="13"/>
  <c r="AF95" i="13"/>
  <c r="AE96" i="13"/>
  <c r="AF96" i="13"/>
  <c r="H197" i="13"/>
  <c r="G197" i="13"/>
  <c r="F214" i="13" l="1"/>
  <c r="F189" i="13"/>
  <c r="F187" i="13"/>
  <c r="F192" i="13"/>
  <c r="F183" i="13"/>
  <c r="F179" i="13"/>
  <c r="F175" i="13"/>
  <c r="F169" i="13"/>
  <c r="F171" i="13"/>
  <c r="F164" i="13"/>
  <c r="F162" i="13"/>
  <c r="F160" i="13"/>
  <c r="F155" i="13"/>
  <c r="F148" i="13"/>
  <c r="F144" i="13"/>
  <c r="F134" i="13"/>
  <c r="F130" i="13"/>
  <c r="F126" i="13"/>
  <c r="F121" i="13"/>
  <c r="F117" i="13"/>
  <c r="F115" i="13"/>
  <c r="F113" i="13"/>
  <c r="F103" i="13"/>
  <c r="F100" i="13"/>
  <c r="F93" i="13"/>
  <c r="F90" i="13"/>
  <c r="F86" i="13"/>
  <c r="F83" i="13"/>
  <c r="F75" i="13"/>
  <c r="F69" i="13"/>
  <c r="F63" i="13"/>
  <c r="F59" i="13"/>
  <c r="F56" i="13"/>
  <c r="F51" i="13"/>
  <c r="F46" i="13"/>
  <c r="F39" i="13"/>
  <c r="F97" i="13" l="1"/>
  <c r="F197" i="13"/>
  <c r="F166" i="13"/>
  <c r="F152" i="13"/>
  <c r="F123" i="13"/>
  <c r="F110" i="13"/>
  <c r="F66" i="13"/>
  <c r="G16" i="13"/>
  <c r="H16" i="13"/>
  <c r="I16" i="13"/>
  <c r="J16" i="13"/>
  <c r="K16" i="13"/>
  <c r="L16" i="13"/>
  <c r="M16" i="13"/>
  <c r="N16" i="13"/>
  <c r="O16" i="13"/>
  <c r="P16" i="13"/>
  <c r="R16" i="13"/>
  <c r="G19" i="13"/>
  <c r="H19" i="13"/>
  <c r="I19" i="13"/>
  <c r="J19" i="13"/>
  <c r="K19" i="13"/>
  <c r="L19" i="13"/>
  <c r="M19" i="13"/>
  <c r="N19" i="13"/>
  <c r="O19" i="13"/>
  <c r="P19" i="13"/>
  <c r="R19" i="13"/>
  <c r="G26" i="13"/>
  <c r="H26" i="13"/>
  <c r="I26" i="13"/>
  <c r="J26" i="13"/>
  <c r="K26" i="13"/>
  <c r="L26" i="13"/>
  <c r="M26" i="13"/>
  <c r="N26" i="13"/>
  <c r="O26" i="13"/>
  <c r="P26" i="13"/>
  <c r="R26" i="13"/>
  <c r="G30" i="13"/>
  <c r="H30" i="13"/>
  <c r="I30" i="13"/>
  <c r="J30" i="13"/>
  <c r="K30" i="13"/>
  <c r="L30" i="13"/>
  <c r="M30" i="13"/>
  <c r="N30" i="13"/>
  <c r="O30" i="13"/>
  <c r="P30" i="13"/>
  <c r="R30" i="13"/>
  <c r="G10" i="13"/>
  <c r="H10" i="13"/>
  <c r="I10" i="13"/>
  <c r="J10" i="13"/>
  <c r="K10" i="13"/>
  <c r="L10" i="13"/>
  <c r="M10" i="13"/>
  <c r="N10" i="13"/>
  <c r="O10" i="13"/>
  <c r="P10" i="13"/>
  <c r="R10" i="13"/>
  <c r="F30" i="13"/>
  <c r="F26" i="13"/>
  <c r="F19" i="13"/>
  <c r="F16" i="13"/>
  <c r="F10" i="13"/>
  <c r="F36" i="13" s="1"/>
  <c r="N36" i="13" l="1"/>
  <c r="J36" i="13"/>
  <c r="R36" i="13"/>
  <c r="G36" i="13"/>
  <c r="M36" i="13"/>
  <c r="H36" i="13"/>
  <c r="L36" i="13"/>
  <c r="I36" i="13"/>
  <c r="P36" i="13"/>
  <c r="O36" i="13"/>
  <c r="K36" i="13"/>
  <c r="B218" i="13"/>
  <c r="Z218" i="13" s="1"/>
  <c r="B219" i="13"/>
  <c r="Z219" i="13" s="1"/>
  <c r="B220" i="13"/>
  <c r="Z220" i="13" s="1"/>
  <c r="B221" i="13"/>
  <c r="Z221" i="13" s="1"/>
  <c r="B222" i="13"/>
  <c r="Z222" i="13" s="1"/>
  <c r="B223" i="13"/>
  <c r="Z223" i="13" s="1"/>
  <c r="B224" i="13"/>
  <c r="Z224" i="13" s="1"/>
  <c r="B225" i="13"/>
  <c r="Z225" i="13" s="1"/>
  <c r="B226" i="13"/>
  <c r="Z226" i="13" s="1"/>
  <c r="B227" i="13"/>
  <c r="Z227" i="13" s="1"/>
  <c r="B228" i="13"/>
  <c r="Z228" i="13" s="1"/>
  <c r="B229" i="13"/>
  <c r="Z229" i="13" s="1"/>
  <c r="B230" i="13"/>
  <c r="Z230" i="13" s="1"/>
  <c r="B217" i="13"/>
  <c r="Z217" i="13" s="1"/>
  <c r="E227" i="13"/>
  <c r="E228" i="13"/>
  <c r="E229" i="13"/>
  <c r="E230" i="13"/>
  <c r="B211" i="13"/>
  <c r="B208" i="13"/>
  <c r="B204" i="13"/>
  <c r="B200" i="13"/>
  <c r="B192" i="13"/>
  <c r="B189" i="13"/>
  <c r="B187" i="13"/>
  <c r="B183" i="13"/>
  <c r="B179" i="13"/>
  <c r="B175" i="13"/>
  <c r="B171" i="13"/>
  <c r="B169" i="13"/>
  <c r="B164" i="13"/>
  <c r="B162" i="13"/>
  <c r="B160" i="13"/>
  <c r="B155" i="13"/>
  <c r="B148" i="13"/>
  <c r="B144" i="13"/>
  <c r="B138" i="13"/>
  <c r="B134" i="13"/>
  <c r="B130" i="13"/>
  <c r="B126" i="13"/>
  <c r="B121" i="13"/>
  <c r="B117" i="13"/>
  <c r="B115" i="13"/>
  <c r="B113" i="13"/>
  <c r="B103" i="13"/>
  <c r="B100" i="13"/>
  <c r="B93" i="13"/>
  <c r="B90" i="13"/>
  <c r="B86" i="13"/>
  <c r="B83" i="13"/>
  <c r="B79" i="13"/>
  <c r="B75" i="13"/>
  <c r="B69" i="13"/>
  <c r="B63" i="13"/>
  <c r="B59" i="13"/>
  <c r="B56" i="13"/>
  <c r="B51" i="13"/>
  <c r="B46" i="13"/>
  <c r="B39" i="13"/>
  <c r="B30" i="13"/>
  <c r="B26" i="13"/>
  <c r="B19" i="13"/>
  <c r="B16" i="13"/>
  <c r="B10" i="13"/>
  <c r="B212" i="13"/>
  <c r="Z212" i="13" s="1"/>
  <c r="B213" i="13"/>
  <c r="Z213" i="13" s="1"/>
  <c r="B209" i="13"/>
  <c r="Z209" i="13" s="1"/>
  <c r="W209" i="13" s="1"/>
  <c r="B210" i="13"/>
  <c r="Z210" i="13" s="1"/>
  <c r="B205" i="13"/>
  <c r="Z205" i="13" s="1"/>
  <c r="W205" i="13" s="1"/>
  <c r="B206" i="13"/>
  <c r="Z206" i="13" s="1"/>
  <c r="W206" i="13" s="1"/>
  <c r="B201" i="13"/>
  <c r="Z201" i="13" s="1"/>
  <c r="B194" i="13"/>
  <c r="Z194" i="13" s="1"/>
  <c r="B196" i="13"/>
  <c r="Z196" i="13" s="1"/>
  <c r="B191" i="13"/>
  <c r="Z191" i="13" s="1"/>
  <c r="Z189" i="13" s="1"/>
  <c r="B188" i="13"/>
  <c r="Z188" i="13" s="1"/>
  <c r="Z187" i="13" s="1"/>
  <c r="B185" i="13"/>
  <c r="Z185" i="13" s="1"/>
  <c r="B186" i="13"/>
  <c r="Z186" i="13" s="1"/>
  <c r="B181" i="13"/>
  <c r="Z181" i="13" s="1"/>
  <c r="B182" i="13"/>
  <c r="Z182" i="13" s="1"/>
  <c r="B177" i="13"/>
  <c r="Z177" i="13" s="1"/>
  <c r="B178" i="13"/>
  <c r="Z178" i="13" s="1"/>
  <c r="B173" i="13"/>
  <c r="Z173" i="13" s="1"/>
  <c r="B174" i="13"/>
  <c r="Z174" i="13" s="1"/>
  <c r="B170" i="13"/>
  <c r="Z170" i="13" s="1"/>
  <c r="Z169" i="13" s="1"/>
  <c r="B165" i="13"/>
  <c r="Z165" i="13" s="1"/>
  <c r="Z164" i="13" s="1"/>
  <c r="B163" i="13"/>
  <c r="Z163" i="13" s="1"/>
  <c r="Z162" i="13" s="1"/>
  <c r="B161" i="13"/>
  <c r="Z161" i="13" s="1"/>
  <c r="Z160" i="13" s="1"/>
  <c r="B156" i="13"/>
  <c r="Z156" i="13" s="1"/>
  <c r="B157" i="13"/>
  <c r="Z157" i="13" s="1"/>
  <c r="B158" i="13"/>
  <c r="Z158" i="13" s="1"/>
  <c r="B149" i="13"/>
  <c r="Z149" i="13" s="1"/>
  <c r="B150" i="13"/>
  <c r="Z150" i="13" s="1"/>
  <c r="B151" i="13"/>
  <c r="Z151" i="13" s="1"/>
  <c r="B145" i="13"/>
  <c r="Z145" i="13" s="1"/>
  <c r="B146" i="13"/>
  <c r="Z146" i="13" s="1"/>
  <c r="B147" i="13"/>
  <c r="Z147" i="13" s="1"/>
  <c r="B140" i="13"/>
  <c r="Z140" i="13" s="1"/>
  <c r="B141" i="13"/>
  <c r="Z141" i="13" s="1"/>
  <c r="B142" i="13"/>
  <c r="Z142" i="13" s="1"/>
  <c r="B136" i="13"/>
  <c r="Z136" i="13" s="1"/>
  <c r="B137" i="13"/>
  <c r="Z137" i="13" s="1"/>
  <c r="B132" i="13"/>
  <c r="Z132" i="13" s="1"/>
  <c r="B133" i="13"/>
  <c r="Z133" i="13" s="1"/>
  <c r="B128" i="13"/>
  <c r="Z128" i="13" s="1"/>
  <c r="B129" i="13"/>
  <c r="Z129" i="13" s="1"/>
  <c r="B122" i="13"/>
  <c r="Z122" i="13" s="1"/>
  <c r="Z121" i="13" s="1"/>
  <c r="B118" i="13"/>
  <c r="Z118" i="13" s="1"/>
  <c r="B119" i="13"/>
  <c r="Z119" i="13" s="1"/>
  <c r="B120" i="13"/>
  <c r="Z120" i="13" s="1"/>
  <c r="B116" i="13"/>
  <c r="Z116" i="13" s="1"/>
  <c r="Z115" i="13" s="1"/>
  <c r="B114" i="13"/>
  <c r="Z114" i="13" s="1"/>
  <c r="Z113" i="13" s="1"/>
  <c r="B105" i="13"/>
  <c r="Z105" i="13" s="1"/>
  <c r="B101" i="13"/>
  <c r="Z101" i="13" s="1"/>
  <c r="B102" i="13"/>
  <c r="Z102" i="13" s="1"/>
  <c r="B94" i="13"/>
  <c r="Z94" i="13" s="1"/>
  <c r="Z93" i="13" s="1"/>
  <c r="B91" i="13"/>
  <c r="Z91" i="13" s="1"/>
  <c r="B92" i="13"/>
  <c r="Z92" i="13" s="1"/>
  <c r="B87" i="13"/>
  <c r="Z87" i="13" s="1"/>
  <c r="B89" i="13"/>
  <c r="Z89" i="13" s="1"/>
  <c r="B84" i="13"/>
  <c r="Z84" i="13" s="1"/>
  <c r="B85" i="13"/>
  <c r="Z85" i="13" s="1"/>
  <c r="B80" i="13"/>
  <c r="Z80" i="13" s="1"/>
  <c r="W80" i="13" s="1"/>
  <c r="W81" i="13" s="1"/>
  <c r="B81" i="13"/>
  <c r="Z81" i="13" s="1"/>
  <c r="B76" i="13"/>
  <c r="Z76" i="13" s="1"/>
  <c r="B77" i="13"/>
  <c r="Z77" i="13" s="1"/>
  <c r="B78" i="13"/>
  <c r="Z78" i="13" s="1"/>
  <c r="B70" i="13"/>
  <c r="Z70" i="13" s="1"/>
  <c r="B71" i="13"/>
  <c r="Z71" i="13" s="1"/>
  <c r="B72" i="13"/>
  <c r="Z72" i="13" s="1"/>
  <c r="B73" i="13"/>
  <c r="Z73" i="13" s="1"/>
  <c r="B74" i="13"/>
  <c r="Z74" i="13" s="1"/>
  <c r="B64" i="13"/>
  <c r="Z64" i="13" s="1"/>
  <c r="Z63" i="13" s="1"/>
  <c r="B60" i="13"/>
  <c r="Z60" i="13" s="1"/>
  <c r="B61" i="13"/>
  <c r="Z61" i="13" s="1"/>
  <c r="B58" i="13"/>
  <c r="Z58" i="13" s="1"/>
  <c r="Z56" i="13" s="1"/>
  <c r="B52" i="13"/>
  <c r="Z52" i="13" s="1"/>
  <c r="B53" i="13"/>
  <c r="Z53" i="13" s="1"/>
  <c r="B54" i="13"/>
  <c r="Z54" i="13" s="1"/>
  <c r="B48" i="13"/>
  <c r="Z48" i="13" s="1"/>
  <c r="B49" i="13"/>
  <c r="Z49" i="13" s="1"/>
  <c r="B50" i="13"/>
  <c r="Z50" i="13" s="1"/>
  <c r="B41" i="13"/>
  <c r="Z41" i="13" s="1"/>
  <c r="B42" i="13"/>
  <c r="Z42" i="13" s="1"/>
  <c r="B43" i="13"/>
  <c r="Z43" i="13" s="1"/>
  <c r="B44" i="13"/>
  <c r="Z44" i="13" s="1"/>
  <c r="B45" i="13"/>
  <c r="Z45" i="13" s="1"/>
  <c r="B31" i="13"/>
  <c r="Z31" i="13" s="1"/>
  <c r="B32" i="13"/>
  <c r="Z32" i="13" s="1"/>
  <c r="B33" i="13"/>
  <c r="Z33" i="13" s="1"/>
  <c r="B27" i="13"/>
  <c r="Z27" i="13" s="1"/>
  <c r="B28" i="13"/>
  <c r="Z28" i="13" s="1"/>
  <c r="B29" i="13"/>
  <c r="Z29" i="13" s="1"/>
  <c r="B20" i="13"/>
  <c r="Z20" i="13" s="1"/>
  <c r="B21" i="13"/>
  <c r="Z21" i="13" s="1"/>
  <c r="B22" i="13"/>
  <c r="Z22" i="13" s="1"/>
  <c r="B25" i="13"/>
  <c r="Z25" i="13" s="1"/>
  <c r="B17" i="13"/>
  <c r="Z17" i="13" s="1"/>
  <c r="B18" i="13"/>
  <c r="Z18" i="13" s="1"/>
  <c r="B11" i="13"/>
  <c r="B12" i="13"/>
  <c r="Z12" i="13" s="1"/>
  <c r="B13" i="13"/>
  <c r="B14" i="13"/>
  <c r="Z14" i="13" s="1"/>
  <c r="B15" i="13"/>
  <c r="Z15" i="13" s="1"/>
  <c r="O14" i="5" l="1"/>
  <c r="V14" i="5"/>
  <c r="I14" i="5"/>
  <c r="H14" i="5"/>
  <c r="P14" i="5"/>
  <c r="E14" i="5"/>
  <c r="W14" i="5"/>
  <c r="E73" i="5"/>
  <c r="E173" i="5"/>
  <c r="J60" i="11"/>
  <c r="J73" i="11"/>
  <c r="E26" i="5"/>
  <c r="E35" i="5"/>
  <c r="E48" i="5"/>
  <c r="E76" i="5"/>
  <c r="H101" i="5"/>
  <c r="I108" i="5"/>
  <c r="E132" i="5"/>
  <c r="O133" i="5"/>
  <c r="E142" i="5"/>
  <c r="H152" i="5"/>
  <c r="O155" i="5"/>
  <c r="E176" i="5"/>
  <c r="V181" i="5"/>
  <c r="E171" i="5"/>
  <c r="E188" i="5"/>
  <c r="E20" i="5"/>
  <c r="E41" i="5"/>
  <c r="O48" i="5"/>
  <c r="E56" i="5"/>
  <c r="E72" i="5"/>
  <c r="E129" i="5"/>
  <c r="E154" i="5"/>
  <c r="E184" i="5"/>
  <c r="E15" i="5"/>
  <c r="E24" i="5"/>
  <c r="E78" i="5"/>
  <c r="E80" i="5"/>
  <c r="E82" i="5"/>
  <c r="O108" i="5"/>
  <c r="H121" i="5"/>
  <c r="E125" i="5"/>
  <c r="E130" i="5"/>
  <c r="E135" i="5"/>
  <c r="I152" i="5"/>
  <c r="V155" i="5"/>
  <c r="O169" i="5"/>
  <c r="O177" i="5"/>
  <c r="E185" i="5"/>
  <c r="E193" i="5"/>
  <c r="E200" i="5"/>
  <c r="E207" i="5"/>
  <c r="E215" i="5"/>
  <c r="E31" i="5"/>
  <c r="H48" i="5"/>
  <c r="E52" i="5"/>
  <c r="E71" i="5"/>
  <c r="E75" i="5"/>
  <c r="E86" i="5"/>
  <c r="E92" i="5"/>
  <c r="V108" i="5"/>
  <c r="E120" i="5"/>
  <c r="E139" i="5"/>
  <c r="P152" i="5"/>
  <c r="E159" i="5"/>
  <c r="E167" i="5"/>
  <c r="V177" i="5"/>
  <c r="E47" i="5"/>
  <c r="O57" i="5"/>
  <c r="E59" i="5"/>
  <c r="E69" i="5"/>
  <c r="W108" i="5"/>
  <c r="E209" i="5"/>
  <c r="E224" i="5"/>
  <c r="E12" i="5"/>
  <c r="E22" i="5"/>
  <c r="E33" i="5"/>
  <c r="H57" i="5"/>
  <c r="E84" i="5"/>
  <c r="E100" i="5"/>
  <c r="O101" i="5"/>
  <c r="E107" i="5"/>
  <c r="P108" i="5"/>
  <c r="O121" i="5"/>
  <c r="E123" i="5"/>
  <c r="V133" i="5"/>
  <c r="E137" i="5"/>
  <c r="E140" i="5"/>
  <c r="O152" i="5"/>
  <c r="E157" i="5"/>
  <c r="E174" i="5"/>
  <c r="E179" i="5"/>
  <c r="E187" i="5"/>
  <c r="E190" i="5"/>
  <c r="E191" i="5"/>
  <c r="E199" i="5"/>
  <c r="E50" i="5"/>
  <c r="E67" i="5"/>
  <c r="E90" i="5"/>
  <c r="E98" i="5"/>
  <c r="E110" i="5"/>
  <c r="V121" i="5"/>
  <c r="E151" i="5"/>
  <c r="V169" i="5"/>
  <c r="E204" i="5"/>
  <c r="E88" i="5"/>
  <c r="V101" i="5"/>
  <c r="H125" i="5"/>
  <c r="V152" i="5"/>
  <c r="H190" i="5"/>
  <c r="H199" i="5"/>
  <c r="E13" i="5"/>
  <c r="E23" i="5"/>
  <c r="E32" i="5"/>
  <c r="O41" i="5"/>
  <c r="O71" i="5"/>
  <c r="E11" i="5"/>
  <c r="E21" i="5"/>
  <c r="H40" i="5"/>
  <c r="V41" i="5"/>
  <c r="E51" i="5"/>
  <c r="E70" i="5"/>
  <c r="P71" i="5"/>
  <c r="E83" i="5"/>
  <c r="E89" i="5"/>
  <c r="E91" i="5"/>
  <c r="E101" i="5"/>
  <c r="E111" i="5"/>
  <c r="E30" i="5"/>
  <c r="E39" i="5"/>
  <c r="O40" i="5"/>
  <c r="E46" i="5"/>
  <c r="E49" i="5"/>
  <c r="E55" i="5"/>
  <c r="E68" i="5"/>
  <c r="V71" i="5"/>
  <c r="E74" i="5"/>
  <c r="E87" i="5"/>
  <c r="E102" i="5"/>
  <c r="E113" i="5"/>
  <c r="E115" i="5"/>
  <c r="E121" i="5"/>
  <c r="E128" i="5"/>
  <c r="H133" i="5"/>
  <c r="E152" i="5"/>
  <c r="E153" i="5"/>
  <c r="E170" i="5"/>
  <c r="O181" i="5"/>
  <c r="E183" i="5"/>
  <c r="E210" i="5"/>
  <c r="E216" i="5"/>
  <c r="E225" i="5"/>
  <c r="E227" i="5"/>
  <c r="E17" i="5"/>
  <c r="E19" i="5"/>
  <c r="E28" i="5"/>
  <c r="V40" i="5"/>
  <c r="E42" i="5"/>
  <c r="E44" i="5"/>
  <c r="E53" i="5"/>
  <c r="E57" i="5"/>
  <c r="E58" i="5"/>
  <c r="E60" i="5"/>
  <c r="E62" i="5"/>
  <c r="W71" i="5"/>
  <c r="E93" i="5"/>
  <c r="H108" i="5"/>
  <c r="E126" i="5"/>
  <c r="E144" i="5"/>
  <c r="E146" i="5"/>
  <c r="H155" i="5"/>
  <c r="E165" i="5"/>
  <c r="E168" i="5"/>
  <c r="H169" i="5"/>
  <c r="H177" i="5"/>
  <c r="E202" i="5"/>
  <c r="E114" i="5"/>
  <c r="E226" i="5"/>
  <c r="E27" i="5"/>
  <c r="E97" i="5"/>
  <c r="H139" i="5"/>
  <c r="V199" i="5"/>
  <c r="E136" i="5"/>
  <c r="E169" i="5"/>
  <c r="E178" i="5"/>
  <c r="E208" i="5"/>
  <c r="V48" i="5"/>
  <c r="O125" i="5"/>
  <c r="O139" i="5"/>
  <c r="H187" i="5"/>
  <c r="E189" i="5"/>
  <c r="E54" i="5"/>
  <c r="E108" i="5"/>
  <c r="V125" i="5"/>
  <c r="V139" i="5"/>
  <c r="E166" i="5"/>
  <c r="E206" i="5"/>
  <c r="O190" i="5"/>
  <c r="E18" i="5"/>
  <c r="E34" i="5"/>
  <c r="E116" i="5"/>
  <c r="E150" i="5"/>
  <c r="E161" i="5"/>
  <c r="E181" i="5"/>
  <c r="O187" i="5"/>
  <c r="O167" i="5"/>
  <c r="E201" i="5"/>
  <c r="E25" i="5"/>
  <c r="E81" i="5"/>
  <c r="E106" i="5"/>
  <c r="E133" i="5"/>
  <c r="E198" i="5"/>
  <c r="E127" i="5"/>
  <c r="V190" i="5"/>
  <c r="H41" i="5"/>
  <c r="E138" i="5"/>
  <c r="E145" i="5"/>
  <c r="W152" i="5"/>
  <c r="E155" i="5"/>
  <c r="H181" i="5"/>
  <c r="E186" i="5"/>
  <c r="V187" i="5"/>
  <c r="E197" i="5"/>
  <c r="E205" i="5"/>
  <c r="O129" i="5"/>
  <c r="V57" i="5"/>
  <c r="E79" i="5"/>
  <c r="E124" i="5"/>
  <c r="E131" i="5"/>
  <c r="E160" i="5"/>
  <c r="E175" i="5"/>
  <c r="E177" i="5"/>
  <c r="E180" i="5"/>
  <c r="E182" i="5"/>
  <c r="E16" i="5"/>
  <c r="E85" i="5"/>
  <c r="E109" i="5"/>
  <c r="E143" i="5"/>
  <c r="H167" i="5"/>
  <c r="E192" i="5"/>
  <c r="E40" i="5"/>
  <c r="E99" i="5"/>
  <c r="O199" i="5"/>
  <c r="E29" i="5"/>
  <c r="E45" i="5"/>
  <c r="E63" i="5"/>
  <c r="H129" i="5"/>
  <c r="E156" i="5"/>
  <c r="E158" i="5"/>
  <c r="V167" i="5"/>
  <c r="E203" i="5"/>
  <c r="H71" i="5"/>
  <c r="E77" i="5"/>
  <c r="E112" i="5"/>
  <c r="E122" i="5"/>
  <c r="E43" i="5"/>
  <c r="E61" i="5"/>
  <c r="I71" i="5"/>
  <c r="V129" i="5"/>
  <c r="E134" i="5"/>
  <c r="E141" i="5"/>
  <c r="E172" i="5"/>
  <c r="I192" i="5"/>
  <c r="W192" i="5"/>
  <c r="P192" i="5"/>
  <c r="I174" i="5"/>
  <c r="W175" i="5"/>
  <c r="W174" i="5"/>
  <c r="I175" i="5"/>
  <c r="P174" i="5"/>
  <c r="P175" i="5"/>
  <c r="P87" i="5"/>
  <c r="W87" i="5"/>
  <c r="I87" i="5"/>
  <c r="I137" i="5"/>
  <c r="P137" i="5"/>
  <c r="W137" i="5"/>
  <c r="P69" i="5"/>
  <c r="W76" i="5"/>
  <c r="P144" i="5"/>
  <c r="I123" i="5"/>
  <c r="W55" i="5"/>
  <c r="I210" i="5"/>
  <c r="P20" i="5"/>
  <c r="I80" i="5"/>
  <c r="P86" i="5"/>
  <c r="W127" i="5"/>
  <c r="P15" i="5"/>
  <c r="P166" i="5"/>
  <c r="W46" i="5"/>
  <c r="W126" i="5"/>
  <c r="P35" i="5"/>
  <c r="P141" i="5"/>
  <c r="I142" i="5"/>
  <c r="I77" i="5"/>
  <c r="P130" i="5"/>
  <c r="P110" i="5"/>
  <c r="I19" i="5"/>
  <c r="W114" i="5"/>
  <c r="P209" i="5"/>
  <c r="I135" i="5"/>
  <c r="W49" i="5"/>
  <c r="P88" i="5"/>
  <c r="P49" i="5"/>
  <c r="I102" i="5"/>
  <c r="W15" i="5"/>
  <c r="W166" i="5"/>
  <c r="P28" i="5"/>
  <c r="P182" i="5"/>
  <c r="W42" i="5"/>
  <c r="W188" i="5"/>
  <c r="P23" i="5"/>
  <c r="P131" i="5"/>
  <c r="I166" i="5"/>
  <c r="I98" i="5"/>
  <c r="W81" i="5"/>
  <c r="I84" i="5"/>
  <c r="I93" i="5"/>
  <c r="W123" i="5"/>
  <c r="I33" i="5"/>
  <c r="I130" i="5"/>
  <c r="W68" i="5"/>
  <c r="P30" i="5"/>
  <c r="P80" i="5"/>
  <c r="I113" i="5"/>
  <c r="W28" i="5"/>
  <c r="W182" i="5"/>
  <c r="P19" i="5"/>
  <c r="P200" i="5"/>
  <c r="W58" i="5"/>
  <c r="W171" i="5"/>
  <c r="P46" i="5"/>
  <c r="P126" i="5"/>
  <c r="I204" i="5"/>
  <c r="I110" i="5"/>
  <c r="I200" i="5"/>
  <c r="W135" i="5"/>
  <c r="I22" i="5"/>
  <c r="I179" i="5"/>
  <c r="W86" i="5"/>
  <c r="P55" i="5"/>
  <c r="I16" i="5"/>
  <c r="I134" i="5"/>
  <c r="W19" i="5"/>
  <c r="W200" i="5"/>
  <c r="P43" i="5"/>
  <c r="P204" i="5"/>
  <c r="W53" i="5"/>
  <c r="W198" i="5"/>
  <c r="P42" i="5"/>
  <c r="P188" i="5"/>
  <c r="I35" i="5"/>
  <c r="I141" i="5"/>
  <c r="W61" i="5"/>
  <c r="W131" i="5"/>
  <c r="W33" i="5"/>
  <c r="W130" i="5"/>
  <c r="I45" i="5"/>
  <c r="I207" i="5"/>
  <c r="W80" i="5"/>
  <c r="P102" i="5"/>
  <c r="I30" i="5"/>
  <c r="I158" i="5"/>
  <c r="W43" i="5"/>
  <c r="W204" i="5"/>
  <c r="P60" i="5"/>
  <c r="P191" i="5"/>
  <c r="W74" i="5"/>
  <c r="W203" i="5"/>
  <c r="P58" i="5"/>
  <c r="P171" i="5"/>
  <c r="I23" i="5"/>
  <c r="I131" i="5"/>
  <c r="I114" i="5"/>
  <c r="I83" i="5"/>
  <c r="W22" i="5"/>
  <c r="W179" i="5"/>
  <c r="I63" i="5"/>
  <c r="W144" i="5"/>
  <c r="W102" i="5"/>
  <c r="P134" i="5"/>
  <c r="I20" i="5"/>
  <c r="I183" i="5"/>
  <c r="W60" i="5"/>
  <c r="I191" i="5"/>
  <c r="P54" i="5"/>
  <c r="P63" i="5"/>
  <c r="W91" i="5"/>
  <c r="I193" i="5"/>
  <c r="P53" i="5"/>
  <c r="P198" i="5"/>
  <c r="I46" i="5"/>
  <c r="I126" i="5"/>
  <c r="W45" i="5"/>
  <c r="W207" i="5"/>
  <c r="I51" i="5"/>
  <c r="W209" i="5"/>
  <c r="W113" i="5"/>
  <c r="P158" i="5"/>
  <c r="I44" i="5"/>
  <c r="I201" i="5"/>
  <c r="W54" i="5"/>
  <c r="P45" i="5"/>
  <c r="P93" i="5"/>
  <c r="I15" i="5"/>
  <c r="W83" i="5"/>
  <c r="P22" i="5"/>
  <c r="P74" i="5"/>
  <c r="P203" i="5"/>
  <c r="I42" i="5"/>
  <c r="I188" i="5"/>
  <c r="I86" i="5"/>
  <c r="W23" i="5"/>
  <c r="W63" i="5"/>
  <c r="I144" i="5"/>
  <c r="I69" i="5"/>
  <c r="W16" i="5"/>
  <c r="W134" i="5"/>
  <c r="P183" i="5"/>
  <c r="I61" i="5"/>
  <c r="I206" i="5"/>
  <c r="W93" i="5"/>
  <c r="P123" i="5"/>
  <c r="P84" i="5"/>
  <c r="I60" i="5"/>
  <c r="W77" i="5"/>
  <c r="P114" i="5"/>
  <c r="P91" i="5"/>
  <c r="P193" i="5"/>
  <c r="I58" i="5"/>
  <c r="I171" i="5"/>
  <c r="W142" i="5"/>
  <c r="W191" i="5"/>
  <c r="W51" i="5"/>
  <c r="I209" i="5"/>
  <c r="I88" i="5"/>
  <c r="W30" i="5"/>
  <c r="W158" i="5"/>
  <c r="P201" i="5"/>
  <c r="I55" i="5"/>
  <c r="W210" i="5"/>
  <c r="W84" i="5"/>
  <c r="P16" i="5"/>
  <c r="P78" i="5"/>
  <c r="I112" i="5"/>
  <c r="W98" i="5"/>
  <c r="I54" i="5"/>
  <c r="P83" i="5"/>
  <c r="P33" i="5"/>
  <c r="I53" i="5"/>
  <c r="I198" i="5"/>
  <c r="P61" i="5"/>
  <c r="P127" i="5"/>
  <c r="W69" i="5"/>
  <c r="P51" i="5"/>
  <c r="I81" i="5"/>
  <c r="W20" i="5"/>
  <c r="W183" i="5"/>
  <c r="P206" i="5"/>
  <c r="I49" i="5"/>
  <c r="P76" i="5"/>
  <c r="W78" i="5"/>
  <c r="P44" i="5"/>
  <c r="P112" i="5"/>
  <c r="I182" i="5"/>
  <c r="W110" i="5"/>
  <c r="I78" i="5"/>
  <c r="P77" i="5"/>
  <c r="P81" i="5"/>
  <c r="I74" i="5"/>
  <c r="I203" i="5"/>
  <c r="W206" i="5"/>
  <c r="P113" i="5"/>
  <c r="W88" i="5"/>
  <c r="P135" i="5"/>
  <c r="I76" i="5"/>
  <c r="W44" i="5"/>
  <c r="W201" i="5"/>
  <c r="P210" i="5"/>
  <c r="I68" i="5"/>
  <c r="P207" i="5"/>
  <c r="W112" i="5"/>
  <c r="P68" i="5"/>
  <c r="P142" i="5"/>
  <c r="W35" i="5"/>
  <c r="W141" i="5"/>
  <c r="I127" i="5"/>
  <c r="P98" i="5"/>
  <c r="I43" i="5"/>
  <c r="I91" i="5"/>
  <c r="W193" i="5"/>
  <c r="P179" i="5"/>
  <c r="I28" i="5"/>
  <c r="J56" i="11"/>
  <c r="J80" i="11"/>
  <c r="J57" i="11"/>
  <c r="J81" i="11"/>
  <c r="J63" i="11"/>
  <c r="J64" i="11"/>
  <c r="J82" i="11"/>
  <c r="J67" i="11"/>
  <c r="J55" i="11"/>
  <c r="J70" i="11"/>
  <c r="J71" i="11"/>
  <c r="J72" i="11"/>
  <c r="J76" i="11"/>
  <c r="J77" i="11"/>
  <c r="Z19" i="13"/>
  <c r="W212" i="13"/>
  <c r="W201" i="13"/>
  <c r="Z83" i="13"/>
  <c r="Z86" i="13"/>
  <c r="Z192" i="13"/>
  <c r="Z144" i="13"/>
  <c r="Z171" i="13"/>
  <c r="Z148" i="13"/>
  <c r="Z175" i="13"/>
  <c r="Z179" i="13"/>
  <c r="Z155" i="13"/>
  <c r="Z183" i="13"/>
  <c r="Z138" i="13"/>
  <c r="Z51" i="13"/>
  <c r="Z75" i="13"/>
  <c r="Z100" i="13"/>
  <c r="Z26" i="13"/>
  <c r="Z117" i="13"/>
  <c r="Z11" i="13"/>
  <c r="Z39" i="13"/>
  <c r="Z46" i="13"/>
  <c r="Z69" i="13"/>
  <c r="Z126" i="13"/>
  <c r="Z13" i="13"/>
  <c r="Z130" i="13"/>
  <c r="Z30" i="13"/>
  <c r="Z103" i="13"/>
  <c r="Z134" i="13"/>
  <c r="Z79" i="13"/>
  <c r="Z16" i="13"/>
  <c r="Z59" i="13"/>
  <c r="AD249" i="5"/>
  <c r="AE249" i="5"/>
  <c r="AF249" i="5"/>
  <c r="E249" i="5"/>
  <c r="E253" i="5"/>
  <c r="W210" i="13" l="1"/>
  <c r="W213" i="13"/>
  <c r="W202" i="13"/>
  <c r="W203" i="13"/>
  <c r="Z10" i="13"/>
  <c r="AF260" i="5"/>
  <c r="AE260" i="5"/>
  <c r="AD260" i="5"/>
  <c r="E260" i="5"/>
  <c r="E259" i="5"/>
  <c r="AF259" i="5"/>
  <c r="AE259" i="5"/>
  <c r="AD259" i="5"/>
  <c r="AF256" i="5"/>
  <c r="AE256" i="5"/>
  <c r="AD256" i="5"/>
  <c r="E256" i="5"/>
  <c r="AF261" i="5"/>
  <c r="AE261" i="5"/>
  <c r="AD261" i="5"/>
  <c r="E261" i="5"/>
  <c r="AF254" i="5"/>
  <c r="AE254" i="5"/>
  <c r="AD254" i="5"/>
  <c r="E254" i="5"/>
  <c r="AF250" i="5"/>
  <c r="AE250" i="5"/>
  <c r="AD250" i="5"/>
  <c r="E250" i="5"/>
  <c r="E248" i="5"/>
  <c r="AF248" i="5"/>
  <c r="AE248" i="5"/>
  <c r="AD248" i="5"/>
  <c r="AF253" i="5"/>
  <c r="AE253" i="5"/>
  <c r="AD253" i="5"/>
  <c r="AF247" i="5"/>
  <c r="AE247" i="5"/>
  <c r="AD247" i="5"/>
  <c r="E247" i="5"/>
  <c r="AF238" i="5"/>
  <c r="AE238" i="5"/>
  <c r="AD238" i="5"/>
  <c r="E238" i="5"/>
  <c r="AF257" i="5"/>
  <c r="AE257" i="5"/>
  <c r="AD257" i="5"/>
  <c r="E257" i="5"/>
  <c r="L11" i="3" l="1"/>
  <c r="K9" i="13" s="1"/>
  <c r="L12" i="3"/>
  <c r="L9" i="13" s="1"/>
  <c r="L13" i="3"/>
  <c r="M9" i="13" s="1"/>
  <c r="L14" i="3"/>
  <c r="N9" i="13" s="1"/>
  <c r="L15" i="3"/>
  <c r="O9" i="13" s="1"/>
  <c r="L16" i="3"/>
  <c r="P9" i="13" s="1"/>
  <c r="L10" i="3"/>
  <c r="L8" i="3"/>
  <c r="L9" i="3"/>
  <c r="L7" i="3"/>
  <c r="L6" i="3"/>
  <c r="L5" i="3"/>
  <c r="V92" i="13" l="1"/>
  <c r="V91" i="13"/>
  <c r="J9" i="13"/>
  <c r="U101" i="13"/>
  <c r="Q9" i="13"/>
  <c r="Q13" i="3"/>
  <c r="O38" i="13"/>
  <c r="O233" i="13"/>
  <c r="O199" i="13"/>
  <c r="O216" i="13"/>
  <c r="O154" i="13"/>
  <c r="O168" i="13"/>
  <c r="O125" i="13"/>
  <c r="O112" i="13"/>
  <c r="O99" i="13"/>
  <c r="O68" i="13"/>
  <c r="M38" i="13"/>
  <c r="M168" i="13"/>
  <c r="M99" i="13"/>
  <c r="M199" i="13"/>
  <c r="M154" i="13"/>
  <c r="M112" i="13"/>
  <c r="M216" i="13"/>
  <c r="M125" i="13"/>
  <c r="M68" i="13"/>
  <c r="M233" i="13"/>
  <c r="J168" i="13"/>
  <c r="J199" i="13"/>
  <c r="J112" i="13"/>
  <c r="J233" i="13"/>
  <c r="J99" i="13"/>
  <c r="J38" i="13"/>
  <c r="J125" i="13"/>
  <c r="J216" i="13"/>
  <c r="J154" i="13"/>
  <c r="J68" i="13"/>
  <c r="P38" i="13"/>
  <c r="P233" i="13"/>
  <c r="P199" i="13"/>
  <c r="P216" i="13"/>
  <c r="P154" i="13"/>
  <c r="P168" i="13"/>
  <c r="P125" i="13"/>
  <c r="P112" i="13"/>
  <c r="P99" i="13"/>
  <c r="P68" i="13"/>
  <c r="N154" i="13"/>
  <c r="N168" i="13"/>
  <c r="N112" i="13"/>
  <c r="N216" i="13"/>
  <c r="N99" i="13"/>
  <c r="N38" i="13"/>
  <c r="N199" i="13"/>
  <c r="N125" i="13"/>
  <c r="N68" i="13"/>
  <c r="N233" i="13"/>
  <c r="L233" i="13"/>
  <c r="L216" i="13"/>
  <c r="L112" i="13"/>
  <c r="L38" i="13"/>
  <c r="L168" i="13"/>
  <c r="L125" i="13"/>
  <c r="L68" i="13"/>
  <c r="L199" i="13"/>
  <c r="L99" i="13"/>
  <c r="L154" i="13"/>
  <c r="K233" i="13"/>
  <c r="K112" i="13"/>
  <c r="K154" i="13"/>
  <c r="K99" i="13"/>
  <c r="K199" i="13"/>
  <c r="K168" i="13"/>
  <c r="K38" i="13"/>
  <c r="K125" i="13"/>
  <c r="K216" i="13"/>
  <c r="K68" i="13"/>
  <c r="P259" i="13"/>
  <c r="O259" i="13"/>
  <c r="M259" i="13"/>
  <c r="L259" i="13"/>
  <c r="N259" i="13"/>
  <c r="K259" i="13"/>
  <c r="J259" i="13"/>
  <c r="V90" i="13" l="1"/>
  <c r="AK4" i="5"/>
  <c r="AJ4" i="5" s="1"/>
  <c r="AS160" i="5" s="1"/>
  <c r="V9" i="23"/>
  <c r="X4" i="23" s="1"/>
  <c r="O274" i="28" s="1"/>
  <c r="Y6" i="13"/>
  <c r="Q68" i="13"/>
  <c r="Q38" i="13"/>
  <c r="Q125" i="13"/>
  <c r="Q233" i="13"/>
  <c r="Q216" i="13"/>
  <c r="Q199" i="13"/>
  <c r="Q168" i="13"/>
  <c r="Q154" i="13"/>
  <c r="Q112" i="13"/>
  <c r="Q99" i="13"/>
  <c r="Y5" i="13"/>
  <c r="BS345" i="13"/>
  <c r="F35" i="11" s="1"/>
  <c r="BS348" i="13"/>
  <c r="F38" i="11" s="1"/>
  <c r="BS344" i="13"/>
  <c r="F34" i="11" s="1"/>
  <c r="BS354" i="13"/>
  <c r="BS350" i="13"/>
  <c r="F40" i="11" s="1"/>
  <c r="BS351" i="13"/>
  <c r="F41" i="11" s="1"/>
  <c r="BS347" i="13"/>
  <c r="F37" i="11" s="1"/>
  <c r="BS352" i="13"/>
  <c r="F42" i="11" s="1"/>
  <c r="BS353" i="13"/>
  <c r="BS346" i="13"/>
  <c r="F36" i="11" s="1"/>
  <c r="BS349" i="13"/>
  <c r="F39" i="11" s="1"/>
  <c r="X225" i="13"/>
  <c r="X226" i="13"/>
  <c r="X227" i="13"/>
  <c r="X228" i="13"/>
  <c r="X229" i="13"/>
  <c r="X189" i="13"/>
  <c r="X192" i="13"/>
  <c r="X175" i="13"/>
  <c r="X138" i="13"/>
  <c r="X144" i="13"/>
  <c r="X148" i="13"/>
  <c r="X130" i="13"/>
  <c r="BW192" i="13"/>
  <c r="BW189" i="13"/>
  <c r="BW148" i="13"/>
  <c r="E220" i="13"/>
  <c r="E217" i="5" s="1"/>
  <c r="E221" i="13"/>
  <c r="E218" i="5" s="1"/>
  <c r="E222" i="13"/>
  <c r="E219" i="5" s="1"/>
  <c r="E223" i="13"/>
  <c r="E220" i="5" s="1"/>
  <c r="E224" i="13"/>
  <c r="E221" i="5" s="1"/>
  <c r="E225" i="13"/>
  <c r="E222" i="5" s="1"/>
  <c r="E226" i="13"/>
  <c r="E223" i="5" s="1"/>
  <c r="AT103" i="5" l="1"/>
  <c r="AT105" i="5"/>
  <c r="AU95" i="5"/>
  <c r="AT115" i="5"/>
  <c r="AX75" i="5"/>
  <c r="AU104" i="5"/>
  <c r="AU92" i="5"/>
  <c r="AU111" i="5"/>
  <c r="AW47" i="5"/>
  <c r="AV75" i="5"/>
  <c r="AT120" i="5"/>
  <c r="AT47" i="5"/>
  <c r="AT79" i="5"/>
  <c r="AS28" i="5"/>
  <c r="AU62" i="5"/>
  <c r="AU28" i="5"/>
  <c r="AS109" i="5"/>
  <c r="AS117" i="5"/>
  <c r="AT65" i="5"/>
  <c r="AT109" i="5"/>
  <c r="AS103" i="5"/>
  <c r="AS119" i="5"/>
  <c r="AU79" i="5"/>
  <c r="AU75" i="5"/>
  <c r="AS120" i="5"/>
  <c r="AU89" i="5"/>
  <c r="AT64" i="5"/>
  <c r="AW75" i="5"/>
  <c r="AT67" i="5"/>
  <c r="AU119" i="5"/>
  <c r="AS37" i="5"/>
  <c r="AT119" i="5"/>
  <c r="AS11" i="5"/>
  <c r="AU21" i="5"/>
  <c r="AU38" i="5"/>
  <c r="AT128" i="5"/>
  <c r="AS67" i="5"/>
  <c r="AS118" i="5"/>
  <c r="AT52" i="5"/>
  <c r="AT38" i="5"/>
  <c r="AT66" i="5"/>
  <c r="AT117" i="5"/>
  <c r="AU64" i="5"/>
  <c r="AU105" i="5"/>
  <c r="AS39" i="5"/>
  <c r="AT37" i="5"/>
  <c r="AT82" i="5"/>
  <c r="AU184" i="5"/>
  <c r="AU148" i="5"/>
  <c r="AS75" i="5"/>
  <c r="AU32" i="5"/>
  <c r="AS111" i="5"/>
  <c r="AU117" i="5"/>
  <c r="AS92" i="5"/>
  <c r="AS148" i="5"/>
  <c r="AS82" i="5"/>
  <c r="AS105" i="5"/>
  <c r="AT32" i="5"/>
  <c r="AU65" i="5"/>
  <c r="AS52" i="5"/>
  <c r="AS100" i="5"/>
  <c r="AT97" i="5"/>
  <c r="AU97" i="5"/>
  <c r="AS66" i="5"/>
  <c r="AU11" i="5"/>
  <c r="AU228" i="5"/>
  <c r="AS64" i="5"/>
  <c r="AT75" i="5"/>
  <c r="AS18" i="5"/>
  <c r="AS32" i="5"/>
  <c r="AU47" i="5"/>
  <c r="AU109" i="5"/>
  <c r="AS62" i="5"/>
  <c r="AS21" i="5"/>
  <c r="AU150" i="5"/>
  <c r="AU96" i="5"/>
  <c r="AU59" i="5"/>
  <c r="AS85" i="5"/>
  <c r="AT106" i="5"/>
  <c r="AT111" i="5"/>
  <c r="AT100" i="5"/>
  <c r="AT56" i="5"/>
  <c r="AT94" i="5"/>
  <c r="AS56" i="5"/>
  <c r="AU37" i="5"/>
  <c r="AT221" i="5"/>
  <c r="AS132" i="5"/>
  <c r="AU66" i="5"/>
  <c r="AS128" i="5"/>
  <c r="AT95" i="5"/>
  <c r="AU103" i="5"/>
  <c r="AU132" i="5"/>
  <c r="AV39" i="5"/>
  <c r="AS115" i="5"/>
  <c r="AU128" i="5"/>
  <c r="AT28" i="5"/>
  <c r="AT219" i="5"/>
  <c r="AT89" i="5"/>
  <c r="AB9" i="5"/>
  <c r="AT96" i="5"/>
  <c r="AV47" i="5"/>
  <c r="AW39" i="5"/>
  <c r="AT85" i="5"/>
  <c r="AS94" i="5"/>
  <c r="AS106" i="5"/>
  <c r="AU120" i="5"/>
  <c r="AS95" i="5"/>
  <c r="AT217" i="5"/>
  <c r="AU52" i="5"/>
  <c r="AU106" i="5"/>
  <c r="AU39" i="5"/>
  <c r="AS96" i="5"/>
  <c r="AT18" i="5"/>
  <c r="AT59" i="5"/>
  <c r="AS97" i="5"/>
  <c r="AU82" i="5"/>
  <c r="AS38" i="5"/>
  <c r="AT184" i="5"/>
  <c r="AT162" i="5"/>
  <c r="AU67" i="5"/>
  <c r="AS89" i="5"/>
  <c r="AS104" i="5"/>
  <c r="AT39" i="5"/>
  <c r="AT11" i="5"/>
  <c r="AU36" i="5"/>
  <c r="AT21" i="5"/>
  <c r="AU100" i="5"/>
  <c r="AS47" i="5"/>
  <c r="AU202" i="5"/>
  <c r="AT156" i="5"/>
  <c r="AT62" i="5"/>
  <c r="AT92" i="5"/>
  <c r="AT168" i="5"/>
  <c r="AS194" i="5"/>
  <c r="AS184" i="5"/>
  <c r="AU162" i="5"/>
  <c r="AS228" i="5"/>
  <c r="AS221" i="5"/>
  <c r="AS217" i="5"/>
  <c r="AU18" i="5"/>
  <c r="AT228" i="5"/>
  <c r="AU196" i="5"/>
  <c r="AS156" i="5"/>
  <c r="AU165" i="5"/>
  <c r="AT215" i="5"/>
  <c r="AU221" i="5"/>
  <c r="AU115" i="5"/>
  <c r="AS163" i="5"/>
  <c r="AT213" i="5"/>
  <c r="AT150" i="5"/>
  <c r="AU215" i="5"/>
  <c r="AT36" i="5"/>
  <c r="AX39" i="5"/>
  <c r="AS211" i="5"/>
  <c r="AU219" i="5"/>
  <c r="AS36" i="5"/>
  <c r="AS165" i="5"/>
  <c r="AU85" i="5"/>
  <c r="AU56" i="5"/>
  <c r="AS79" i="5"/>
  <c r="AT132" i="5"/>
  <c r="AV111" i="5"/>
  <c r="AS205" i="5"/>
  <c r="AU217" i="5"/>
  <c r="AU213" i="5"/>
  <c r="AT147" i="5"/>
  <c r="AT104" i="5"/>
  <c r="AT202" i="5"/>
  <c r="AS196" i="5"/>
  <c r="V614" i="23"/>
  <c r="AU94" i="5"/>
  <c r="AS219" i="5"/>
  <c r="AS65" i="5"/>
  <c r="AU218" i="5"/>
  <c r="AS150" i="5"/>
  <c r="AU216" i="5"/>
  <c r="AS168" i="5"/>
  <c r="AU147" i="5"/>
  <c r="AS212" i="5"/>
  <c r="AU208" i="5"/>
  <c r="AU195" i="5"/>
  <c r="AU176" i="5"/>
  <c r="AT220" i="5"/>
  <c r="AT218" i="5"/>
  <c r="AU180" i="5"/>
  <c r="AU164" i="5"/>
  <c r="AT208" i="5"/>
  <c r="AU194" i="5"/>
  <c r="AS202" i="5"/>
  <c r="AT194" i="5"/>
  <c r="AS162" i="5"/>
  <c r="AS147" i="5"/>
  <c r="AU197" i="5"/>
  <c r="AT195" i="5"/>
  <c r="AT176" i="5"/>
  <c r="AT148" i="5"/>
  <c r="AU214" i="5"/>
  <c r="AS180" i="5"/>
  <c r="AS218" i="5"/>
  <c r="AV197" i="5"/>
  <c r="AS216" i="5"/>
  <c r="AS214" i="5"/>
  <c r="AU211" i="5"/>
  <c r="AT216" i="5"/>
  <c r="AS208" i="5"/>
  <c r="AT212" i="5"/>
  <c r="AT214" i="5"/>
  <c r="AS176" i="5"/>
  <c r="AU163" i="5"/>
  <c r="AT160" i="5"/>
  <c r="AS149" i="5"/>
  <c r="AS59" i="5"/>
  <c r="AS164" i="5"/>
  <c r="AS222" i="5"/>
  <c r="AU212" i="5"/>
  <c r="AT222" i="5"/>
  <c r="AS220" i="5"/>
  <c r="AT211" i="5"/>
  <c r="AT205" i="5"/>
  <c r="AS197" i="5"/>
  <c r="AU156" i="5"/>
  <c r="AT164" i="5"/>
  <c r="AU149" i="5"/>
  <c r="AU160" i="5"/>
  <c r="AU205" i="5"/>
  <c r="AU168" i="5"/>
  <c r="AS215" i="5"/>
  <c r="AT196" i="5"/>
  <c r="AU222" i="5"/>
  <c r="AU118" i="5"/>
  <c r="AT149" i="5"/>
  <c r="AT197" i="5"/>
  <c r="AT163" i="5"/>
  <c r="AS213" i="5"/>
  <c r="AT180" i="5"/>
  <c r="AU220" i="5"/>
  <c r="AT165" i="5"/>
  <c r="AT118" i="5"/>
  <c r="AS195" i="5"/>
  <c r="Y49" i="13"/>
  <c r="Y91" i="13"/>
  <c r="Y94" i="13"/>
  <c r="Y92" i="13"/>
  <c r="X614" i="23"/>
  <c r="X822" i="23"/>
  <c r="W345" i="23"/>
  <c r="V198" i="23"/>
  <c r="W1253" i="23"/>
  <c r="W219" i="23"/>
  <c r="V673" i="23"/>
  <c r="W1280" i="23"/>
  <c r="X250" i="23"/>
  <c r="V1217" i="23"/>
  <c r="W673" i="23"/>
  <c r="W648" i="23"/>
  <c r="V432" i="23"/>
  <c r="W410" i="23"/>
  <c r="X454" i="23"/>
  <c r="W389" i="23"/>
  <c r="V345" i="23"/>
  <c r="W614" i="23"/>
  <c r="X389" i="23"/>
  <c r="X388" i="23"/>
  <c r="X452" i="23"/>
  <c r="X193" i="23"/>
  <c r="W250" i="23"/>
  <c r="V248" i="23"/>
  <c r="V454" i="23"/>
  <c r="X198" i="23"/>
  <c r="V648" i="23"/>
  <c r="X1302" i="23"/>
  <c r="V250" i="23"/>
  <c r="W454" i="23"/>
  <c r="W198" i="23"/>
  <c r="X345" i="23"/>
  <c r="V388" i="23"/>
  <c r="W193" i="23"/>
  <c r="W220" i="23"/>
  <c r="W1217" i="23"/>
  <c r="X432" i="23"/>
  <c r="V389" i="23"/>
  <c r="W1222" i="23"/>
  <c r="V1222" i="23"/>
  <c r="W452" i="23"/>
  <c r="X1217" i="23"/>
  <c r="W388" i="23"/>
  <c r="X431" i="23"/>
  <c r="X248" i="23"/>
  <c r="X390" i="23"/>
  <c r="W431" i="23"/>
  <c r="V1280" i="23"/>
  <c r="W248" i="23"/>
  <c r="V1253" i="23"/>
  <c r="X648" i="23"/>
  <c r="V220" i="23"/>
  <c r="W1302" i="23"/>
  <c r="V452" i="23"/>
  <c r="V410" i="23"/>
  <c r="X1280" i="23"/>
  <c r="X1222" i="23"/>
  <c r="X219" i="23"/>
  <c r="X220" i="23"/>
  <c r="V390" i="23"/>
  <c r="W822" i="23"/>
  <c r="V1302" i="23"/>
  <c r="W390" i="23"/>
  <c r="W432" i="23"/>
  <c r="V193" i="23"/>
  <c r="V431" i="23"/>
  <c r="W522" i="23"/>
  <c r="V522" i="23"/>
  <c r="X410" i="23"/>
  <c r="X1253" i="23"/>
  <c r="X673" i="23"/>
  <c r="V219" i="23"/>
  <c r="V822" i="23"/>
  <c r="X522" i="23"/>
  <c r="Y57" i="23"/>
  <c r="Y18" i="23"/>
  <c r="Y218" i="23"/>
  <c r="Y481" i="23"/>
  <c r="Y991" i="23"/>
  <c r="Y225" i="23"/>
  <c r="Y1011" i="23"/>
  <c r="Y574" i="23"/>
  <c r="Y98" i="23"/>
  <c r="Y477" i="23"/>
  <c r="Y279" i="23"/>
  <c r="Y968" i="23"/>
  <c r="Y548" i="23"/>
  <c r="Y92" i="23"/>
  <c r="Y56" i="23"/>
  <c r="Y221" i="23"/>
  <c r="Y793" i="23"/>
  <c r="Y91" i="23"/>
  <c r="Y909" i="23"/>
  <c r="Y715" i="23"/>
  <c r="Y61" i="23"/>
  <c r="Y96" i="23"/>
  <c r="Y671" i="23"/>
  <c r="Y547" i="23"/>
  <c r="Y141" i="23"/>
  <c r="Y85" i="23"/>
  <c r="Y299" i="23"/>
  <c r="Y1014" i="23"/>
  <c r="Y323" i="23"/>
  <c r="Y165" i="23"/>
  <c r="Y990" i="23"/>
  <c r="Y142" i="23"/>
  <c r="Y1126" i="23"/>
  <c r="Y88" i="23"/>
  <c r="Y224" i="23"/>
  <c r="Y140" i="23"/>
  <c r="Y480" i="23"/>
  <c r="Y191" i="23"/>
  <c r="Y167" i="23"/>
  <c r="Y1016" i="23"/>
  <c r="Y693" i="23"/>
  <c r="Y97" i="23"/>
  <c r="Y189" i="23"/>
  <c r="Y22" i="23"/>
  <c r="Y17" i="23"/>
  <c r="Y1101" i="23"/>
  <c r="Y95" i="23"/>
  <c r="Y21" i="23"/>
  <c r="Y60" i="23"/>
  <c r="Y166" i="23"/>
  <c r="Y300" i="23"/>
  <c r="Y1070" i="23"/>
  <c r="Y944" i="23"/>
  <c r="F44" i="11"/>
  <c r="O5" i="3"/>
  <c r="CE79" i="13"/>
  <c r="Y389" i="23" l="1"/>
  <c r="Y198" i="23"/>
  <c r="AE198" i="23" s="1"/>
  <c r="Y454" i="23"/>
  <c r="AF454" i="23" s="1"/>
  <c r="Y822" i="23"/>
  <c r="AF822" i="23" s="1"/>
  <c r="Y219" i="23"/>
  <c r="AG219" i="23" s="1"/>
  <c r="Y522" i="23"/>
  <c r="AE522" i="23" s="1"/>
  <c r="Y248" i="23"/>
  <c r="AE248" i="23" s="1"/>
  <c r="Y388" i="23"/>
  <c r="AF388" i="23" s="1"/>
  <c r="Y410" i="23"/>
  <c r="AF410" i="23" s="1"/>
  <c r="Y1280" i="23"/>
  <c r="AE1280" i="23" s="1"/>
  <c r="Y614" i="23"/>
  <c r="Y1253" i="23"/>
  <c r="AF1253" i="23" s="1"/>
  <c r="Y452" i="23"/>
  <c r="AE452" i="23" s="1"/>
  <c r="Y673" i="23"/>
  <c r="Y1302" i="23"/>
  <c r="AE1302" i="23" s="1"/>
  <c r="Y648" i="23"/>
  <c r="AE648" i="23" s="1"/>
  <c r="Y193" i="23"/>
  <c r="Y345" i="23"/>
  <c r="AG345" i="23" s="1"/>
  <c r="Y220" i="23"/>
  <c r="AF220" i="23" s="1"/>
  <c r="Y390" i="23"/>
  <c r="AF390" i="23" s="1"/>
  <c r="Y250" i="23"/>
  <c r="CE39" i="13"/>
  <c r="CE211" i="13"/>
  <c r="CE208" i="13"/>
  <c r="CE204" i="13"/>
  <c r="CE200" i="13"/>
  <c r="CE138" i="13"/>
  <c r="CE115" i="13"/>
  <c r="CE117" i="13"/>
  <c r="CE95" i="13"/>
  <c r="CE93" i="13"/>
  <c r="CE83" i="13"/>
  <c r="CE75" i="13"/>
  <c r="CE55" i="13"/>
  <c r="CE51" i="13"/>
  <c r="CE46" i="13"/>
  <c r="CB117" i="13"/>
  <c r="CB75" i="13"/>
  <c r="CB46" i="13"/>
  <c r="CB39" i="13"/>
  <c r="BW218" i="13"/>
  <c r="BW219" i="13"/>
  <c r="BW220" i="13"/>
  <c r="BW221" i="13"/>
  <c r="BW222" i="13"/>
  <c r="BW223" i="13"/>
  <c r="BW224" i="13"/>
  <c r="BW225" i="13"/>
  <c r="BW204" i="13"/>
  <c r="BW207" i="13"/>
  <c r="BW208" i="13"/>
  <c r="BW211" i="13"/>
  <c r="BW171" i="13"/>
  <c r="BW179" i="13"/>
  <c r="BW183" i="13"/>
  <c r="BW187" i="13"/>
  <c r="BW159" i="13"/>
  <c r="BW160" i="13"/>
  <c r="BW164" i="13"/>
  <c r="BW134" i="13"/>
  <c r="BW138" i="13"/>
  <c r="BW144" i="13"/>
  <c r="BW115" i="13"/>
  <c r="BW117" i="13"/>
  <c r="BW121" i="13"/>
  <c r="BW103" i="13"/>
  <c r="BW106" i="13"/>
  <c r="BW107" i="13"/>
  <c r="BW108" i="13"/>
  <c r="BW109" i="13"/>
  <c r="BW155" i="13"/>
  <c r="BW169" i="13"/>
  <c r="BW200" i="13"/>
  <c r="BW217" i="13"/>
  <c r="BW126" i="13"/>
  <c r="BW113" i="13"/>
  <c r="BW100" i="13"/>
  <c r="BW75" i="13"/>
  <c r="BW79" i="13"/>
  <c r="BW82" i="13"/>
  <c r="BW83" i="13"/>
  <c r="BW86" i="13"/>
  <c r="BW90" i="13"/>
  <c r="BW93" i="13"/>
  <c r="BW95" i="13"/>
  <c r="BW96" i="13"/>
  <c r="BW69" i="13"/>
  <c r="BW59" i="13"/>
  <c r="BW62" i="13"/>
  <c r="BW63" i="13"/>
  <c r="BW65" i="13"/>
  <c r="BW56" i="13"/>
  <c r="BW55" i="13"/>
  <c r="BW51" i="13"/>
  <c r="BW46" i="13"/>
  <c r="BW39" i="13"/>
  <c r="BW16" i="13"/>
  <c r="BW19" i="13"/>
  <c r="BW26" i="13"/>
  <c r="BW30" i="13"/>
  <c r="BW10" i="13"/>
  <c r="AG389" i="23" l="1"/>
  <c r="AF389" i="23"/>
  <c r="AF198" i="23"/>
  <c r="AE389" i="23"/>
  <c r="AK389" i="23" s="1"/>
  <c r="AF522" i="23"/>
  <c r="AG198" i="23"/>
  <c r="AK198" i="23"/>
  <c r="AG822" i="23"/>
  <c r="AE219" i="23"/>
  <c r="AK219" i="23" s="1"/>
  <c r="AG522" i="23"/>
  <c r="AK522" i="23"/>
  <c r="AE822" i="23"/>
  <c r="AK822" i="23" s="1"/>
  <c r="AE454" i="23"/>
  <c r="AK454" i="23" s="1"/>
  <c r="AE614" i="23"/>
  <c r="AK614" i="23" s="1"/>
  <c r="AG454" i="23"/>
  <c r="AF219" i="23"/>
  <c r="AF248" i="23"/>
  <c r="AG248" i="23"/>
  <c r="AK248" i="23"/>
  <c r="Y411" i="23"/>
  <c r="AG410" i="23"/>
  <c r="AF452" i="23"/>
  <c r="AE410" i="23"/>
  <c r="AK410" i="23" s="1"/>
  <c r="AG452" i="23"/>
  <c r="AG388" i="23"/>
  <c r="AE388" i="23"/>
  <c r="AK388" i="23"/>
  <c r="AF1280" i="23"/>
  <c r="AG1280" i="23"/>
  <c r="AF614" i="23"/>
  <c r="AG614" i="23"/>
  <c r="AK1280" i="23"/>
  <c r="AG1253" i="23"/>
  <c r="AE1253" i="23"/>
  <c r="AG673" i="23"/>
  <c r="AE193" i="23"/>
  <c r="AK193" i="23" s="1"/>
  <c r="AG193" i="23"/>
  <c r="AE673" i="23"/>
  <c r="AK673" i="23" s="1"/>
  <c r="AF193" i="23"/>
  <c r="AF673" i="23"/>
  <c r="AK452" i="23"/>
  <c r="AF1302" i="23"/>
  <c r="AK648" i="23"/>
  <c r="AG1302" i="23"/>
  <c r="AE345" i="23"/>
  <c r="AK345" i="23" s="1"/>
  <c r="AK1302" i="23"/>
  <c r="AF345" i="23"/>
  <c r="AG648" i="23"/>
  <c r="AF648" i="23"/>
  <c r="AE220" i="23"/>
  <c r="AK220" i="23" s="1"/>
  <c r="AG390" i="23"/>
  <c r="AE390" i="23"/>
  <c r="AK390" i="23" s="1"/>
  <c r="AG220" i="23"/>
  <c r="AG250" i="23"/>
  <c r="AE250" i="23"/>
  <c r="AK250" i="23"/>
  <c r="AF250" i="23"/>
  <c r="E326" i="13"/>
  <c r="BX233" i="13"/>
  <c r="BX216" i="13"/>
  <c r="BX199" i="13"/>
  <c r="BX168" i="13"/>
  <c r="BX154" i="13"/>
  <c r="BX125" i="13"/>
  <c r="BX112" i="13"/>
  <c r="BX99" i="13"/>
  <c r="BX68" i="13"/>
  <c r="BX38" i="13"/>
  <c r="BX9" i="13"/>
  <c r="E294" i="13"/>
  <c r="E295" i="13"/>
  <c r="E296" i="13"/>
  <c r="E297" i="13"/>
  <c r="E298" i="13"/>
  <c r="E299" i="13"/>
  <c r="E300" i="13"/>
  <c r="E301" i="13"/>
  <c r="E302" i="13"/>
  <c r="E303" i="13"/>
  <c r="E304" i="13"/>
  <c r="E305" i="13"/>
  <c r="E306" i="13"/>
  <c r="E307" i="13"/>
  <c r="E308" i="13"/>
  <c r="E309" i="13"/>
  <c r="E310" i="13"/>
  <c r="E311" i="13"/>
  <c r="E312" i="13"/>
  <c r="E313" i="13"/>
  <c r="CA38" i="13" l="1"/>
  <c r="CA68" i="13"/>
  <c r="CA199" i="13"/>
  <c r="BZ68" i="13"/>
  <c r="BZ199" i="13"/>
  <c r="CC236" i="13"/>
  <c r="CC154" i="13"/>
  <c r="CC99" i="13"/>
  <c r="CA252" i="13"/>
  <c r="CA236" i="13"/>
  <c r="CC216" i="13"/>
  <c r="CA154" i="13"/>
  <c r="CC112" i="13"/>
  <c r="CA99" i="13"/>
  <c r="CC252" i="13"/>
  <c r="BZ252" i="13"/>
  <c r="BZ236" i="13"/>
  <c r="CC168" i="13"/>
  <c r="BZ154" i="13"/>
  <c r="BZ99" i="13"/>
  <c r="CC38" i="13"/>
  <c r="BZ125" i="13"/>
  <c r="CC237" i="13"/>
  <c r="CC233" i="13"/>
  <c r="CA216" i="13"/>
  <c r="CA112" i="13"/>
  <c r="BZ216" i="13"/>
  <c r="CC125" i="13"/>
  <c r="CC68" i="13"/>
  <c r="CA237" i="13"/>
  <c r="CA233" i="13"/>
  <c r="CC199" i="13"/>
  <c r="BZ168" i="13"/>
  <c r="BZ38" i="13"/>
  <c r="CA168" i="13"/>
  <c r="BZ112" i="13"/>
  <c r="BZ237" i="13"/>
  <c r="BZ233" i="13"/>
  <c r="CA125" i="13"/>
  <c r="P2" i="12" l="1"/>
  <c r="P2" i="8"/>
  <c r="N2" i="11"/>
  <c r="AU259" i="5" l="1"/>
  <c r="AT256" i="5"/>
  <c r="AS261" i="5"/>
  <c r="AU260" i="5"/>
  <c r="AT259" i="5"/>
  <c r="AS256" i="5"/>
  <c r="AU261" i="5"/>
  <c r="AT260" i="5"/>
  <c r="AS259" i="5"/>
  <c r="AS260" i="5"/>
  <c r="AU256" i="5"/>
  <c r="AT261" i="5"/>
  <c r="AU248" i="5"/>
  <c r="AT248" i="5"/>
  <c r="AS248" i="5"/>
  <c r="AU238" i="5"/>
  <c r="AS238" i="5"/>
  <c r="AT238" i="5"/>
  <c r="AU257" i="5"/>
  <c r="AT257" i="5"/>
  <c r="AS257" i="5"/>
  <c r="AU258" i="5"/>
  <c r="AS258" i="5"/>
  <c r="AT258" i="5"/>
  <c r="BX5" i="13"/>
  <c r="H9" i="13"/>
  <c r="G9" i="13"/>
  <c r="F9" i="13"/>
  <c r="AC5" i="13"/>
  <c r="I9" i="13"/>
  <c r="E6" i="13"/>
  <c r="E258" i="5"/>
  <c r="N6" i="11"/>
  <c r="E58" i="3"/>
  <c r="D3" i="12"/>
  <c r="O93" i="16"/>
  <c r="O94" i="16"/>
  <c r="O95" i="16"/>
  <c r="O96" i="16"/>
  <c r="O97" i="16"/>
  <c r="I27" i="16"/>
  <c r="I41" i="16"/>
  <c r="I57" i="16"/>
  <c r="I66" i="16"/>
  <c r="I73" i="16"/>
  <c r="I84" i="16"/>
  <c r="I92" i="16"/>
  <c r="I15" i="16"/>
  <c r="F2" i="3"/>
  <c r="I16" i="16"/>
  <c r="I28" i="16"/>
  <c r="I42" i="16"/>
  <c r="I50" i="16"/>
  <c r="I51" i="16"/>
  <c r="I58" i="16"/>
  <c r="I67" i="16"/>
  <c r="I74" i="16"/>
  <c r="I85" i="16"/>
  <c r="I93"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60" i="16"/>
  <c r="O61" i="16"/>
  <c r="O63" i="16"/>
  <c r="O64" i="16"/>
  <c r="O65" i="16"/>
  <c r="O66" i="16"/>
  <c r="O67" i="16"/>
  <c r="O68" i="16"/>
  <c r="O69" i="16"/>
  <c r="O70" i="16"/>
  <c r="O71" i="16"/>
  <c r="O72" i="16"/>
  <c r="O73" i="16"/>
  <c r="O74" i="16"/>
  <c r="O75" i="16"/>
  <c r="O77" i="16"/>
  <c r="O78" i="16"/>
  <c r="O79" i="16"/>
  <c r="O82" i="16"/>
  <c r="O83" i="16"/>
  <c r="O84" i="16"/>
  <c r="O85" i="16"/>
  <c r="O86" i="16"/>
  <c r="O87" i="16"/>
  <c r="O88" i="16"/>
  <c r="O89" i="16"/>
  <c r="O90" i="16"/>
  <c r="O91" i="16"/>
  <c r="O92" i="16"/>
  <c r="O6" i="16"/>
  <c r="O8" i="3"/>
  <c r="O9" i="3"/>
  <c r="O10" i="3"/>
  <c r="O11" i="3"/>
  <c r="O12" i="3"/>
  <c r="O13" i="3"/>
  <c r="O6" i="3"/>
  <c r="O7" i="3"/>
  <c r="B44" i="3"/>
  <c r="AX270" i="13"/>
  <c r="AC21" i="11"/>
  <c r="AC22" i="11"/>
  <c r="AC23" i="11"/>
  <c r="AC24" i="11"/>
  <c r="AC25" i="11"/>
  <c r="AC26" i="11"/>
  <c r="AC27" i="11"/>
  <c r="AC28" i="11"/>
  <c r="AC29" i="11"/>
  <c r="AC30" i="11"/>
  <c r="AC34" i="11"/>
  <c r="AB35" i="11"/>
  <c r="AB34" i="11"/>
  <c r="D6" i="11"/>
  <c r="C3" i="12"/>
  <c r="AD258" i="5"/>
  <c r="AE258" i="5"/>
  <c r="AF258" i="5"/>
  <c r="X59" i="13"/>
  <c r="X63" i="13"/>
  <c r="X69" i="13"/>
  <c r="X75" i="13"/>
  <c r="X79" i="13"/>
  <c r="X83" i="13"/>
  <c r="X86" i="13"/>
  <c r="X93" i="13"/>
  <c r="X100" i="13"/>
  <c r="X103" i="13"/>
  <c r="X113" i="13"/>
  <c r="X115" i="13"/>
  <c r="X117" i="13"/>
  <c r="X121" i="13"/>
  <c r="X126" i="13"/>
  <c r="X134" i="13"/>
  <c r="X155" i="13"/>
  <c r="X160" i="13"/>
  <c r="X164" i="13"/>
  <c r="X169" i="13"/>
  <c r="X171" i="13"/>
  <c r="X179" i="13"/>
  <c r="X183" i="13"/>
  <c r="X187" i="13"/>
  <c r="X200" i="13"/>
  <c r="X204" i="13"/>
  <c r="X208" i="13"/>
  <c r="X211" i="13"/>
  <c r="X217" i="13"/>
  <c r="X218" i="13"/>
  <c r="X219" i="13"/>
  <c r="X220" i="13"/>
  <c r="X221" i="13"/>
  <c r="X222" i="13"/>
  <c r="X223" i="13"/>
  <c r="X224" i="13"/>
  <c r="X16" i="13"/>
  <c r="X19" i="13"/>
  <c r="X26" i="13"/>
  <c r="X30" i="13"/>
  <c r="X34" i="13"/>
  <c r="X35" i="13"/>
  <c r="X39" i="13"/>
  <c r="X46" i="13"/>
  <c r="X51" i="13"/>
  <c r="X56" i="13"/>
  <c r="X10" i="13"/>
  <c r="E217" i="13"/>
  <c r="E214" i="5" s="1"/>
  <c r="V306" i="11"/>
  <c r="V303" i="11"/>
  <c r="V302" i="11"/>
  <c r="V301" i="11"/>
  <c r="V300" i="11"/>
  <c r="V299" i="11"/>
  <c r="V304" i="11"/>
  <c r="T306" i="11"/>
  <c r="T305" i="11"/>
  <c r="T304" i="11"/>
  <c r="T303" i="11"/>
  <c r="T302" i="11"/>
  <c r="T301" i="11"/>
  <c r="T300" i="11"/>
  <c r="T299" i="11"/>
  <c r="T298" i="11"/>
  <c r="T297" i="11"/>
  <c r="V297" i="11"/>
  <c r="V305" i="11"/>
  <c r="V298" i="11"/>
  <c r="C58" i="3"/>
  <c r="T257" i="13" l="1"/>
  <c r="AB257" i="13" s="1"/>
  <c r="AK257" i="13" s="1"/>
  <c r="BT257" i="13" s="1"/>
  <c r="T256" i="13"/>
  <c r="AB256" i="13" s="1"/>
  <c r="F14" i="5" s="1"/>
  <c r="F73" i="5"/>
  <c r="BC235" i="13"/>
  <c r="BB235" i="13"/>
  <c r="AY235" i="13"/>
  <c r="BA235" i="13"/>
  <c r="AZ235" i="13"/>
  <c r="T235" i="13"/>
  <c r="AB235" i="13" s="1"/>
  <c r="F41" i="5" s="1"/>
  <c r="BC250" i="13"/>
  <c r="AZ250" i="13"/>
  <c r="AY250" i="13"/>
  <c r="BB250" i="13"/>
  <c r="BA250" i="13"/>
  <c r="T250" i="13"/>
  <c r="T253" i="13"/>
  <c r="AB253" i="13" s="1"/>
  <c r="F71" i="5" s="1"/>
  <c r="AC71" i="5" s="1"/>
  <c r="T254" i="13"/>
  <c r="T255" i="13"/>
  <c r="AB255" i="13" s="1"/>
  <c r="F152" i="5" s="1"/>
  <c r="AC152" i="5" s="1"/>
  <c r="BC72" i="13"/>
  <c r="BB72" i="13"/>
  <c r="T251" i="13"/>
  <c r="AB251" i="13" s="1"/>
  <c r="F155" i="5" s="1"/>
  <c r="AC155" i="5" s="1"/>
  <c r="BC252" i="13"/>
  <c r="BB252" i="13"/>
  <c r="BA252" i="13"/>
  <c r="AZ251" i="13"/>
  <c r="AZ252" i="13"/>
  <c r="AY252" i="13"/>
  <c r="BC251" i="13"/>
  <c r="BB251" i="13"/>
  <c r="BA251" i="13"/>
  <c r="AY251" i="13"/>
  <c r="T40" i="13"/>
  <c r="AA40" i="13" s="1"/>
  <c r="T195" i="13"/>
  <c r="AA195" i="13" s="1"/>
  <c r="BC234" i="13"/>
  <c r="BA234" i="13"/>
  <c r="BB234" i="13"/>
  <c r="AZ234" i="13"/>
  <c r="AY234" i="13"/>
  <c r="BB12" i="13"/>
  <c r="BC12" i="13"/>
  <c r="BB11" i="13"/>
  <c r="BC11" i="13"/>
  <c r="T88" i="13"/>
  <c r="BC246" i="13"/>
  <c r="BB246" i="13"/>
  <c r="BA246" i="13"/>
  <c r="AY246" i="13"/>
  <c r="T246" i="13"/>
  <c r="AB246" i="13" s="1"/>
  <c r="F101" i="5" s="1"/>
  <c r="AC101" i="5" s="1"/>
  <c r="AZ246" i="13"/>
  <c r="BC23" i="13"/>
  <c r="BA23" i="13"/>
  <c r="BB23" i="13"/>
  <c r="T23" i="13"/>
  <c r="AA23" i="13" s="1"/>
  <c r="T24" i="13"/>
  <c r="AA24" i="13" s="1"/>
  <c r="BC249" i="13"/>
  <c r="BB249" i="13"/>
  <c r="BA249" i="13"/>
  <c r="AZ249" i="13"/>
  <c r="AY249" i="13"/>
  <c r="T249" i="13"/>
  <c r="AB249" i="13" s="1"/>
  <c r="F199" i="5" s="1"/>
  <c r="AC199" i="5" s="1"/>
  <c r="T143" i="13"/>
  <c r="AA143" i="13" s="1"/>
  <c r="BC27" i="13"/>
  <c r="BB22" i="13"/>
  <c r="BC25" i="13"/>
  <c r="BB27" i="13"/>
  <c r="BB25" i="13"/>
  <c r="BC22" i="13"/>
  <c r="AY27" i="13"/>
  <c r="BA27" i="13"/>
  <c r="AZ27" i="13"/>
  <c r="BB73" i="13"/>
  <c r="BA29" i="13"/>
  <c r="BC29" i="13"/>
  <c r="BB29" i="13"/>
  <c r="BA22" i="13"/>
  <c r="AZ22" i="13"/>
  <c r="BC73" i="13"/>
  <c r="AY22" i="13"/>
  <c r="T158" i="13"/>
  <c r="AA158" i="13" s="1"/>
  <c r="T185" i="13"/>
  <c r="AA185" i="13" s="1"/>
  <c r="T173" i="13"/>
  <c r="AA173" i="13" s="1"/>
  <c r="T150" i="13"/>
  <c r="AA150" i="13" s="1"/>
  <c r="T137" i="13"/>
  <c r="AA137" i="13" s="1"/>
  <c r="T120" i="13"/>
  <c r="AA120" i="13" s="1"/>
  <c r="T92" i="13"/>
  <c r="T78" i="13"/>
  <c r="T60" i="13"/>
  <c r="U60" i="13" s="1"/>
  <c r="T47" i="13"/>
  <c r="AA47" i="13" s="1"/>
  <c r="T230" i="13"/>
  <c r="AA230" i="13" s="1"/>
  <c r="T77" i="13"/>
  <c r="T46" i="13"/>
  <c r="T213" i="13"/>
  <c r="V213" i="13" s="1"/>
  <c r="T212" i="13"/>
  <c r="V212" i="13" s="1"/>
  <c r="T196" i="13"/>
  <c r="AA196" i="13" s="1"/>
  <c r="T183" i="13"/>
  <c r="AA183" i="13" s="1"/>
  <c r="T148" i="13"/>
  <c r="AA148" i="13" s="1"/>
  <c r="T135" i="13"/>
  <c r="AA135" i="13" s="1"/>
  <c r="T118" i="13"/>
  <c r="T90" i="13"/>
  <c r="T76" i="13"/>
  <c r="T58" i="13"/>
  <c r="T45" i="13"/>
  <c r="AA45" i="13" s="1"/>
  <c r="T181" i="13"/>
  <c r="AA181" i="13" s="1"/>
  <c r="T146" i="13"/>
  <c r="AA146" i="13" s="1"/>
  <c r="T133" i="13"/>
  <c r="AA133" i="13" s="1"/>
  <c r="T87" i="13"/>
  <c r="T56" i="13"/>
  <c r="AA56" i="13" s="1"/>
  <c r="T211" i="13"/>
  <c r="U211" i="13" s="1"/>
  <c r="T194" i="13"/>
  <c r="AA194" i="13" s="1"/>
  <c r="T182" i="13"/>
  <c r="AA182" i="13" s="1"/>
  <c r="T165" i="13"/>
  <c r="Y165" i="13" s="1"/>
  <c r="T147" i="13"/>
  <c r="AA147" i="13" s="1"/>
  <c r="T134" i="13"/>
  <c r="AA134" i="13" s="1"/>
  <c r="T117" i="13"/>
  <c r="AA117" i="13" s="1"/>
  <c r="T89" i="13"/>
  <c r="T74" i="13"/>
  <c r="T57" i="13"/>
  <c r="AA57" i="13" s="1"/>
  <c r="T44" i="13"/>
  <c r="AA44" i="13" s="1"/>
  <c r="T193" i="13"/>
  <c r="AA193" i="13" s="1"/>
  <c r="T164" i="13"/>
  <c r="T116" i="13"/>
  <c r="AA116" i="13" s="1"/>
  <c r="T73" i="13"/>
  <c r="AA73" i="13" s="1"/>
  <c r="T43" i="13"/>
  <c r="AA43" i="13" s="1"/>
  <c r="T210" i="13"/>
  <c r="T209" i="13"/>
  <c r="U209" i="13" s="1"/>
  <c r="AA209" i="13" s="1"/>
  <c r="T192" i="13"/>
  <c r="AA192" i="13" s="1"/>
  <c r="T180" i="13"/>
  <c r="AA180" i="13" s="1"/>
  <c r="T163" i="13"/>
  <c r="AA163" i="13" s="1"/>
  <c r="T145" i="13"/>
  <c r="T132" i="13"/>
  <c r="AA132" i="13" s="1"/>
  <c r="T86" i="13"/>
  <c r="T72" i="13"/>
  <c r="AA72" i="13" s="1"/>
  <c r="T54" i="13"/>
  <c r="U54" i="13" s="1"/>
  <c r="T42" i="13"/>
  <c r="T91" i="13"/>
  <c r="T208" i="13"/>
  <c r="AA208" i="13" s="1"/>
  <c r="T191" i="13"/>
  <c r="AA191" i="13" s="1"/>
  <c r="T179" i="13"/>
  <c r="AA179" i="13" s="1"/>
  <c r="T162" i="13"/>
  <c r="AA162" i="13" s="1"/>
  <c r="T144" i="13"/>
  <c r="T131" i="13"/>
  <c r="AA131" i="13" s="1"/>
  <c r="T105" i="13"/>
  <c r="AA105" i="13" s="1"/>
  <c r="T85" i="13"/>
  <c r="U85" i="13" s="1"/>
  <c r="T71" i="13"/>
  <c r="AA71" i="13" s="1"/>
  <c r="T53" i="13"/>
  <c r="U53" i="13" s="1"/>
  <c r="T136" i="13"/>
  <c r="AA136" i="13" s="1"/>
  <c r="T206" i="13"/>
  <c r="U206" i="13" s="1"/>
  <c r="T190" i="13"/>
  <c r="AA190" i="13" s="1"/>
  <c r="T178" i="13"/>
  <c r="AA178" i="13" s="1"/>
  <c r="T161" i="13"/>
  <c r="AA161" i="13" s="1"/>
  <c r="T142" i="13"/>
  <c r="AA142" i="13" s="1"/>
  <c r="T129" i="13"/>
  <c r="AA129" i="13" s="1"/>
  <c r="T104" i="13"/>
  <c r="AA104" i="13" s="1"/>
  <c r="T84" i="13"/>
  <c r="U84" i="13" s="1"/>
  <c r="T52" i="13"/>
  <c r="U52" i="13" s="1"/>
  <c r="T119" i="13"/>
  <c r="T59" i="13"/>
  <c r="AA59" i="13" s="1"/>
  <c r="T205" i="13"/>
  <c r="U205" i="13" s="1"/>
  <c r="T189" i="13"/>
  <c r="AA189" i="13" s="1"/>
  <c r="T177" i="13"/>
  <c r="AA177" i="13" s="1"/>
  <c r="T160" i="13"/>
  <c r="AA160" i="13" s="1"/>
  <c r="T141" i="13"/>
  <c r="AA141" i="13" s="1"/>
  <c r="T128" i="13"/>
  <c r="AA128" i="13" s="1"/>
  <c r="T102" i="13"/>
  <c r="AA102" i="13" s="1"/>
  <c r="T83" i="13"/>
  <c r="T75" i="13"/>
  <c r="T51" i="13"/>
  <c r="T149" i="13"/>
  <c r="AA149" i="13" s="1"/>
  <c r="T203" i="13"/>
  <c r="T188" i="13"/>
  <c r="AA188" i="13" s="1"/>
  <c r="T176" i="13"/>
  <c r="AA176" i="13" s="1"/>
  <c r="T157" i="13"/>
  <c r="AA157" i="13" s="1"/>
  <c r="T140" i="13"/>
  <c r="AA140" i="13" s="1"/>
  <c r="T81" i="13"/>
  <c r="T64" i="13"/>
  <c r="AA64" i="13" s="1"/>
  <c r="T50" i="13"/>
  <c r="U50" i="13" s="1"/>
  <c r="T172" i="13"/>
  <c r="AA172" i="13" s="1"/>
  <c r="T202" i="13"/>
  <c r="T187" i="13"/>
  <c r="AA187" i="13" s="1"/>
  <c r="T175" i="13"/>
  <c r="AA175" i="13" s="1"/>
  <c r="T139" i="13"/>
  <c r="AA139" i="13" s="1"/>
  <c r="T122" i="13"/>
  <c r="AA122" i="13" s="1"/>
  <c r="T94" i="13"/>
  <c r="U94" i="13" s="1"/>
  <c r="U93" i="13" s="1"/>
  <c r="T80" i="13"/>
  <c r="T63" i="13"/>
  <c r="AA63" i="13" s="1"/>
  <c r="T49" i="13"/>
  <c r="U49" i="13" s="1"/>
  <c r="T184" i="13"/>
  <c r="AA184" i="13" s="1"/>
  <c r="T186" i="13"/>
  <c r="AA186" i="13" s="1"/>
  <c r="T174" i="13"/>
  <c r="AA174" i="13" s="1"/>
  <c r="T151" i="13"/>
  <c r="AA151" i="13" s="1"/>
  <c r="T138" i="13"/>
  <c r="AA138" i="13" s="1"/>
  <c r="T121" i="13"/>
  <c r="AA121" i="13" s="1"/>
  <c r="T93" i="13"/>
  <c r="T79" i="13"/>
  <c r="AA79" i="13" s="1"/>
  <c r="T61" i="13"/>
  <c r="T48" i="13"/>
  <c r="T204" i="13"/>
  <c r="BC230" i="13"/>
  <c r="T13" i="13"/>
  <c r="AA13" i="13" s="1"/>
  <c r="T27" i="13"/>
  <c r="AA27" i="13" s="1"/>
  <c r="T14" i="13"/>
  <c r="AA14" i="13" s="1"/>
  <c r="T28" i="13"/>
  <c r="T15" i="13"/>
  <c r="AA15" i="13" s="1"/>
  <c r="T29" i="13"/>
  <c r="AA29" i="13" s="1"/>
  <c r="T16" i="13"/>
  <c r="AA16" i="13" s="1"/>
  <c r="T30" i="13"/>
  <c r="AA30" i="13" s="1"/>
  <c r="T26" i="13"/>
  <c r="AA26" i="13" s="1"/>
  <c r="T17" i="13"/>
  <c r="AA17" i="13" s="1"/>
  <c r="T31" i="13"/>
  <c r="T18" i="13"/>
  <c r="AA18" i="13" s="1"/>
  <c r="T32" i="13"/>
  <c r="T22" i="13"/>
  <c r="AA22" i="13" s="1"/>
  <c r="T19" i="13"/>
  <c r="AA19" i="13" s="1"/>
  <c r="T33" i="13"/>
  <c r="T12" i="13"/>
  <c r="AA12" i="13" s="1"/>
  <c r="T20" i="13"/>
  <c r="AA20" i="13" s="1"/>
  <c r="T34" i="13"/>
  <c r="AA34" i="13" s="1"/>
  <c r="T21" i="13"/>
  <c r="AA21" i="13" s="1"/>
  <c r="T35" i="13"/>
  <c r="AA35" i="13" s="1"/>
  <c r="T11" i="13"/>
  <c r="AA11" i="13" s="1"/>
  <c r="T25" i="13"/>
  <c r="AA25" i="13" s="1"/>
  <c r="BQ299" i="13"/>
  <c r="AB38" i="11" s="1"/>
  <c r="BC241" i="13"/>
  <c r="BB241" i="13"/>
  <c r="BA241" i="13"/>
  <c r="AY241" i="13"/>
  <c r="AZ241" i="13"/>
  <c r="AY242" i="13"/>
  <c r="BC242" i="13"/>
  <c r="BB242" i="13"/>
  <c r="BA242" i="13"/>
  <c r="AZ242" i="13"/>
  <c r="T233" i="13"/>
  <c r="AZ248" i="13"/>
  <c r="AY248" i="13"/>
  <c r="BA248" i="13"/>
  <c r="BC247" i="13"/>
  <c r="T248" i="13"/>
  <c r="AB248" i="13" s="1"/>
  <c r="F190" i="5" s="1"/>
  <c r="AC190" i="5" s="1"/>
  <c r="BB247" i="13"/>
  <c r="BC245" i="13"/>
  <c r="BB245" i="13"/>
  <c r="BA245" i="13"/>
  <c r="BB248" i="13"/>
  <c r="AZ245" i="13"/>
  <c r="BA247" i="13"/>
  <c r="AZ247" i="13"/>
  <c r="AY247" i="13"/>
  <c r="BC248" i="13"/>
  <c r="AY245" i="13"/>
  <c r="BB243" i="13"/>
  <c r="AZ240" i="13"/>
  <c r="BA243" i="13"/>
  <c r="AY240" i="13"/>
  <c r="AZ243" i="13"/>
  <c r="BC239" i="13"/>
  <c r="AY243" i="13"/>
  <c r="BB239" i="13"/>
  <c r="BA244" i="13"/>
  <c r="BA240" i="13"/>
  <c r="BA239" i="13"/>
  <c r="AZ239" i="13"/>
  <c r="BC244" i="13"/>
  <c r="AY239" i="13"/>
  <c r="BB244" i="13"/>
  <c r="BC243" i="13"/>
  <c r="AZ244" i="13"/>
  <c r="BC240" i="13"/>
  <c r="AY244" i="13"/>
  <c r="BB240" i="13"/>
  <c r="T216" i="13"/>
  <c r="AY238" i="13"/>
  <c r="BC238" i="13"/>
  <c r="T238" i="13"/>
  <c r="AB238" i="13" s="1"/>
  <c r="F121" i="5" s="1"/>
  <c r="AC121" i="5" s="1"/>
  <c r="BB238" i="13"/>
  <c r="BA238" i="13"/>
  <c r="AZ238" i="13"/>
  <c r="I233" i="13"/>
  <c r="I112" i="13"/>
  <c r="I125" i="13"/>
  <c r="I154" i="13"/>
  <c r="I199" i="13"/>
  <c r="I99" i="13"/>
  <c r="I216" i="13"/>
  <c r="I68" i="13"/>
  <c r="I168" i="13"/>
  <c r="F199" i="13"/>
  <c r="T226" i="13" s="1"/>
  <c r="AA226" i="13" s="1"/>
  <c r="F154" i="13"/>
  <c r="T156" i="13" s="1"/>
  <c r="AA156" i="13" s="1"/>
  <c r="F112" i="13"/>
  <c r="T114" i="13" s="1"/>
  <c r="F233" i="13"/>
  <c r="T234" i="13" s="1"/>
  <c r="AB234" i="13" s="1"/>
  <c r="F40" i="5" s="1"/>
  <c r="AC40" i="5" s="1"/>
  <c r="F168" i="13"/>
  <c r="T247" i="13" s="1"/>
  <c r="AB247" i="13" s="1"/>
  <c r="F187" i="5" s="1"/>
  <c r="AC187" i="5" s="1"/>
  <c r="F68" i="13"/>
  <c r="T70" i="13" s="1"/>
  <c r="AA70" i="13" s="1"/>
  <c r="F216" i="13"/>
  <c r="F99" i="13"/>
  <c r="T101" i="13" s="1"/>
  <c r="AA101" i="13" s="1"/>
  <c r="F125" i="13"/>
  <c r="T127" i="13" s="1"/>
  <c r="AA127" i="13" s="1"/>
  <c r="G154" i="13"/>
  <c r="G233" i="13"/>
  <c r="G168" i="13"/>
  <c r="G125" i="13"/>
  <c r="G216" i="13"/>
  <c r="G99" i="13"/>
  <c r="G112" i="13"/>
  <c r="G199" i="13"/>
  <c r="G68" i="13"/>
  <c r="R233" i="13"/>
  <c r="R199" i="13"/>
  <c r="R216" i="13"/>
  <c r="R154" i="13"/>
  <c r="R168" i="13"/>
  <c r="R125" i="13"/>
  <c r="R112" i="13"/>
  <c r="R99" i="13"/>
  <c r="R68" i="13"/>
  <c r="H68" i="13"/>
  <c r="H233" i="13"/>
  <c r="H199" i="13"/>
  <c r="H216" i="13"/>
  <c r="H154" i="13"/>
  <c r="H168" i="13"/>
  <c r="H125" i="13"/>
  <c r="T126" i="13" s="1"/>
  <c r="AA126" i="13" s="1"/>
  <c r="H112" i="13"/>
  <c r="H99" i="13"/>
  <c r="R259" i="13"/>
  <c r="I259" i="13"/>
  <c r="H259" i="13"/>
  <c r="G259" i="13"/>
  <c r="BA237" i="13"/>
  <c r="BC228" i="13"/>
  <c r="BC229" i="13"/>
  <c r="BC227" i="13"/>
  <c r="BC226" i="13"/>
  <c r="T228" i="13"/>
  <c r="AA228" i="13" s="1"/>
  <c r="T130" i="13"/>
  <c r="AA130" i="13" s="1"/>
  <c r="T9" i="13"/>
  <c r="T68" i="13"/>
  <c r="BA236" i="13"/>
  <c r="T125" i="13"/>
  <c r="AY8" i="13"/>
  <c r="AY236" i="13"/>
  <c r="T199" i="13"/>
  <c r="BC236" i="13"/>
  <c r="AZ236" i="13"/>
  <c r="T112" i="13"/>
  <c r="BC237" i="13"/>
  <c r="AZ237" i="13"/>
  <c r="AY237" i="13"/>
  <c r="T168" i="13"/>
  <c r="T99" i="13"/>
  <c r="BD126" i="13"/>
  <c r="BB236" i="13"/>
  <c r="BD39" i="13"/>
  <c r="T154" i="13"/>
  <c r="T38" i="13"/>
  <c r="BB237" i="13"/>
  <c r="BC225" i="13"/>
  <c r="T10" i="13"/>
  <c r="AA10" i="13" s="1"/>
  <c r="T110" i="13"/>
  <c r="D49" i="16" s="1"/>
  <c r="BC219" i="13"/>
  <c r="BC223" i="13"/>
  <c r="BC217" i="13"/>
  <c r="BC204" i="13"/>
  <c r="BD204" i="13" s="1"/>
  <c r="T220" i="13"/>
  <c r="Y220" i="13" s="1"/>
  <c r="AA220" i="13" s="1"/>
  <c r="BC222" i="13"/>
  <c r="BC211" i="13"/>
  <c r="BC200" i="13"/>
  <c r="BC221" i="13"/>
  <c r="BC220" i="13"/>
  <c r="BC208" i="13"/>
  <c r="BJ121" i="13"/>
  <c r="BK121" i="13" s="1"/>
  <c r="BC224" i="13"/>
  <c r="BC218" i="13"/>
  <c r="BC207" i="13"/>
  <c r="T214" i="13"/>
  <c r="D91" i="16" s="1"/>
  <c r="D88" i="16"/>
  <c r="BJ100" i="13"/>
  <c r="BK100" i="13" s="1"/>
  <c r="W97" i="5" s="1"/>
  <c r="D38" i="16"/>
  <c r="D32" i="16"/>
  <c r="D20" i="16"/>
  <c r="H38" i="13"/>
  <c r="T36" i="13"/>
  <c r="D14" i="16" s="1"/>
  <c r="T66" i="13"/>
  <c r="D26" i="16" s="1"/>
  <c r="T231" i="13"/>
  <c r="D107" i="16" s="1"/>
  <c r="T252" i="13"/>
  <c r="AB252" i="13" s="1"/>
  <c r="F167" i="5" s="1"/>
  <c r="AC167" i="5" s="1"/>
  <c r="T218" i="13"/>
  <c r="AA218" i="13" s="1"/>
  <c r="G38" i="13"/>
  <c r="T224" i="13"/>
  <c r="AA224" i="13" s="1"/>
  <c r="T115" i="13"/>
  <c r="AA115" i="13" s="1"/>
  <c r="D47" i="16"/>
  <c r="T103" i="13"/>
  <c r="AA103" i="13" s="1"/>
  <c r="F38" i="13"/>
  <c r="T39" i="13" s="1"/>
  <c r="AA39" i="13" s="1"/>
  <c r="T197" i="13"/>
  <c r="D83" i="16" s="1"/>
  <c r="T69" i="13"/>
  <c r="AA69" i="13" s="1"/>
  <c r="T223" i="13"/>
  <c r="AA223" i="13" s="1"/>
  <c r="D25" i="16"/>
  <c r="T222" i="13"/>
  <c r="D45" i="16"/>
  <c r="T221" i="13"/>
  <c r="I38" i="13"/>
  <c r="D69" i="16"/>
  <c r="T171" i="13"/>
  <c r="AA171" i="13" s="1"/>
  <c r="R38" i="13"/>
  <c r="AJ257" i="13" l="1"/>
  <c r="BS257" i="13" s="1"/>
  <c r="AI257" i="13"/>
  <c r="BR257" i="13" s="1"/>
  <c r="AI256" i="13"/>
  <c r="BR256" i="13" s="1"/>
  <c r="U118" i="13"/>
  <c r="AA118" i="13" s="1"/>
  <c r="AB118" i="13" s="1"/>
  <c r="AJ256" i="13"/>
  <c r="BS256" i="13" s="1"/>
  <c r="AK256" i="13"/>
  <c r="BT256" i="13" s="1"/>
  <c r="U83" i="13"/>
  <c r="AA83" i="13" s="1"/>
  <c r="AA93" i="13"/>
  <c r="D79" i="16"/>
  <c r="U87" i="13"/>
  <c r="AA87" i="13" s="1"/>
  <c r="AB87" i="13" s="1"/>
  <c r="U88" i="13"/>
  <c r="AA88" i="13" s="1"/>
  <c r="AB88" i="13" s="1"/>
  <c r="W115" i="5"/>
  <c r="AI235" i="13"/>
  <c r="BD235" i="13" s="1"/>
  <c r="BE235" i="13" s="1"/>
  <c r="AK235" i="13"/>
  <c r="BJ235" i="13" s="1"/>
  <c r="BK235" i="13" s="1"/>
  <c r="AJ235" i="13"/>
  <c r="BG235" i="13" s="1"/>
  <c r="BH235" i="13" s="1"/>
  <c r="AK104" i="13"/>
  <c r="AI104" i="13"/>
  <c r="AJ104" i="13"/>
  <c r="BY121" i="13"/>
  <c r="BX46" i="13"/>
  <c r="BZ46" i="13" s="1"/>
  <c r="CG46" i="13" s="1"/>
  <c r="BX103" i="13"/>
  <c r="CA103" i="13" s="1"/>
  <c r="BX187" i="13"/>
  <c r="BZ187" i="13" s="1"/>
  <c r="BY103" i="13"/>
  <c r="U51" i="13"/>
  <c r="AA51" i="13" s="1"/>
  <c r="AI255" i="13"/>
  <c r="AJ255" i="13"/>
  <c r="BS255" i="13" s="1"/>
  <c r="AK255" i="13"/>
  <c r="BT255" i="13" s="1"/>
  <c r="AK253" i="13"/>
  <c r="BT253" i="13" s="1"/>
  <c r="AI253" i="13"/>
  <c r="AJ253" i="13"/>
  <c r="BS253" i="13" s="1"/>
  <c r="U145" i="13"/>
  <c r="AA49" i="13"/>
  <c r="AB49" i="13" s="1"/>
  <c r="U48" i="13"/>
  <c r="U212" i="13"/>
  <c r="U213" i="13" s="1"/>
  <c r="AA211" i="13"/>
  <c r="AJ234" i="13"/>
  <c r="AI234" i="13"/>
  <c r="AK234" i="13"/>
  <c r="BJ234" i="13" s="1"/>
  <c r="AJ248" i="13"/>
  <c r="AI248" i="13"/>
  <c r="AK248" i="13"/>
  <c r="AI249" i="13"/>
  <c r="AK249" i="13"/>
  <c r="AJ249" i="13"/>
  <c r="AI246" i="13"/>
  <c r="AK246" i="13"/>
  <c r="AJ246" i="13"/>
  <c r="AI238" i="13"/>
  <c r="AK238" i="13"/>
  <c r="AJ238" i="13"/>
  <c r="AK247" i="13"/>
  <c r="AJ247" i="13"/>
  <c r="AI247" i="13"/>
  <c r="AJ252" i="13"/>
  <c r="BG252" i="13" s="1"/>
  <c r="AI252" i="13"/>
  <c r="K80" i="11" s="1"/>
  <c r="AK252" i="13"/>
  <c r="BJ252" i="13" s="1"/>
  <c r="AI251" i="13"/>
  <c r="AK251" i="13"/>
  <c r="BJ251" i="13" s="1"/>
  <c r="BK251" i="13" s="1"/>
  <c r="AJ251" i="13"/>
  <c r="BG251" i="13" s="1"/>
  <c r="BH251" i="13" s="1"/>
  <c r="U210" i="13"/>
  <c r="AA210" i="13" s="1"/>
  <c r="U80" i="13"/>
  <c r="U81" i="13" s="1"/>
  <c r="Y77" i="13"/>
  <c r="D7" i="16"/>
  <c r="Y31" i="13"/>
  <c r="AA31" i="13" s="1"/>
  <c r="AB31" i="13" s="1"/>
  <c r="Y58" i="13"/>
  <c r="AA58" i="13" s="1"/>
  <c r="AB58" i="13" s="1"/>
  <c r="Y221" i="13"/>
  <c r="AA221" i="13" s="1"/>
  <c r="AB221" i="13" s="1"/>
  <c r="F218" i="5" s="1"/>
  <c r="AC218" i="5" s="1"/>
  <c r="Y76" i="13"/>
  <c r="AA76" i="13" s="1"/>
  <c r="AB76" i="13" s="1"/>
  <c r="Y61" i="13"/>
  <c r="AA61" i="13" s="1"/>
  <c r="AB61" i="13" s="1"/>
  <c r="Y206" i="13"/>
  <c r="AA206" i="13" s="1"/>
  <c r="U91" i="13"/>
  <c r="Y60" i="13"/>
  <c r="AA60" i="13" s="1"/>
  <c r="AB60" i="13" s="1"/>
  <c r="D101" i="16"/>
  <c r="AB224" i="13"/>
  <c r="D97" i="16"/>
  <c r="Y114" i="13"/>
  <c r="Y205" i="13"/>
  <c r="Y42" i="13"/>
  <c r="AA42" i="13" s="1"/>
  <c r="AB42" i="13" s="1"/>
  <c r="Y78" i="13"/>
  <c r="AA78" i="13" s="1"/>
  <c r="AB78" i="13" s="1"/>
  <c r="Y203" i="13"/>
  <c r="Y53" i="13"/>
  <c r="AA53" i="13" s="1"/>
  <c r="AB53" i="13" s="1"/>
  <c r="Y54" i="13"/>
  <c r="AA54" i="13" s="1"/>
  <c r="AB54" i="13" s="1"/>
  <c r="U92" i="13"/>
  <c r="D95" i="16"/>
  <c r="Y33" i="13"/>
  <c r="AA33" i="13" s="1"/>
  <c r="AB33" i="13" s="1"/>
  <c r="Y28" i="13"/>
  <c r="AA28" i="13" s="1"/>
  <c r="AB28" i="13" s="1"/>
  <c r="Y119" i="13"/>
  <c r="AA119" i="13" s="1"/>
  <c r="AB119" i="13" s="1"/>
  <c r="D17" i="16"/>
  <c r="D100" i="16"/>
  <c r="Y52" i="13"/>
  <c r="AA52" i="13" s="1"/>
  <c r="AB52" i="13" s="1"/>
  <c r="Y85" i="13"/>
  <c r="AA85" i="13" s="1"/>
  <c r="AB85" i="13" s="1"/>
  <c r="D99" i="16"/>
  <c r="Y222" i="13"/>
  <c r="AA222" i="13" s="1"/>
  <c r="AB222" i="13" s="1"/>
  <c r="Y202" i="13"/>
  <c r="Y84" i="13"/>
  <c r="D59" i="16"/>
  <c r="Y32" i="13"/>
  <c r="AA32" i="13" s="1"/>
  <c r="AB32" i="13" s="1"/>
  <c r="Y212" i="13"/>
  <c r="D29" i="16"/>
  <c r="Y50" i="13"/>
  <c r="AA50" i="13" s="1"/>
  <c r="AB50" i="13" s="1"/>
  <c r="Y74" i="13"/>
  <c r="AA74" i="13" s="1"/>
  <c r="AB74" i="13" s="1"/>
  <c r="Y213" i="13"/>
  <c r="AB184" i="13"/>
  <c r="AB64" i="13"/>
  <c r="AB142" i="13"/>
  <c r="AB181" i="13"/>
  <c r="AB195" i="13"/>
  <c r="AB163" i="13"/>
  <c r="AB161" i="13"/>
  <c r="AB40" i="13"/>
  <c r="AB190" i="13"/>
  <c r="AB147" i="13"/>
  <c r="AB47" i="13"/>
  <c r="AB146" i="13"/>
  <c r="AB70" i="13"/>
  <c r="AB140" i="13"/>
  <c r="F134" i="5" s="1"/>
  <c r="AC134" i="5" s="1"/>
  <c r="AB23" i="13"/>
  <c r="AB102" i="13"/>
  <c r="AB191" i="13"/>
  <c r="AB122" i="13"/>
  <c r="AB188" i="13"/>
  <c r="AB136" i="13"/>
  <c r="AB73" i="13"/>
  <c r="F72" i="5" s="1"/>
  <c r="AB182" i="13"/>
  <c r="AB156" i="13"/>
  <c r="AB116" i="13"/>
  <c r="AB194" i="13"/>
  <c r="AB149" i="13"/>
  <c r="AB71" i="13"/>
  <c r="AB72" i="13"/>
  <c r="AB193" i="13"/>
  <c r="AB143" i="13"/>
  <c r="AB151" i="13"/>
  <c r="AB105" i="13"/>
  <c r="AB132" i="13"/>
  <c r="AB150" i="13"/>
  <c r="F145" i="5" s="1"/>
  <c r="AC145" i="5" s="1"/>
  <c r="AB174" i="13"/>
  <c r="AB131" i="13"/>
  <c r="AB57" i="13"/>
  <c r="AB133" i="13"/>
  <c r="F258" i="5"/>
  <c r="U165" i="13"/>
  <c r="T113" i="13"/>
  <c r="AA113" i="13" s="1"/>
  <c r="U89" i="13"/>
  <c r="AB209" i="13"/>
  <c r="D90" i="16"/>
  <c r="AB24" i="13"/>
  <c r="D21" i="16"/>
  <c r="D24" i="16"/>
  <c r="T170" i="13"/>
  <c r="AA170" i="13" s="1"/>
  <c r="T41" i="13"/>
  <c r="AA41" i="13" s="1"/>
  <c r="T201" i="13"/>
  <c r="U201" i="13" s="1"/>
  <c r="U203" i="13" s="1"/>
  <c r="D89" i="16"/>
  <c r="T200" i="13"/>
  <c r="AA200" i="13" s="1"/>
  <c r="D9" i="16"/>
  <c r="D61" i="16"/>
  <c r="D22" i="16"/>
  <c r="AB15" i="13"/>
  <c r="BD83" i="13"/>
  <c r="BE83" i="13" s="1"/>
  <c r="I82" i="5" s="1"/>
  <c r="BG83" i="13"/>
  <c r="BH83" i="13" s="1"/>
  <c r="P82" i="5" s="1"/>
  <c r="BJ83" i="13"/>
  <c r="BK83" i="13" s="1"/>
  <c r="W82" i="5" s="1"/>
  <c r="BG86" i="13"/>
  <c r="BH86" i="13" s="1"/>
  <c r="P85" i="5" s="1"/>
  <c r="BJ86" i="13"/>
  <c r="BK86" i="13" s="1"/>
  <c r="W85" i="5" s="1"/>
  <c r="BD86" i="13"/>
  <c r="BE86" i="13" s="1"/>
  <c r="I85" i="5" s="1"/>
  <c r="D44" i="16"/>
  <c r="BG103" i="13"/>
  <c r="BH103" i="13" s="1"/>
  <c r="P100" i="5" s="1"/>
  <c r="BJ103" i="13"/>
  <c r="BK103" i="13" s="1"/>
  <c r="W100" i="5" s="1"/>
  <c r="BD103" i="13"/>
  <c r="BE103" i="13" s="1"/>
  <c r="I100" i="5" s="1"/>
  <c r="BG95" i="13"/>
  <c r="BH95" i="13" s="1"/>
  <c r="BJ95" i="13"/>
  <c r="BK95" i="13" s="1"/>
  <c r="BD95" i="13"/>
  <c r="BE95" i="13" s="1"/>
  <c r="BG55" i="13"/>
  <c r="BH55" i="13" s="1"/>
  <c r="BJ55" i="13"/>
  <c r="BK55" i="13" s="1"/>
  <c r="BD55" i="13"/>
  <c r="BE55" i="13" s="1"/>
  <c r="BG117" i="13"/>
  <c r="BH117" i="13" s="1"/>
  <c r="BJ117" i="13"/>
  <c r="BK117" i="13" s="1"/>
  <c r="BD117" i="13"/>
  <c r="BE117" i="13" s="1"/>
  <c r="BG138" i="13"/>
  <c r="BH138" i="13" s="1"/>
  <c r="P132" i="5" s="1"/>
  <c r="BD138" i="13"/>
  <c r="BJ138" i="13"/>
  <c r="BK138" i="13" s="1"/>
  <c r="W132" i="5" s="1"/>
  <c r="AB25" i="13"/>
  <c r="AB177" i="13"/>
  <c r="AB44" i="13"/>
  <c r="BD82" i="13"/>
  <c r="BE82" i="13" s="1"/>
  <c r="BG82" i="13"/>
  <c r="BH82" i="13" s="1"/>
  <c r="BJ82" i="13"/>
  <c r="BK82" i="13" s="1"/>
  <c r="D76" i="16"/>
  <c r="D53" i="16"/>
  <c r="BJ160" i="13"/>
  <c r="BK160" i="13" s="1"/>
  <c r="W156" i="5" s="1"/>
  <c r="BG160" i="13"/>
  <c r="BH160" i="13" s="1"/>
  <c r="P156" i="5" s="1"/>
  <c r="BD160" i="13"/>
  <c r="BE160" i="13" s="1"/>
  <c r="I156" i="5" s="1"/>
  <c r="BG179" i="13"/>
  <c r="BH179" i="13" s="1"/>
  <c r="P176" i="5" s="1"/>
  <c r="BJ179" i="13"/>
  <c r="BK179" i="13" s="1"/>
  <c r="W176" i="5" s="1"/>
  <c r="BD179" i="13"/>
  <c r="AB11" i="13"/>
  <c r="AB17" i="13"/>
  <c r="BJ230" i="13"/>
  <c r="BK230" i="13" s="1"/>
  <c r="W227" i="5" s="1"/>
  <c r="BD230" i="13"/>
  <c r="BE230" i="13" s="1"/>
  <c r="I227" i="5" s="1"/>
  <c r="BG230" i="13"/>
  <c r="BH230" i="13" s="1"/>
  <c r="P227" i="5" s="1"/>
  <c r="AB157" i="13"/>
  <c r="D13" i="16"/>
  <c r="AB35" i="13"/>
  <c r="D10" i="16"/>
  <c r="AB172" i="13"/>
  <c r="AB120" i="13"/>
  <c r="AB128" i="13"/>
  <c r="AB180" i="13"/>
  <c r="AB135" i="13"/>
  <c r="AB45" i="13"/>
  <c r="BG208" i="13"/>
  <c r="BH208" i="13" s="1"/>
  <c r="BD208" i="13"/>
  <c r="BE208" i="13" s="1"/>
  <c r="BJ208" i="13"/>
  <c r="BK208" i="13" s="1"/>
  <c r="AB21" i="13"/>
  <c r="AB186" i="13"/>
  <c r="AB176" i="13"/>
  <c r="BG183" i="13"/>
  <c r="BH183" i="13" s="1"/>
  <c r="P180" i="5" s="1"/>
  <c r="BJ183" i="13"/>
  <c r="BK183" i="13" s="1"/>
  <c r="W180" i="5" s="1"/>
  <c r="BD183" i="13"/>
  <c r="BE183" i="13" s="1"/>
  <c r="I180" i="5" s="1"/>
  <c r="AB230" i="13"/>
  <c r="F227" i="5" s="1"/>
  <c r="AC227" i="5" s="1"/>
  <c r="AB137" i="13"/>
  <c r="F799" i="23" s="1"/>
  <c r="G799" i="23" s="1"/>
  <c r="AB43" i="13"/>
  <c r="AB158" i="13"/>
  <c r="BD207" i="13"/>
  <c r="BE207" i="13" s="1"/>
  <c r="BG207" i="13"/>
  <c r="BH207" i="13" s="1"/>
  <c r="BJ207" i="13"/>
  <c r="BK207" i="13" s="1"/>
  <c r="BJ16" i="13"/>
  <c r="BK16" i="13" s="1"/>
  <c r="BG16" i="13"/>
  <c r="BH16" i="13" s="1"/>
  <c r="BD16" i="13"/>
  <c r="BE16" i="13" s="1"/>
  <c r="BJ79" i="13"/>
  <c r="BK79" i="13" s="1"/>
  <c r="BD79" i="13"/>
  <c r="BE79" i="13" s="1"/>
  <c r="I79" i="5" s="1"/>
  <c r="BG79" i="13"/>
  <c r="BH79" i="13" s="1"/>
  <c r="P79" i="5" s="1"/>
  <c r="BG63" i="13"/>
  <c r="BH63" i="13" s="1"/>
  <c r="P62" i="5" s="1"/>
  <c r="BD63" i="13"/>
  <c r="BE63" i="13" s="1"/>
  <c r="I62" i="5" s="1"/>
  <c r="BJ63" i="13"/>
  <c r="BK63" i="13" s="1"/>
  <c r="W62" i="5" s="1"/>
  <c r="BD19" i="13"/>
  <c r="BG19" i="13"/>
  <c r="BH19" i="13" s="1"/>
  <c r="BJ19" i="13"/>
  <c r="BK19" i="13" s="1"/>
  <c r="W21" i="5" s="1"/>
  <c r="BG134" i="13"/>
  <c r="BH134" i="13" s="1"/>
  <c r="P128" i="5" s="1"/>
  <c r="BJ134" i="13"/>
  <c r="BK134" i="13" s="1"/>
  <c r="W128" i="5" s="1"/>
  <c r="BD134" i="13"/>
  <c r="AB14" i="13"/>
  <c r="BJ122" i="13"/>
  <c r="BK122" i="13" s="1"/>
  <c r="W116" i="5" s="1"/>
  <c r="BD122" i="13"/>
  <c r="BE122" i="13" s="1"/>
  <c r="I116" i="5" s="1"/>
  <c r="BG122" i="13"/>
  <c r="BH122" i="13" s="1"/>
  <c r="P116" i="5" s="1"/>
  <c r="AB173" i="13"/>
  <c r="AB185" i="13"/>
  <c r="AB141" i="13"/>
  <c r="D11" i="16"/>
  <c r="D12" i="16"/>
  <c r="AB12" i="13"/>
  <c r="BG30" i="13"/>
  <c r="BH30" i="13" s="1"/>
  <c r="BJ30" i="13"/>
  <c r="BK30" i="13" s="1"/>
  <c r="BD30" i="13"/>
  <c r="BG175" i="13"/>
  <c r="BH175" i="13" s="1"/>
  <c r="P172" i="5" s="1"/>
  <c r="BJ175" i="13"/>
  <c r="BK175" i="13" s="1"/>
  <c r="W172" i="5" s="1"/>
  <c r="BD175" i="13"/>
  <c r="BE175" i="13" s="1"/>
  <c r="I172" i="5" s="1"/>
  <c r="BG59" i="13"/>
  <c r="BH59" i="13" s="1"/>
  <c r="P59" i="5" s="1"/>
  <c r="BD59" i="13"/>
  <c r="BE59" i="13" s="1"/>
  <c r="I59" i="5" s="1"/>
  <c r="BJ59" i="13"/>
  <c r="BK59" i="13" s="1"/>
  <c r="W59" i="5" s="1"/>
  <c r="BG90" i="13"/>
  <c r="BH90" i="13" s="1"/>
  <c r="BJ90" i="13"/>
  <c r="BK90" i="13" s="1"/>
  <c r="BD90" i="13"/>
  <c r="BE90" i="13" s="1"/>
  <c r="BD56" i="13"/>
  <c r="BE56" i="13" s="1"/>
  <c r="BG56" i="13"/>
  <c r="BH56" i="13" s="1"/>
  <c r="BJ56" i="13"/>
  <c r="BK56" i="13" s="1"/>
  <c r="BD35" i="13"/>
  <c r="BE35" i="13" s="1"/>
  <c r="BG35" i="13"/>
  <c r="BH35" i="13" s="1"/>
  <c r="BJ35" i="13"/>
  <c r="BK35" i="13" s="1"/>
  <c r="BJ189" i="13"/>
  <c r="BK189" i="13" s="1"/>
  <c r="W186" i="5" s="1"/>
  <c r="BD189" i="13"/>
  <c r="BE189" i="13" s="1"/>
  <c r="I186" i="5" s="1"/>
  <c r="BG189" i="13"/>
  <c r="BH189" i="13" s="1"/>
  <c r="P186" i="5" s="1"/>
  <c r="AB22" i="13"/>
  <c r="AB27" i="13"/>
  <c r="BJ148" i="13"/>
  <c r="BK148" i="13" s="1"/>
  <c r="W143" i="5" s="1"/>
  <c r="BG148" i="13"/>
  <c r="BH148" i="13" s="1"/>
  <c r="P143" i="5" s="1"/>
  <c r="BD148" i="13"/>
  <c r="AB101" i="13"/>
  <c r="BG62" i="13"/>
  <c r="BH62" i="13" s="1"/>
  <c r="BJ62" i="13"/>
  <c r="BK62" i="13" s="1"/>
  <c r="BD62" i="13"/>
  <c r="BE62" i="13" s="1"/>
  <c r="AB29" i="13"/>
  <c r="AB13" i="13"/>
  <c r="BJ165" i="13"/>
  <c r="BK165" i="13" s="1"/>
  <c r="W161" i="5" s="1"/>
  <c r="BD165" i="13"/>
  <c r="BE165" i="13" s="1"/>
  <c r="I161" i="5" s="1"/>
  <c r="BG165" i="13"/>
  <c r="BH165" i="13" s="1"/>
  <c r="P161" i="5" s="1"/>
  <c r="AB129" i="13"/>
  <c r="BG51" i="13"/>
  <c r="BH51" i="13" s="1"/>
  <c r="P52" i="5" s="1"/>
  <c r="BD51" i="13"/>
  <c r="BE51" i="13" s="1"/>
  <c r="I52" i="5" s="1"/>
  <c r="BJ51" i="13"/>
  <c r="BK51" i="13" s="1"/>
  <c r="W52" i="5" s="1"/>
  <c r="BG144" i="13"/>
  <c r="BH144" i="13" s="1"/>
  <c r="P138" i="5" s="1"/>
  <c r="BJ144" i="13"/>
  <c r="BK144" i="13" s="1"/>
  <c r="W138" i="5" s="1"/>
  <c r="BD144" i="13"/>
  <c r="BG34" i="13"/>
  <c r="BH34" i="13" s="1"/>
  <c r="BJ34" i="13"/>
  <c r="BK34" i="13" s="1"/>
  <c r="BD34" i="13"/>
  <c r="BE34" i="13" s="1"/>
  <c r="AB20" i="13"/>
  <c r="BD93" i="13"/>
  <c r="BE93" i="13" s="1"/>
  <c r="I92" i="5" s="1"/>
  <c r="BG93" i="13"/>
  <c r="BH93" i="13" s="1"/>
  <c r="P92" i="5" s="1"/>
  <c r="BJ93" i="13"/>
  <c r="BK93" i="13" s="1"/>
  <c r="W92" i="5" s="1"/>
  <c r="AB18" i="13"/>
  <c r="AB139" i="13"/>
  <c r="AB127" i="13"/>
  <c r="AB196" i="13"/>
  <c r="AB178" i="13"/>
  <c r="BE204" i="13"/>
  <c r="BE126" i="13"/>
  <c r="I120" i="5" s="1"/>
  <c r="BE39" i="13"/>
  <c r="F260" i="5"/>
  <c r="AC260" i="5" s="1"/>
  <c r="F261" i="5"/>
  <c r="F247" i="5"/>
  <c r="T229" i="13"/>
  <c r="AA229" i="13" s="1"/>
  <c r="T227" i="13"/>
  <c r="AA227" i="13" s="1"/>
  <c r="T225" i="13"/>
  <c r="AA225" i="13" s="1"/>
  <c r="T243" i="13"/>
  <c r="AB243" i="13" s="1"/>
  <c r="F173" i="5" s="1"/>
  <c r="T239" i="13"/>
  <c r="AB239" i="13" s="1"/>
  <c r="F125" i="5" s="1"/>
  <c r="AC125" i="5" s="1"/>
  <c r="D63" i="16"/>
  <c r="T245" i="13"/>
  <c r="AB245" i="13" s="1"/>
  <c r="F181" i="5" s="1"/>
  <c r="AC181" i="5" s="1"/>
  <c r="T244" i="13"/>
  <c r="AB244" i="13" s="1"/>
  <c r="F177" i="5" s="1"/>
  <c r="AC177" i="5" s="1"/>
  <c r="T242" i="13"/>
  <c r="AB242" i="13" s="1"/>
  <c r="F169" i="5" s="1"/>
  <c r="AC169" i="5" s="1"/>
  <c r="T240" i="13"/>
  <c r="AB240" i="13" s="1"/>
  <c r="F129" i="5" s="1"/>
  <c r="AC129" i="5" s="1"/>
  <c r="D80" i="16"/>
  <c r="T237" i="13"/>
  <c r="AB237" i="13" s="1"/>
  <c r="F57" i="5" s="1"/>
  <c r="AC57" i="5" s="1"/>
  <c r="T241" i="13"/>
  <c r="AB241" i="13" s="1"/>
  <c r="F133" i="5" s="1"/>
  <c r="AC133" i="5" s="1"/>
  <c r="T236" i="13"/>
  <c r="T100" i="13"/>
  <c r="AA100" i="13" s="1"/>
  <c r="T152" i="13"/>
  <c r="D65" i="16" s="1"/>
  <c r="D62" i="16"/>
  <c r="AB228" i="13"/>
  <c r="D105" i="16"/>
  <c r="F105" i="16" s="1"/>
  <c r="AB226" i="13"/>
  <c r="F223" i="5" s="1"/>
  <c r="AC223" i="5" s="1"/>
  <c r="D103" i="16"/>
  <c r="F103" i="16" s="1"/>
  <c r="D77" i="16"/>
  <c r="D82" i="16"/>
  <c r="D81" i="16"/>
  <c r="D60" i="16"/>
  <c r="D64" i="16"/>
  <c r="BJ130" i="13"/>
  <c r="BK130" i="13" s="1"/>
  <c r="W124" i="5" s="1"/>
  <c r="BG130" i="13"/>
  <c r="BH130" i="13" s="1"/>
  <c r="P124" i="5" s="1"/>
  <c r="BD130" i="13"/>
  <c r="BD192" i="13"/>
  <c r="BG192" i="13"/>
  <c r="BH192" i="13" s="1"/>
  <c r="BJ192" i="13"/>
  <c r="BK192" i="13" s="1"/>
  <c r="BY108" i="13"/>
  <c r="T219" i="13"/>
  <c r="T169" i="13"/>
  <c r="AA169" i="13" s="1"/>
  <c r="T217" i="13"/>
  <c r="AA217" i="13" s="1"/>
  <c r="T155" i="13"/>
  <c r="AA155" i="13" s="1"/>
  <c r="BG39" i="13"/>
  <c r="BH39" i="13" s="1"/>
  <c r="BY5" i="13"/>
  <c r="BJ39" i="13"/>
  <c r="BK39" i="13" s="1"/>
  <c r="BX121" i="13"/>
  <c r="CA121" i="13" s="1"/>
  <c r="BY187" i="13"/>
  <c r="BX62" i="13"/>
  <c r="BZ62" i="13" s="1"/>
  <c r="BY90" i="13"/>
  <c r="BX159" i="13"/>
  <c r="BZ159" i="13" s="1"/>
  <c r="BY159" i="13"/>
  <c r="BX109" i="13"/>
  <c r="BZ109" i="13" s="1"/>
  <c r="BY109" i="13"/>
  <c r="BX108" i="13"/>
  <c r="CA108" i="13" s="1"/>
  <c r="BY62" i="13"/>
  <c r="BX90" i="13"/>
  <c r="CC90" i="13" s="1"/>
  <c r="BX83" i="13"/>
  <c r="CC83" i="13" s="1"/>
  <c r="BX208" i="13"/>
  <c r="CC208" i="13" s="1"/>
  <c r="BY79" i="13"/>
  <c r="BX160" i="13"/>
  <c r="CA160" i="13" s="1"/>
  <c r="BY164" i="13"/>
  <c r="BY208" i="13"/>
  <c r="BX164" i="13"/>
  <c r="CC164" i="13" s="1"/>
  <c r="BX95" i="13"/>
  <c r="BZ95" i="13" s="1"/>
  <c r="BY138" i="13"/>
  <c r="BX115" i="13"/>
  <c r="CC115" i="13" s="1"/>
  <c r="BX55" i="13"/>
  <c r="BZ55" i="13" s="1"/>
  <c r="CG55" i="13" s="1"/>
  <c r="BY115" i="13"/>
  <c r="BY86" i="13"/>
  <c r="BX211" i="13"/>
  <c r="BZ211" i="13" s="1"/>
  <c r="CG211" i="13" s="1"/>
  <c r="BY55" i="13"/>
  <c r="BX86" i="13"/>
  <c r="BZ86" i="13" s="1"/>
  <c r="BY160" i="13"/>
  <c r="BY83" i="13"/>
  <c r="BY95" i="13"/>
  <c r="BX138" i="13"/>
  <c r="BZ138" i="13" s="1"/>
  <c r="CG138" i="13" s="1"/>
  <c r="BX79" i="13"/>
  <c r="BZ79" i="13" s="1"/>
  <c r="BY211" i="13"/>
  <c r="BX207" i="13"/>
  <c r="BZ207" i="13" s="1"/>
  <c r="BX93" i="13"/>
  <c r="CC93" i="13" s="1"/>
  <c r="BX51" i="13"/>
  <c r="BZ51" i="13" s="1"/>
  <c r="CG51" i="13" s="1"/>
  <c r="BX200" i="13"/>
  <c r="CC200" i="13" s="1"/>
  <c r="BX113" i="13"/>
  <c r="BZ113" i="13" s="1"/>
  <c r="BX155" i="13"/>
  <c r="BZ155" i="13" s="1"/>
  <c r="BY56" i="13"/>
  <c r="BY93" i="13"/>
  <c r="BY207" i="13"/>
  <c r="BY26" i="13"/>
  <c r="BY82" i="13"/>
  <c r="BX100" i="13"/>
  <c r="CA100" i="13" s="1"/>
  <c r="BX134" i="13"/>
  <c r="BZ134" i="13" s="1"/>
  <c r="BY96" i="13"/>
  <c r="BY237" i="13"/>
  <c r="BY68" i="13"/>
  <c r="BY179" i="13"/>
  <c r="BX10" i="13"/>
  <c r="BZ10" i="13" s="1"/>
  <c r="BY65" i="13"/>
  <c r="BY63" i="13"/>
  <c r="BX204" i="13"/>
  <c r="BZ204" i="13" s="1"/>
  <c r="CG204" i="13" s="1"/>
  <c r="BX169" i="13"/>
  <c r="CA169" i="13" s="1"/>
  <c r="BX82" i="13"/>
  <c r="BZ82" i="13" s="1"/>
  <c r="BX96" i="13"/>
  <c r="BZ96" i="13" s="1"/>
  <c r="BY75" i="13"/>
  <c r="BY51" i="13"/>
  <c r="BY39" i="13"/>
  <c r="BY38" i="13"/>
  <c r="BX117" i="13"/>
  <c r="BZ117" i="13" s="1"/>
  <c r="CG117" i="13" s="1"/>
  <c r="BX63" i="13"/>
  <c r="CA63" i="13" s="1"/>
  <c r="BX75" i="13"/>
  <c r="BZ75" i="13" s="1"/>
  <c r="CG75" i="13" s="1"/>
  <c r="BX69" i="13"/>
  <c r="CA69" i="13" s="1"/>
  <c r="BY59" i="13"/>
  <c r="BY199" i="13"/>
  <c r="BY30" i="13"/>
  <c r="BY126" i="13"/>
  <c r="BY204" i="13"/>
  <c r="BY16" i="13"/>
  <c r="BY19" i="13"/>
  <c r="BX106" i="13"/>
  <c r="BZ106" i="13" s="1"/>
  <c r="BX65" i="13"/>
  <c r="CC65" i="13" s="1"/>
  <c r="BX126" i="13"/>
  <c r="BZ126" i="13" s="1"/>
  <c r="BX56" i="13"/>
  <c r="BZ56" i="13" s="1"/>
  <c r="BY252" i="13"/>
  <c r="BY236" i="13"/>
  <c r="BY112" i="13"/>
  <c r="BY171" i="13"/>
  <c r="BX39" i="13"/>
  <c r="BZ39" i="13" s="1"/>
  <c r="CG39" i="13" s="1"/>
  <c r="BX16" i="13"/>
  <c r="BZ16" i="13" s="1"/>
  <c r="BX171" i="13"/>
  <c r="CC171" i="13" s="1"/>
  <c r="BX59" i="13"/>
  <c r="BZ59" i="13" s="1"/>
  <c r="BX30" i="13"/>
  <c r="BZ30" i="13" s="1"/>
  <c r="BY69" i="13"/>
  <c r="BY183" i="13"/>
  <c r="BY117" i="13"/>
  <c r="BY100" i="13"/>
  <c r="BY155" i="13"/>
  <c r="BY200" i="13"/>
  <c r="BY10" i="13"/>
  <c r="BY107" i="13"/>
  <c r="BY125" i="13"/>
  <c r="BY169" i="13"/>
  <c r="BX107" i="13"/>
  <c r="BZ107" i="13" s="1"/>
  <c r="BX19" i="13"/>
  <c r="CA19" i="13" s="1"/>
  <c r="BX26" i="13"/>
  <c r="CA26" i="13" s="1"/>
  <c r="BX183" i="13"/>
  <c r="BZ183" i="13" s="1"/>
  <c r="BX179" i="13"/>
  <c r="CA179" i="13" s="1"/>
  <c r="BY106" i="13"/>
  <c r="BY134" i="13"/>
  <c r="BY113" i="13"/>
  <c r="BY46" i="13"/>
  <c r="BY99" i="13"/>
  <c r="BY154" i="13"/>
  <c r="BG126" i="13"/>
  <c r="BH126" i="13" s="1"/>
  <c r="P120" i="5" s="1"/>
  <c r="BJ126" i="13"/>
  <c r="BK126" i="13" s="1"/>
  <c r="W120" i="5" s="1"/>
  <c r="BX198" i="13"/>
  <c r="CA198" i="13" s="1"/>
  <c r="BY223" i="13"/>
  <c r="BY198" i="13"/>
  <c r="BY36" i="13"/>
  <c r="BY144" i="13"/>
  <c r="BY67" i="13"/>
  <c r="BY110" i="13"/>
  <c r="BX98" i="13"/>
  <c r="CA98" i="13" s="1"/>
  <c r="BY222" i="13"/>
  <c r="BY167" i="13"/>
  <c r="BY123" i="13"/>
  <c r="BY37" i="13"/>
  <c r="BY233" i="13"/>
  <c r="BY66" i="13"/>
  <c r="BY168" i="13"/>
  <c r="BY98" i="13"/>
  <c r="BY219" i="13"/>
  <c r="BY152" i="13"/>
  <c r="BY224" i="13"/>
  <c r="BY166" i="13"/>
  <c r="BY216" i="13"/>
  <c r="BY111" i="13"/>
  <c r="BY231" i="13"/>
  <c r="BX97" i="13"/>
  <c r="BZ97" i="13" s="1"/>
  <c r="BY35" i="13"/>
  <c r="BY221" i="13"/>
  <c r="BY220" i="13"/>
  <c r="BY153" i="13"/>
  <c r="BY197" i="13"/>
  <c r="BX144" i="13"/>
  <c r="BZ144" i="13" s="1"/>
  <c r="BY218" i="13"/>
  <c r="BY97" i="13"/>
  <c r="BY232" i="13"/>
  <c r="BY225" i="13"/>
  <c r="BY215" i="13"/>
  <c r="BY214" i="13"/>
  <c r="BY34" i="13"/>
  <c r="BY124" i="13"/>
  <c r="BY217" i="13"/>
  <c r="BD100" i="13"/>
  <c r="BX232" i="13"/>
  <c r="BX166" i="13"/>
  <c r="BX34" i="13"/>
  <c r="BX66" i="13"/>
  <c r="BX219" i="13"/>
  <c r="BX167" i="13"/>
  <c r="BX223" i="13"/>
  <c r="BX111" i="13"/>
  <c r="BX214" i="13"/>
  <c r="BX123" i="13"/>
  <c r="BX110" i="13"/>
  <c r="BX220" i="13"/>
  <c r="BX124" i="13"/>
  <c r="BX35" i="13"/>
  <c r="AB223" i="13"/>
  <c r="BX152" i="13"/>
  <c r="BX153" i="13"/>
  <c r="BX224" i="13"/>
  <c r="BX222" i="13"/>
  <c r="BX67" i="13"/>
  <c r="BX225" i="13"/>
  <c r="BX215" i="13"/>
  <c r="BX36" i="13"/>
  <c r="BX221" i="13"/>
  <c r="BX231" i="13"/>
  <c r="BX217" i="13"/>
  <c r="BX37" i="13"/>
  <c r="BX197" i="13"/>
  <c r="BX218" i="13"/>
  <c r="D87" i="16"/>
  <c r="AA204" i="13"/>
  <c r="BJ204" i="13"/>
  <c r="BK204" i="13" s="1"/>
  <c r="BG204" i="13"/>
  <c r="BH204" i="13" s="1"/>
  <c r="AB220" i="13"/>
  <c r="F217" i="5" s="1"/>
  <c r="AC217" i="5" s="1"/>
  <c r="BG100" i="13"/>
  <c r="BH100" i="13" s="1"/>
  <c r="P97" i="5" s="1"/>
  <c r="BD107" i="13"/>
  <c r="BE107" i="13" s="1"/>
  <c r="BG107" i="13"/>
  <c r="BH107" i="13" s="1"/>
  <c r="BJ107" i="13"/>
  <c r="BK107" i="13" s="1"/>
  <c r="BD115" i="13"/>
  <c r="BJ115" i="13"/>
  <c r="BK115" i="13" s="1"/>
  <c r="W109" i="5" s="1"/>
  <c r="BG115" i="13"/>
  <c r="BH115" i="13" s="1"/>
  <c r="P109" i="5" s="1"/>
  <c r="BD159" i="13"/>
  <c r="BE159" i="13" s="1"/>
  <c r="BJ159" i="13"/>
  <c r="BK159" i="13" s="1"/>
  <c r="BG159" i="13"/>
  <c r="BH159" i="13" s="1"/>
  <c r="BD169" i="13"/>
  <c r="BG169" i="13"/>
  <c r="BH169" i="13" s="1"/>
  <c r="P165" i="5" s="1"/>
  <c r="BJ169" i="13"/>
  <c r="BK169" i="13" s="1"/>
  <c r="W165" i="5" s="1"/>
  <c r="BD171" i="13"/>
  <c r="BG171" i="13"/>
  <c r="BH171" i="13" s="1"/>
  <c r="P168" i="5" s="1"/>
  <c r="BJ171" i="13"/>
  <c r="BK171" i="13" s="1"/>
  <c r="W168" i="5" s="1"/>
  <c r="BD109" i="13"/>
  <c r="BE109" i="13" s="1"/>
  <c r="BJ109" i="13"/>
  <c r="BK109" i="13" s="1"/>
  <c r="BG109" i="13"/>
  <c r="BH109" i="13" s="1"/>
  <c r="BD121" i="13"/>
  <c r="BG121" i="13"/>
  <c r="BH121" i="13" s="1"/>
  <c r="BD164" i="13"/>
  <c r="BG164" i="13"/>
  <c r="BH164" i="13" s="1"/>
  <c r="P160" i="5" s="1"/>
  <c r="BJ164" i="13"/>
  <c r="BK164" i="13" s="1"/>
  <c r="W160" i="5" s="1"/>
  <c r="BD200" i="13"/>
  <c r="BJ200" i="13"/>
  <c r="BK200" i="13" s="1"/>
  <c r="BG200" i="13"/>
  <c r="BH200" i="13" s="1"/>
  <c r="D18" i="16"/>
  <c r="BD211" i="13"/>
  <c r="BG211" i="13"/>
  <c r="BH211" i="13" s="1"/>
  <c r="BJ211" i="13"/>
  <c r="BK211" i="13" s="1"/>
  <c r="W208" i="5" s="1"/>
  <c r="D8" i="16"/>
  <c r="D39" i="16"/>
  <c r="BD106" i="13"/>
  <c r="BE106" i="13" s="1"/>
  <c r="BG106" i="13"/>
  <c r="BH106" i="13" s="1"/>
  <c r="BJ106" i="13"/>
  <c r="BK106" i="13" s="1"/>
  <c r="AB218" i="13"/>
  <c r="F215" i="5" s="1"/>
  <c r="AC215" i="5" s="1"/>
  <c r="D19" i="16"/>
  <c r="D48" i="16"/>
  <c r="BD10" i="13"/>
  <c r="BJ10" i="13"/>
  <c r="BK10" i="13" s="1"/>
  <c r="BG10" i="13"/>
  <c r="BH10" i="13" s="1"/>
  <c r="D78" i="16"/>
  <c r="D54" i="16"/>
  <c r="BD108" i="13"/>
  <c r="BE108" i="13" s="1"/>
  <c r="BJ108" i="13"/>
  <c r="BK108" i="13" s="1"/>
  <c r="BG108" i="13"/>
  <c r="BH108" i="13" s="1"/>
  <c r="D98" i="16"/>
  <c r="D46" i="16"/>
  <c r="D23" i="16"/>
  <c r="BR251" i="13" l="1"/>
  <c r="BD251" i="13"/>
  <c r="BE251" i="13" s="1"/>
  <c r="AP49" i="13"/>
  <c r="AQ49" i="13"/>
  <c r="AO49" i="13"/>
  <c r="BA49" i="13" s="1"/>
  <c r="CC103" i="13"/>
  <c r="F453" i="23"/>
  <c r="G453" i="23" s="1"/>
  <c r="F87" i="5"/>
  <c r="AC87" i="5" s="1"/>
  <c r="F885" i="23"/>
  <c r="G885" i="23" s="1"/>
  <c r="G146" i="5" s="1"/>
  <c r="AI151" i="13" s="1"/>
  <c r="K73" i="11" s="1"/>
  <c r="F146" i="5"/>
  <c r="AC146" i="5" s="1"/>
  <c r="F796" i="23"/>
  <c r="G796" i="23" s="1"/>
  <c r="G130" i="5" s="1"/>
  <c r="AI136" i="13" s="1"/>
  <c r="F130" i="5"/>
  <c r="AC130" i="5" s="1"/>
  <c r="F141" i="23"/>
  <c r="G141" i="23" s="1"/>
  <c r="G30" i="5" s="1"/>
  <c r="F30" i="5"/>
  <c r="AC30" i="5" s="1"/>
  <c r="F165" i="23"/>
  <c r="G165" i="23" s="1"/>
  <c r="G33" i="5" s="1"/>
  <c r="F33" i="5"/>
  <c r="AC33" i="5" s="1"/>
  <c r="F1105" i="23"/>
  <c r="F183" i="5"/>
  <c r="AC183" i="5" s="1"/>
  <c r="F1330" i="23"/>
  <c r="F220" i="5"/>
  <c r="AC220" i="5" s="1"/>
  <c r="F140" i="23"/>
  <c r="G140" i="23" s="1"/>
  <c r="G29" i="5" s="1"/>
  <c r="F29" i="5"/>
  <c r="AC29" i="5" s="1"/>
  <c r="F88" i="23"/>
  <c r="G88" i="23" s="1"/>
  <c r="G23" i="5" s="1"/>
  <c r="AI21" i="13" s="1"/>
  <c r="F23" i="5"/>
  <c r="AC23" i="5" s="1"/>
  <c r="F693" i="23"/>
  <c r="G693" i="23" s="1"/>
  <c r="G116" i="5" s="1"/>
  <c r="F116" i="5"/>
  <c r="AC116" i="5" s="1"/>
  <c r="F948" i="23"/>
  <c r="L947" i="23" s="1"/>
  <c r="G948" i="23" s="1"/>
  <c r="G159" i="5" s="1"/>
  <c r="F159" i="5"/>
  <c r="AC159" i="5" s="1"/>
  <c r="F18" i="23"/>
  <c r="G18" i="23" s="1"/>
  <c r="G13" i="5" s="1"/>
  <c r="F13" i="5"/>
  <c r="AC13" i="5" s="1"/>
  <c r="F85" i="23"/>
  <c r="G85" i="23" s="1"/>
  <c r="F22" i="5"/>
  <c r="AC22" i="5" s="1"/>
  <c r="F91" i="23"/>
  <c r="G91" i="23" s="1"/>
  <c r="G24" i="5" s="1"/>
  <c r="AI22" i="13" s="1"/>
  <c r="K56" i="11" s="1"/>
  <c r="F24" i="5"/>
  <c r="AC24" i="5" s="1"/>
  <c r="F912" i="23"/>
  <c r="F153" i="5"/>
  <c r="AC153" i="5" s="1"/>
  <c r="F347" i="23"/>
  <c r="L347" i="23" s="1"/>
  <c r="F70" i="5"/>
  <c r="AC70" i="5" s="1"/>
  <c r="F1153" i="23"/>
  <c r="L1152" i="23" s="1"/>
  <c r="L1153" i="23" s="1"/>
  <c r="F188" i="5"/>
  <c r="AC188" i="5" s="1"/>
  <c r="F1180" i="23"/>
  <c r="G1180" i="23" s="1"/>
  <c r="G192" i="5" s="1"/>
  <c r="AI195" i="13" s="1"/>
  <c r="F192" i="5"/>
  <c r="AC192" i="5" s="1"/>
  <c r="F299" i="23"/>
  <c r="G299" i="23" s="1"/>
  <c r="G60" i="5" s="1"/>
  <c r="F60" i="5"/>
  <c r="AC60" i="5" s="1"/>
  <c r="F722" i="23"/>
  <c r="G722" i="23" s="1"/>
  <c r="G123" i="5" s="1"/>
  <c r="AI129" i="13" s="1"/>
  <c r="BR129" i="13" s="1"/>
  <c r="F123" i="5"/>
  <c r="AC123" i="5" s="1"/>
  <c r="F826" i="23"/>
  <c r="G826" i="23" s="1"/>
  <c r="G137" i="5" s="1"/>
  <c r="F137" i="5"/>
  <c r="AC137" i="5" s="1"/>
  <c r="F1126" i="23"/>
  <c r="G1126" i="23" s="1"/>
  <c r="G185" i="5" s="1"/>
  <c r="F185" i="5"/>
  <c r="AC185" i="5" s="1"/>
  <c r="F944" i="23"/>
  <c r="G944" i="23" s="1"/>
  <c r="G157" i="5" s="1"/>
  <c r="AI161" i="13" s="1"/>
  <c r="AI160" i="13" s="1"/>
  <c r="F157" i="5"/>
  <c r="AC157" i="5" s="1"/>
  <c r="F166" i="23"/>
  <c r="G166" i="23" s="1"/>
  <c r="G34" i="5" s="1"/>
  <c r="F34" i="5"/>
  <c r="AC34" i="5" s="1"/>
  <c r="F167" i="23"/>
  <c r="G167" i="23" s="1"/>
  <c r="G35" i="5" s="1"/>
  <c r="F35" i="5"/>
  <c r="AC35" i="5" s="1"/>
  <c r="F1331" i="23"/>
  <c r="F221" i="5"/>
  <c r="AC221" i="5" s="1"/>
  <c r="F824" i="23"/>
  <c r="G824" i="23" s="1"/>
  <c r="F135" i="5"/>
  <c r="AC135" i="5" s="1"/>
  <c r="F771" i="23"/>
  <c r="K771" i="23" s="1"/>
  <c r="G771" i="23" s="1"/>
  <c r="G127" i="5" s="1"/>
  <c r="F127" i="5"/>
  <c r="AC127" i="5" s="1"/>
  <c r="F346" i="23"/>
  <c r="G346" i="23" s="1"/>
  <c r="G69" i="5" s="1"/>
  <c r="AI71" i="13" s="1"/>
  <c r="F69" i="5"/>
  <c r="AC69" i="5" s="1"/>
  <c r="F548" i="23"/>
  <c r="G548" i="23" s="1"/>
  <c r="G99" i="5" s="1"/>
  <c r="F99" i="5"/>
  <c r="AC99" i="5" s="1"/>
  <c r="F1070" i="23"/>
  <c r="F178" i="5"/>
  <c r="AC178" i="5" s="1"/>
  <c r="F20" i="23"/>
  <c r="G20" i="23" s="1"/>
  <c r="G15" i="5" s="1"/>
  <c r="F15" i="5"/>
  <c r="AC15" i="5" s="1"/>
  <c r="F1101" i="23"/>
  <c r="F182" i="5"/>
  <c r="AC182" i="5" s="1"/>
  <c r="F913" i="23"/>
  <c r="F154" i="5"/>
  <c r="AC154" i="5" s="1"/>
  <c r="F883" i="23"/>
  <c r="G883" i="23" s="1"/>
  <c r="G144" i="5" s="1"/>
  <c r="AI149" i="13" s="1"/>
  <c r="F144" i="5"/>
  <c r="AC144" i="5" s="1"/>
  <c r="F92" i="23"/>
  <c r="G92" i="23" s="1"/>
  <c r="F25" i="5"/>
  <c r="AC25" i="5" s="1"/>
  <c r="F825" i="23"/>
  <c r="G825" i="23" s="1"/>
  <c r="F136" i="5"/>
  <c r="AC136" i="5" s="1"/>
  <c r="F1329" i="23"/>
  <c r="F219" i="5"/>
  <c r="AC219" i="5" s="1"/>
  <c r="F250" i="23"/>
  <c r="G250" i="23" s="1"/>
  <c r="G55" i="5" s="1"/>
  <c r="F55" i="5"/>
  <c r="AC55" i="5" s="1"/>
  <c r="F142" i="23"/>
  <c r="G142" i="23" s="1"/>
  <c r="G31" i="5" s="1"/>
  <c r="AI29" i="13" s="1"/>
  <c r="F31" i="5"/>
  <c r="AC31" i="5" s="1"/>
  <c r="F1015" i="23"/>
  <c r="G1015" i="23" s="1"/>
  <c r="G170" i="5" s="1"/>
  <c r="F170" i="5"/>
  <c r="AC170" i="5" s="1"/>
  <c r="F193" i="23"/>
  <c r="G193" i="23" s="1"/>
  <c r="G44" i="5" s="1"/>
  <c r="F44" i="5"/>
  <c r="AC44" i="5" s="1"/>
  <c r="F195" i="23"/>
  <c r="G195" i="23" s="1"/>
  <c r="G46" i="5" s="1"/>
  <c r="F46" i="5"/>
  <c r="AC46" i="5" s="1"/>
  <c r="F1179" i="23"/>
  <c r="G1179" i="23" s="1"/>
  <c r="G191" i="5" s="1"/>
  <c r="F191" i="5"/>
  <c r="AC191" i="5" s="1"/>
  <c r="F323" i="23"/>
  <c r="G323" i="23" s="1"/>
  <c r="E325" i="23" s="1"/>
  <c r="G63" i="5" s="1"/>
  <c r="AI64" i="13" s="1"/>
  <c r="F63" i="5"/>
  <c r="AC63" i="5" s="1"/>
  <c r="F249" i="23"/>
  <c r="F54" i="5"/>
  <c r="AC54" i="5" s="1"/>
  <c r="F1335" i="23"/>
  <c r="F225" i="5"/>
  <c r="AC225" i="5" s="1"/>
  <c r="F1046" i="23"/>
  <c r="L1046" i="23" s="1"/>
  <c r="F175" i="5"/>
  <c r="AC175" i="5" s="1"/>
  <c r="G131" i="5"/>
  <c r="F131" i="5"/>
  <c r="AC131" i="5" s="1"/>
  <c r="F57" i="23"/>
  <c r="G57" i="23" s="1"/>
  <c r="G19" i="5" s="1"/>
  <c r="F19" i="5"/>
  <c r="AC19" i="5" s="1"/>
  <c r="F1019" i="23"/>
  <c r="L1016" i="23" s="1"/>
  <c r="F171" i="5"/>
  <c r="AC171" i="5" s="1"/>
  <c r="F648" i="23"/>
  <c r="F110" i="5"/>
  <c r="AC110" i="5" s="1"/>
  <c r="F345" i="23"/>
  <c r="F68" i="5"/>
  <c r="AC68" i="5" s="1"/>
  <c r="F432" i="23"/>
  <c r="G432" i="23" s="1"/>
  <c r="G84" i="5" s="1"/>
  <c r="F84" i="5"/>
  <c r="AC84" i="5" s="1"/>
  <c r="F1181" i="23"/>
  <c r="G1181" i="23" s="1"/>
  <c r="G193" i="5" s="1"/>
  <c r="F193" i="5"/>
  <c r="AC193" i="5" s="1"/>
  <c r="F17" i="23"/>
  <c r="G17" i="23" s="1"/>
  <c r="G12" i="5" s="1"/>
  <c r="F12" i="5"/>
  <c r="AC12" i="5" s="1"/>
  <c r="F194" i="23"/>
  <c r="G194" i="23" s="1"/>
  <c r="G45" i="5" s="1"/>
  <c r="AI44" i="13" s="1"/>
  <c r="F45" i="5"/>
  <c r="AC45" i="5" s="1"/>
  <c r="F95" i="23"/>
  <c r="G95" i="23" s="1"/>
  <c r="G26" i="5" s="1"/>
  <c r="F26" i="5"/>
  <c r="AC26" i="5" s="1"/>
  <c r="F910" i="23"/>
  <c r="G910" i="23" s="1"/>
  <c r="G151" i="5" s="1"/>
  <c r="AI156" i="13" s="1"/>
  <c r="BR156" i="13" s="1"/>
  <c r="F151" i="5"/>
  <c r="AC151" i="5" s="1"/>
  <c r="F848" i="23"/>
  <c r="G848" i="23" s="1"/>
  <c r="G141" i="5" s="1"/>
  <c r="F141" i="5"/>
  <c r="AC141" i="5" s="1"/>
  <c r="F248" i="23"/>
  <c r="G248" i="23" s="1"/>
  <c r="F53" i="5"/>
  <c r="AC53" i="5" s="1"/>
  <c r="F390" i="23"/>
  <c r="F78" i="5"/>
  <c r="AC78" i="5" s="1"/>
  <c r="F300" i="23"/>
  <c r="G300" i="23" s="1"/>
  <c r="G61" i="5" s="1"/>
  <c r="AI61" i="13" s="1"/>
  <c r="F61" i="5"/>
  <c r="AC61" i="5" s="1"/>
  <c r="F718" i="23"/>
  <c r="F122" i="5"/>
  <c r="AC122" i="5" s="1"/>
  <c r="F1045" i="23"/>
  <c r="F174" i="5"/>
  <c r="AC174" i="5" s="1"/>
  <c r="F22" i="23"/>
  <c r="G22" i="23" s="1"/>
  <c r="G17" i="5" s="1"/>
  <c r="F17" i="5"/>
  <c r="AC17" i="5" s="1"/>
  <c r="F452" i="23"/>
  <c r="G452" i="23" s="1"/>
  <c r="G86" i="5" s="1"/>
  <c r="F86" i="5"/>
  <c r="AC86" i="5" s="1"/>
  <c r="F671" i="23"/>
  <c r="G671" i="23" s="1"/>
  <c r="G112" i="5" s="1"/>
  <c r="F112" i="5"/>
  <c r="AC112" i="5" s="1"/>
  <c r="F351" i="23"/>
  <c r="G351" i="23" s="1"/>
  <c r="G74" i="5" s="1"/>
  <c r="AI74" i="13" s="1"/>
  <c r="F74" i="5"/>
  <c r="AC74" i="5" s="1"/>
  <c r="F192" i="23"/>
  <c r="G192" i="23" s="1"/>
  <c r="G43" i="5" s="1"/>
  <c r="AI42" i="13" s="1"/>
  <c r="F43" i="5"/>
  <c r="AC43" i="5" s="1"/>
  <c r="F388" i="23"/>
  <c r="G388" i="23" s="1"/>
  <c r="G76" i="5" s="1"/>
  <c r="AI76" i="13" s="1"/>
  <c r="F76" i="5"/>
  <c r="AC76" i="5" s="1"/>
  <c r="F220" i="23"/>
  <c r="L221" i="23" s="1"/>
  <c r="G220" i="23" s="1"/>
  <c r="F50" i="5"/>
  <c r="AC50" i="5" s="1"/>
  <c r="F547" i="23"/>
  <c r="G547" i="23" s="1"/>
  <c r="G98" i="5" s="1"/>
  <c r="F98" i="5"/>
  <c r="AC98" i="5" s="1"/>
  <c r="F21" i="23"/>
  <c r="G21" i="23" s="1"/>
  <c r="G16" i="5" s="1"/>
  <c r="F16" i="5"/>
  <c r="AC16" i="5" s="1"/>
  <c r="F673" i="23"/>
  <c r="G673" i="23" s="1"/>
  <c r="G114" i="5" s="1"/>
  <c r="AI120" i="13" s="1"/>
  <c r="F114" i="5"/>
  <c r="AC114" i="5" s="1"/>
  <c r="F97" i="23"/>
  <c r="G97" i="23" s="1"/>
  <c r="G27" i="5" s="1"/>
  <c r="AI25" i="13" s="1"/>
  <c r="BR25" i="13" s="1"/>
  <c r="F27" i="5"/>
  <c r="AC27" i="5" s="1"/>
  <c r="F1280" i="23"/>
  <c r="F206" i="5"/>
  <c r="AC206" i="5" s="1"/>
  <c r="F766" i="23"/>
  <c r="G766" i="23" s="1"/>
  <c r="G126" i="5" s="1"/>
  <c r="AI132" i="13" s="1"/>
  <c r="F126" i="5"/>
  <c r="AC126" i="5" s="1"/>
  <c r="F1071" i="23"/>
  <c r="F179" i="5"/>
  <c r="AC179" i="5" s="1"/>
  <c r="F849" i="23"/>
  <c r="G849" i="23" s="1"/>
  <c r="G142" i="5" s="1"/>
  <c r="F142" i="5"/>
  <c r="AC142" i="5" s="1"/>
  <c r="F221" i="23"/>
  <c r="G221" i="23" s="1"/>
  <c r="F51" i="5"/>
  <c r="AC51" i="5" s="1"/>
  <c r="F60" i="23"/>
  <c r="G60" i="23" s="1"/>
  <c r="F20" i="5"/>
  <c r="AC20" i="5" s="1"/>
  <c r="F575" i="23"/>
  <c r="F102" i="5"/>
  <c r="AC102" i="5" s="1"/>
  <c r="F349" i="23"/>
  <c r="G349" i="23" s="1"/>
  <c r="G72" i="5" s="1"/>
  <c r="AC72" i="5"/>
  <c r="F672" i="23"/>
  <c r="G672" i="23" s="1"/>
  <c r="G113" i="5" s="1"/>
  <c r="F113" i="5"/>
  <c r="AC113" i="5" s="1"/>
  <c r="F279" i="23"/>
  <c r="L275" i="23" s="1"/>
  <c r="F58" i="5"/>
  <c r="AC58" i="5" s="1"/>
  <c r="G87" i="5"/>
  <c r="AI88" i="13" s="1"/>
  <c r="G22" i="5"/>
  <c r="BZ103" i="13"/>
  <c r="I56" i="5"/>
  <c r="P32" i="5"/>
  <c r="P18" i="5"/>
  <c r="I89" i="5"/>
  <c r="W18" i="5"/>
  <c r="W89" i="5"/>
  <c r="I111" i="5"/>
  <c r="P208" i="5"/>
  <c r="W11" i="5"/>
  <c r="P197" i="5"/>
  <c r="W197" i="5"/>
  <c r="P89" i="5"/>
  <c r="P21" i="5"/>
  <c r="W205" i="5"/>
  <c r="W111" i="5"/>
  <c r="I39" i="5"/>
  <c r="I205" i="5"/>
  <c r="P111" i="5"/>
  <c r="W189" i="5"/>
  <c r="P205" i="5"/>
  <c r="P189" i="5"/>
  <c r="I202" i="5"/>
  <c r="W202" i="5"/>
  <c r="P41" i="5"/>
  <c r="W41" i="5"/>
  <c r="W39" i="5"/>
  <c r="I41" i="5"/>
  <c r="P115" i="5"/>
  <c r="W56" i="5"/>
  <c r="W79" i="5"/>
  <c r="P202" i="5"/>
  <c r="P39" i="5"/>
  <c r="P56" i="5"/>
  <c r="W32" i="5"/>
  <c r="I18" i="5"/>
  <c r="BR255" i="13"/>
  <c r="K76" i="11"/>
  <c r="BR253" i="13"/>
  <c r="K63" i="11"/>
  <c r="K77" i="11"/>
  <c r="AA212" i="13"/>
  <c r="AB212" i="13" s="1"/>
  <c r="CA187" i="13"/>
  <c r="CC187" i="13"/>
  <c r="E186" i="23"/>
  <c r="F1325" i="23"/>
  <c r="BE144" i="13"/>
  <c r="I138" i="5" s="1"/>
  <c r="E296" i="23"/>
  <c r="F303" i="23" s="1"/>
  <c r="G303" i="23" s="1"/>
  <c r="F1327" i="23"/>
  <c r="F1337" i="23"/>
  <c r="F1184" i="23"/>
  <c r="E1171" i="23"/>
  <c r="U202" i="13"/>
  <c r="BE30" i="13"/>
  <c r="I32" i="5" s="1"/>
  <c r="BE179" i="13"/>
  <c r="I176" i="5" s="1"/>
  <c r="BE148" i="13"/>
  <c r="I143" i="5" s="1"/>
  <c r="BE134" i="13"/>
  <c r="I128" i="5" s="1"/>
  <c r="BE138" i="13"/>
  <c r="I132" i="5" s="1"/>
  <c r="E907" i="23"/>
  <c r="F1333" i="23"/>
  <c r="BE19" i="13"/>
  <c r="I21" i="5" s="1"/>
  <c r="I28" i="3"/>
  <c r="U77" i="13" s="1"/>
  <c r="F1328" i="23"/>
  <c r="E1063" i="23"/>
  <c r="F1074" i="23"/>
  <c r="AK230" i="13"/>
  <c r="F823" i="23"/>
  <c r="G823" i="23" s="1"/>
  <c r="G134" i="5" s="1"/>
  <c r="F884" i="23"/>
  <c r="G884" i="23" s="1"/>
  <c r="G145" i="5" s="1"/>
  <c r="F916" i="23"/>
  <c r="G916" i="23" s="1"/>
  <c r="L1070" i="23"/>
  <c r="L1072" i="23"/>
  <c r="L1071" i="23"/>
  <c r="AJ223" i="13"/>
  <c r="E611" i="23"/>
  <c r="K618" i="23" s="1"/>
  <c r="AJ224" i="13"/>
  <c r="E712" i="23"/>
  <c r="AK220" i="13"/>
  <c r="AK222" i="13"/>
  <c r="F355" i="23"/>
  <c r="G355" i="23" s="1"/>
  <c r="G219" i="5" s="1"/>
  <c r="E342" i="23"/>
  <c r="F354" i="23"/>
  <c r="G354" i="23" s="1"/>
  <c r="G218" i="5" s="1"/>
  <c r="AJ218" i="13"/>
  <c r="F198" i="23"/>
  <c r="G198" i="23" s="1"/>
  <c r="AA89" i="13"/>
  <c r="AB89" i="13" s="1"/>
  <c r="U86" i="13"/>
  <c r="AA86" i="13" s="1"/>
  <c r="AA48" i="13"/>
  <c r="AB48" i="13" s="1"/>
  <c r="U46" i="13"/>
  <c r="AA46" i="13" s="1"/>
  <c r="AA165" i="13"/>
  <c r="U164" i="13"/>
  <c r="AA164" i="13" s="1"/>
  <c r="AA145" i="13"/>
  <c r="AB145" i="13" s="1"/>
  <c r="U144" i="13"/>
  <c r="AA144" i="13" s="1"/>
  <c r="AA152" i="13" s="1"/>
  <c r="U90" i="13"/>
  <c r="AA90" i="13" s="1"/>
  <c r="I25" i="3"/>
  <c r="BR252" i="13"/>
  <c r="BD252" i="13"/>
  <c r="E996" i="23" s="1"/>
  <c r="BC49" i="13"/>
  <c r="BB49" i="13"/>
  <c r="AA114" i="13"/>
  <c r="AB114" i="13" s="1"/>
  <c r="AP114" i="13"/>
  <c r="AQ114" i="13"/>
  <c r="BI251" i="13"/>
  <c r="BS251" i="13"/>
  <c r="BL251" i="13"/>
  <c r="BT251" i="13"/>
  <c r="BF251" i="13"/>
  <c r="BG238" i="13"/>
  <c r="BH238" i="13" s="1"/>
  <c r="P121" i="5" s="1"/>
  <c r="BS238" i="13"/>
  <c r="BJ238" i="13"/>
  <c r="BK238" i="13" s="1"/>
  <c r="W121" i="5" s="1"/>
  <c r="BT238" i="13"/>
  <c r="BD238" i="13"/>
  <c r="BE238" i="13" s="1"/>
  <c r="I121" i="5" s="1"/>
  <c r="BR238" i="13"/>
  <c r="AA94" i="13"/>
  <c r="AB94" i="13" s="1"/>
  <c r="F93" i="5" s="1"/>
  <c r="AC93" i="5" s="1"/>
  <c r="I22" i="3"/>
  <c r="I21" i="3"/>
  <c r="AA84" i="13"/>
  <c r="AB84" i="13" s="1"/>
  <c r="F83" i="5" s="1"/>
  <c r="AC83" i="5" s="1"/>
  <c r="I19" i="3"/>
  <c r="AC258" i="5"/>
  <c r="AK105" i="13"/>
  <c r="AK224" i="13"/>
  <c r="AK228" i="13"/>
  <c r="AI237" i="13"/>
  <c r="AK237" i="13"/>
  <c r="AK58" i="13" s="1"/>
  <c r="AJ237" i="13"/>
  <c r="AJ58" i="13" s="1"/>
  <c r="AI127" i="13"/>
  <c r="AK127" i="13"/>
  <c r="AJ127" i="13"/>
  <c r="AI137" i="13"/>
  <c r="AK137" i="13"/>
  <c r="AJ137" i="13"/>
  <c r="AK157" i="13"/>
  <c r="AJ157" i="13"/>
  <c r="AI157" i="13"/>
  <c r="AK73" i="13"/>
  <c r="AJ73" i="13"/>
  <c r="AJ190" i="13"/>
  <c r="AI190" i="13"/>
  <c r="AK190" i="13"/>
  <c r="AJ85" i="13"/>
  <c r="AK85" i="13"/>
  <c r="AJ53" i="13"/>
  <c r="AK53" i="13"/>
  <c r="AJ226" i="13"/>
  <c r="AJ228" i="13"/>
  <c r="AI105" i="13"/>
  <c r="AK139" i="13"/>
  <c r="AJ139" i="13"/>
  <c r="AI139" i="13"/>
  <c r="AK101" i="13"/>
  <c r="BT101" i="13" s="1"/>
  <c r="AJ101" i="13"/>
  <c r="BS101" i="13" s="1"/>
  <c r="AJ14" i="13"/>
  <c r="AK14" i="13"/>
  <c r="AK151" i="13"/>
  <c r="BT151" i="13" s="1"/>
  <c r="AJ151" i="13"/>
  <c r="BS151" i="13" s="1"/>
  <c r="AK136" i="13"/>
  <c r="AJ136" i="13"/>
  <c r="AJ74" i="13"/>
  <c r="AK74" i="13"/>
  <c r="AK52" i="13"/>
  <c r="AK70" i="13" s="1"/>
  <c r="AJ52" i="13"/>
  <c r="AJ70" i="13" s="1"/>
  <c r="AK223" i="13"/>
  <c r="AK218" i="13"/>
  <c r="AI240" i="13"/>
  <c r="BD240" i="13" s="1"/>
  <c r="E807" i="23" s="1"/>
  <c r="AK240" i="13"/>
  <c r="BJ240" i="13" s="1"/>
  <c r="AJ240" i="13"/>
  <c r="BG240" i="13" s="1"/>
  <c r="AK18" i="13"/>
  <c r="AJ18" i="13"/>
  <c r="AJ135" i="13"/>
  <c r="AI135" i="13"/>
  <c r="AK135" i="13"/>
  <c r="AK188" i="13"/>
  <c r="AK187" i="13" s="1"/>
  <c r="AJ188" i="13"/>
  <c r="AJ187" i="13" s="1"/>
  <c r="AI242" i="13"/>
  <c r="BR242" i="13" s="1"/>
  <c r="AK242" i="13"/>
  <c r="BT242" i="13" s="1"/>
  <c r="AJ242" i="13"/>
  <c r="BS242" i="13" s="1"/>
  <c r="AI193" i="13"/>
  <c r="AK193" i="13"/>
  <c r="AJ193" i="13"/>
  <c r="AJ122" i="13"/>
  <c r="AJ121" i="13" s="1"/>
  <c r="AK122" i="13"/>
  <c r="AK121" i="13" s="1"/>
  <c r="AK161" i="13"/>
  <c r="AK160" i="13" s="1"/>
  <c r="AJ161" i="13"/>
  <c r="AJ160" i="13" s="1"/>
  <c r="AK78" i="13"/>
  <c r="AJ78" i="13"/>
  <c r="AJ220" i="13"/>
  <c r="AK226" i="13"/>
  <c r="AK54" i="13"/>
  <c r="AJ54" i="13"/>
  <c r="AJ244" i="13"/>
  <c r="AI244" i="13"/>
  <c r="AK244" i="13"/>
  <c r="AJ129" i="13"/>
  <c r="BS129" i="13" s="1"/>
  <c r="AK129" i="13"/>
  <c r="BT129" i="13" s="1"/>
  <c r="AK12" i="13"/>
  <c r="AJ12" i="13"/>
  <c r="AK17" i="13"/>
  <c r="AJ17" i="13"/>
  <c r="AK133" i="13"/>
  <c r="AJ133" i="13"/>
  <c r="AK72" i="13"/>
  <c r="AJ72" i="13"/>
  <c r="AK61" i="13"/>
  <c r="AJ61" i="13"/>
  <c r="AK194" i="13"/>
  <c r="AK196" i="13"/>
  <c r="AK195" i="13"/>
  <c r="AI245" i="13"/>
  <c r="AK245" i="13"/>
  <c r="AJ245" i="13"/>
  <c r="AK27" i="13"/>
  <c r="BJ27" i="13" s="1"/>
  <c r="AJ27" i="13"/>
  <c r="BG27" i="13" s="1"/>
  <c r="AI180" i="13"/>
  <c r="AK180" i="13"/>
  <c r="AJ180" i="13"/>
  <c r="AK11" i="13"/>
  <c r="AJ11" i="13"/>
  <c r="AJ57" i="13"/>
  <c r="AK57" i="13"/>
  <c r="AI57" i="13"/>
  <c r="AJ71" i="13"/>
  <c r="AK71" i="13"/>
  <c r="AJ102" i="13"/>
  <c r="BS102" i="13" s="1"/>
  <c r="AK102" i="13"/>
  <c r="BT102" i="13" s="1"/>
  <c r="AJ163" i="13"/>
  <c r="AK163" i="13"/>
  <c r="AK32" i="13"/>
  <c r="AJ32" i="13"/>
  <c r="AK119" i="13"/>
  <c r="AJ119" i="13"/>
  <c r="AJ76" i="13"/>
  <c r="AK76" i="13"/>
  <c r="AJ191" i="13"/>
  <c r="AI196" i="13"/>
  <c r="AI241" i="13"/>
  <c r="AK241" i="13"/>
  <c r="AJ241" i="13"/>
  <c r="AK132" i="13"/>
  <c r="AJ132" i="13"/>
  <c r="AK147" i="13"/>
  <c r="BT147" i="13" s="1"/>
  <c r="AJ147" i="13"/>
  <c r="BS147" i="13" s="1"/>
  <c r="AJ20" i="13"/>
  <c r="AK20" i="13"/>
  <c r="AK22" i="13"/>
  <c r="AJ22" i="13"/>
  <c r="AI128" i="13"/>
  <c r="BR128" i="13" s="1"/>
  <c r="AK128" i="13"/>
  <c r="BT128" i="13" s="1"/>
  <c r="AJ128" i="13"/>
  <c r="BS128" i="13" s="1"/>
  <c r="AK15" i="13"/>
  <c r="AJ15" i="13"/>
  <c r="AJ24" i="13"/>
  <c r="BS24" i="13" s="1"/>
  <c r="AK24" i="13"/>
  <c r="BT24" i="13" s="1"/>
  <c r="AK149" i="13"/>
  <c r="AJ149" i="13"/>
  <c r="AJ23" i="13"/>
  <c r="AK23" i="13"/>
  <c r="AJ28" i="13"/>
  <c r="AK28" i="13"/>
  <c r="AJ230" i="13"/>
  <c r="AK191" i="13"/>
  <c r="AJ194" i="13"/>
  <c r="AJ196" i="13"/>
  <c r="AJ195" i="13"/>
  <c r="AJ60" i="13"/>
  <c r="AK60" i="13"/>
  <c r="AJ239" i="13"/>
  <c r="BS239" i="13" s="1"/>
  <c r="AI239" i="13"/>
  <c r="AK239" i="13"/>
  <c r="BT239" i="13" s="1"/>
  <c r="AK120" i="13"/>
  <c r="AJ120" i="13"/>
  <c r="AK25" i="13"/>
  <c r="BT25" i="13" s="1"/>
  <c r="AJ25" i="13"/>
  <c r="BS25" i="13" s="1"/>
  <c r="AJ131" i="13"/>
  <c r="AI131" i="13"/>
  <c r="AK131" i="13"/>
  <c r="AJ33" i="13"/>
  <c r="AK33" i="13"/>
  <c r="AK43" i="13"/>
  <c r="AK42" i="13"/>
  <c r="AK45" i="13"/>
  <c r="AK44" i="13"/>
  <c r="AK13" i="13"/>
  <c r="AJ13" i="13"/>
  <c r="AI172" i="13"/>
  <c r="AK172" i="13"/>
  <c r="AJ172" i="13"/>
  <c r="AI209" i="13"/>
  <c r="AK209" i="13"/>
  <c r="AJ209" i="13"/>
  <c r="AJ116" i="13"/>
  <c r="AJ115" i="13" s="1"/>
  <c r="AK116" i="13"/>
  <c r="AK115" i="13" s="1"/>
  <c r="AK31" i="13"/>
  <c r="AJ31" i="13"/>
  <c r="AJ222" i="13"/>
  <c r="AI45" i="13"/>
  <c r="AK29" i="13"/>
  <c r="AJ29" i="13"/>
  <c r="AJ158" i="13"/>
  <c r="BG158" i="13" s="1"/>
  <c r="AI158" i="13"/>
  <c r="BD158" i="13" s="1"/>
  <c r="AK158" i="13"/>
  <c r="BJ158" i="13" s="1"/>
  <c r="AK21" i="13"/>
  <c r="AJ21" i="13"/>
  <c r="AJ150" i="13"/>
  <c r="BS150" i="13" s="1"/>
  <c r="AK150" i="13"/>
  <c r="BT150" i="13" s="1"/>
  <c r="AK156" i="13"/>
  <c r="BT156" i="13" s="1"/>
  <c r="AJ156" i="13"/>
  <c r="BS156" i="13" s="1"/>
  <c r="AK146" i="13"/>
  <c r="BT146" i="13" s="1"/>
  <c r="AJ146" i="13"/>
  <c r="BS146" i="13" s="1"/>
  <c r="AJ64" i="13"/>
  <c r="AK64" i="13"/>
  <c r="AA202" i="13"/>
  <c r="AJ43" i="13"/>
  <c r="AJ42" i="13"/>
  <c r="AJ45" i="13"/>
  <c r="AJ44" i="13"/>
  <c r="AK88" i="13"/>
  <c r="AJ88" i="13"/>
  <c r="AJ87" i="13"/>
  <c r="AK87" i="13"/>
  <c r="AK118" i="13"/>
  <c r="AJ118" i="13"/>
  <c r="AK47" i="13"/>
  <c r="AJ47" i="13"/>
  <c r="AI47" i="13"/>
  <c r="AJ184" i="13"/>
  <c r="AI184" i="13"/>
  <c r="AK184" i="13"/>
  <c r="AJ105" i="13"/>
  <c r="AA205" i="13"/>
  <c r="AB205" i="13" s="1"/>
  <c r="AA213" i="13"/>
  <c r="AE40" i="13"/>
  <c r="BB163" i="13"/>
  <c r="AA203" i="13"/>
  <c r="AA91" i="13"/>
  <c r="AB91" i="13" s="1"/>
  <c r="AA92" i="13"/>
  <c r="AB92" i="13" s="1"/>
  <c r="CG95" i="13"/>
  <c r="AA80" i="13"/>
  <c r="AB80" i="13" s="1"/>
  <c r="AF40" i="13"/>
  <c r="AQ32" i="13"/>
  <c r="BC32" i="13" s="1"/>
  <c r="AP32" i="13"/>
  <c r="BB32" i="13" s="1"/>
  <c r="BC181" i="13"/>
  <c r="AB63" i="13"/>
  <c r="BC157" i="13"/>
  <c r="AB189" i="13"/>
  <c r="Y219" i="13"/>
  <c r="AG40" i="13"/>
  <c r="AB103" i="13"/>
  <c r="AB162" i="13"/>
  <c r="F158" i="5" s="1"/>
  <c r="AC158" i="5" s="1"/>
  <c r="F98" i="16"/>
  <c r="I98" i="16" s="1"/>
  <c r="AB56" i="13"/>
  <c r="Y201" i="13"/>
  <c r="AA201" i="13" s="1"/>
  <c r="AB69" i="13"/>
  <c r="BC151" i="13"/>
  <c r="BB151" i="13"/>
  <c r="AB187" i="13"/>
  <c r="H1121" i="23" s="1" a="1"/>
  <c r="H1121" i="23" s="1"/>
  <c r="BC188" i="13"/>
  <c r="BB188" i="13"/>
  <c r="AB160" i="13"/>
  <c r="F156" i="5" s="1"/>
  <c r="AC156" i="5" s="1"/>
  <c r="BC161" i="13"/>
  <c r="BB161" i="13"/>
  <c r="AB115" i="13"/>
  <c r="AB121" i="13"/>
  <c r="K688" i="23" s="1" a="1"/>
  <c r="K688" i="23" s="1"/>
  <c r="BC150" i="13"/>
  <c r="BB150" i="13"/>
  <c r="BC142" i="13"/>
  <c r="BB142" i="13"/>
  <c r="BB156" i="13"/>
  <c r="BA156" i="13"/>
  <c r="BC156" i="13"/>
  <c r="AB148" i="13"/>
  <c r="AB130" i="13"/>
  <c r="BC163" i="13"/>
  <c r="AB165" i="13"/>
  <c r="AB59" i="13"/>
  <c r="H294" i="23" s="1" a="1"/>
  <c r="H294" i="23" s="1"/>
  <c r="BC102" i="13"/>
  <c r="AB225" i="13"/>
  <c r="F222" i="5" s="1"/>
  <c r="AC222" i="5" s="1"/>
  <c r="BB102" i="13"/>
  <c r="D104" i="16"/>
  <c r="F104" i="16" s="1"/>
  <c r="AB227" i="13"/>
  <c r="D106" i="16"/>
  <c r="F106" i="16" s="1"/>
  <c r="AB192" i="13"/>
  <c r="D86" i="16"/>
  <c r="D94" i="16"/>
  <c r="AB100" i="13"/>
  <c r="D52" i="16"/>
  <c r="D96" i="16"/>
  <c r="AB179" i="13"/>
  <c r="BC173" i="13"/>
  <c r="BB173" i="13"/>
  <c r="BA173" i="13"/>
  <c r="BS252" i="13"/>
  <c r="BT252" i="13"/>
  <c r="BE10" i="13"/>
  <c r="AB117" i="13"/>
  <c r="H666" i="23" s="1" a="1"/>
  <c r="H666" i="23" s="1"/>
  <c r="BG234" i="13"/>
  <c r="BD234" i="13"/>
  <c r="E203" i="23" s="1"/>
  <c r="BK234" i="13"/>
  <c r="BK246" i="13"/>
  <c r="W101" i="5" s="1"/>
  <c r="BH246" i="13"/>
  <c r="P101" i="5" s="1"/>
  <c r="BE246" i="13"/>
  <c r="I101" i="5" s="1"/>
  <c r="BE248" i="13"/>
  <c r="I190" i="5" s="1"/>
  <c r="BE247" i="13"/>
  <c r="I187" i="5" s="1"/>
  <c r="BH248" i="13"/>
  <c r="P190" i="5" s="1"/>
  <c r="BH247" i="13"/>
  <c r="P187" i="5" s="1"/>
  <c r="BK248" i="13"/>
  <c r="W190" i="5" s="1"/>
  <c r="BK247" i="13"/>
  <c r="W187" i="5" s="1"/>
  <c r="AB138" i="13"/>
  <c r="AB134" i="13"/>
  <c r="AB183" i="13"/>
  <c r="AB30" i="13"/>
  <c r="AB175" i="13"/>
  <c r="AB171" i="13"/>
  <c r="AB155" i="13"/>
  <c r="AB126" i="13"/>
  <c r="AB51" i="13"/>
  <c r="H243" i="23" s="1" a="1"/>
  <c r="H243" i="23" s="1"/>
  <c r="AB10" i="13"/>
  <c r="F11" i="5" s="1"/>
  <c r="AC11" i="5" s="1"/>
  <c r="AB26" i="13"/>
  <c r="AB19" i="13"/>
  <c r="AB16" i="13"/>
  <c r="AB206" i="13"/>
  <c r="AB170" i="13"/>
  <c r="BE249" i="13"/>
  <c r="I199" i="5" s="1"/>
  <c r="BK249" i="13"/>
  <c r="W199" i="5" s="1"/>
  <c r="BH249" i="13"/>
  <c r="P199" i="5" s="1"/>
  <c r="AB41" i="13"/>
  <c r="F42" i="5" s="1"/>
  <c r="AC42" i="5" s="1"/>
  <c r="BC158" i="13"/>
  <c r="BB158" i="13"/>
  <c r="BA128" i="13"/>
  <c r="BC128" i="13"/>
  <c r="BB128" i="13"/>
  <c r="BG15" i="13"/>
  <c r="BJ15" i="13"/>
  <c r="BD15" i="13"/>
  <c r="AA123" i="13"/>
  <c r="D43" i="16"/>
  <c r="AA36" i="13"/>
  <c r="AA66" i="13"/>
  <c r="D68" i="16"/>
  <c r="D75" i="16"/>
  <c r="BE200" i="13"/>
  <c r="BE211" i="13"/>
  <c r="BE192" i="13"/>
  <c r="BE171" i="13"/>
  <c r="I168" i="5" s="1"/>
  <c r="BE169" i="13"/>
  <c r="I165" i="5" s="1"/>
  <c r="BE164" i="13"/>
  <c r="I160" i="5" s="1"/>
  <c r="BE130" i="13"/>
  <c r="I124" i="5" s="1"/>
  <c r="BE115" i="13"/>
  <c r="I109" i="5" s="1"/>
  <c r="BE121" i="13"/>
  <c r="BE100" i="13"/>
  <c r="I97" i="5" s="1"/>
  <c r="F257" i="5"/>
  <c r="AC257" i="5" s="1"/>
  <c r="F248" i="5"/>
  <c r="F249" i="5"/>
  <c r="AC249" i="5" s="1"/>
  <c r="F250" i="5"/>
  <c r="F256" i="5"/>
  <c r="F259" i="5"/>
  <c r="AC259" i="5" s="1"/>
  <c r="F253" i="5"/>
  <c r="F254" i="5"/>
  <c r="BD220" i="13"/>
  <c r="BJ226" i="13"/>
  <c r="BK226" i="13" s="1"/>
  <c r="W223" i="5" s="1"/>
  <c r="BG228" i="13"/>
  <c r="BH228" i="13" s="1"/>
  <c r="P225" i="5" s="1"/>
  <c r="BD223" i="13"/>
  <c r="AA110" i="13"/>
  <c r="BD69" i="13"/>
  <c r="AB229" i="13"/>
  <c r="AB34" i="13"/>
  <c r="D102" i="16"/>
  <c r="F102" i="16" s="1"/>
  <c r="I102" i="16" s="1"/>
  <c r="AB217" i="13"/>
  <c r="F214" i="5" s="1"/>
  <c r="AC214" i="5" s="1"/>
  <c r="AA166" i="13"/>
  <c r="BZ90" i="13"/>
  <c r="CC51" i="13"/>
  <c r="BZ83" i="13"/>
  <c r="CG83" i="13" s="1"/>
  <c r="CC121" i="13"/>
  <c r="BZ121" i="13"/>
  <c r="CC169" i="13"/>
  <c r="CC179" i="13"/>
  <c r="BZ179" i="13"/>
  <c r="BZ169" i="13"/>
  <c r="CC69" i="13"/>
  <c r="BZ69" i="13"/>
  <c r="CC79" i="13"/>
  <c r="CC55" i="13"/>
  <c r="CA134" i="13"/>
  <c r="CC108" i="13"/>
  <c r="BZ108" i="13"/>
  <c r="CA90" i="13"/>
  <c r="CC39" i="13"/>
  <c r="CA30" i="13"/>
  <c r="CA159" i="13"/>
  <c r="CA106" i="13"/>
  <c r="CA107" i="13"/>
  <c r="CA62" i="13"/>
  <c r="CC62" i="13"/>
  <c r="BZ171" i="13"/>
  <c r="F97" i="16"/>
  <c r="I97" i="16" s="1"/>
  <c r="CC107" i="13"/>
  <c r="CA171" i="13"/>
  <c r="CA109" i="13"/>
  <c r="CA56" i="13"/>
  <c r="BZ19" i="13"/>
  <c r="CA65" i="13"/>
  <c r="BZ100" i="13"/>
  <c r="CA16" i="13"/>
  <c r="BZ200" i="13"/>
  <c r="CG200" i="13" s="1"/>
  <c r="CC56" i="13"/>
  <c r="CC204" i="13"/>
  <c r="CC109" i="13"/>
  <c r="CA113" i="13"/>
  <c r="CC160" i="13"/>
  <c r="CC26" i="13"/>
  <c r="CC138" i="13"/>
  <c r="CC59" i="13"/>
  <c r="CA126" i="13"/>
  <c r="BZ160" i="13"/>
  <c r="BZ26" i="13"/>
  <c r="CA155" i="13"/>
  <c r="CA59" i="13"/>
  <c r="CC183" i="13"/>
  <c r="CA183" i="13"/>
  <c r="CC82" i="13"/>
  <c r="CA82" i="13"/>
  <c r="BZ208" i="13"/>
  <c r="CG208" i="13" s="1"/>
  <c r="BZ65" i="13"/>
  <c r="CC19" i="13"/>
  <c r="CC100" i="13"/>
  <c r="BZ115" i="13"/>
  <c r="CG115" i="13" s="1"/>
  <c r="CC16" i="13"/>
  <c r="CC95" i="13"/>
  <c r="CC10" i="13"/>
  <c r="CA10" i="13"/>
  <c r="CC75" i="13"/>
  <c r="CC86" i="13"/>
  <c r="BZ93" i="13"/>
  <c r="CG93" i="13" s="1"/>
  <c r="CA86" i="13"/>
  <c r="CA96" i="13"/>
  <c r="CA207" i="13"/>
  <c r="BZ164" i="13"/>
  <c r="BZ63" i="13"/>
  <c r="CC207" i="13"/>
  <c r="CC96" i="13"/>
  <c r="CC211" i="13"/>
  <c r="CA164" i="13"/>
  <c r="CC63" i="13"/>
  <c r="CC117" i="13"/>
  <c r="F45" i="16"/>
  <c r="I45" i="16" s="1"/>
  <c r="BG65" i="13"/>
  <c r="BH65" i="13" s="1"/>
  <c r="BJ65" i="13"/>
  <c r="BK65" i="13" s="1"/>
  <c r="F25" i="16"/>
  <c r="I25" i="16" s="1"/>
  <c r="BZ98" i="13"/>
  <c r="CC98" i="13"/>
  <c r="CA97" i="13"/>
  <c r="CC97" i="13"/>
  <c r="F100" i="16"/>
  <c r="I100" i="16" s="1"/>
  <c r="BZ198" i="13"/>
  <c r="CC198" i="13"/>
  <c r="CG79" i="13"/>
  <c r="CA144" i="13"/>
  <c r="CC144" i="13"/>
  <c r="F32" i="16"/>
  <c r="I32" i="16" s="1"/>
  <c r="BZ35" i="13"/>
  <c r="CC35" i="13"/>
  <c r="CA35" i="13"/>
  <c r="BZ167" i="13"/>
  <c r="CC167" i="13"/>
  <c r="CA167" i="13"/>
  <c r="BZ153" i="13"/>
  <c r="CC153" i="13"/>
  <c r="CA153" i="13"/>
  <c r="BZ124" i="13"/>
  <c r="CA124" i="13"/>
  <c r="CC124" i="13"/>
  <c r="BZ214" i="13"/>
  <c r="CA214" i="13"/>
  <c r="CC214" i="13"/>
  <c r="BZ217" i="13"/>
  <c r="CC217" i="13"/>
  <c r="CA217" i="13"/>
  <c r="BZ123" i="13"/>
  <c r="CA123" i="13"/>
  <c r="CC123" i="13"/>
  <c r="BZ221" i="13"/>
  <c r="CA221" i="13"/>
  <c r="CC221" i="13"/>
  <c r="BZ67" i="13"/>
  <c r="CC67" i="13"/>
  <c r="CA67" i="13"/>
  <c r="BZ152" i="13"/>
  <c r="CC152" i="13"/>
  <c r="CA152" i="13"/>
  <c r="BZ166" i="13"/>
  <c r="CA166" i="13"/>
  <c r="CC166" i="13"/>
  <c r="BZ222" i="13"/>
  <c r="CA222" i="13"/>
  <c r="CC222" i="13"/>
  <c r="BZ110" i="13"/>
  <c r="CA110" i="13"/>
  <c r="CC110" i="13"/>
  <c r="CA232" i="13"/>
  <c r="BZ232" i="13"/>
  <c r="CC232" i="13"/>
  <c r="BZ224" i="13"/>
  <c r="CA224" i="13"/>
  <c r="CC224" i="13"/>
  <c r="BZ218" i="13"/>
  <c r="CA218" i="13"/>
  <c r="CC218" i="13"/>
  <c r="BZ231" i="13"/>
  <c r="CA231" i="13"/>
  <c r="CC231" i="13"/>
  <c r="BZ225" i="13"/>
  <c r="CC225" i="13"/>
  <c r="CA225" i="13"/>
  <c r="CA219" i="13"/>
  <c r="BZ219" i="13"/>
  <c r="CC219" i="13"/>
  <c r="BZ34" i="13"/>
  <c r="CC34" i="13"/>
  <c r="CA34" i="13"/>
  <c r="BZ215" i="13"/>
  <c r="CA215" i="13"/>
  <c r="CC215" i="13"/>
  <c r="BZ197" i="13"/>
  <c r="CA197" i="13"/>
  <c r="CC197" i="13"/>
  <c r="BZ220" i="13"/>
  <c r="CA220" i="13"/>
  <c r="CC220" i="13"/>
  <c r="BZ111" i="13"/>
  <c r="CC111" i="13"/>
  <c r="CA111" i="13"/>
  <c r="CC66" i="13"/>
  <c r="BZ66" i="13"/>
  <c r="CA66" i="13"/>
  <c r="BZ37" i="13"/>
  <c r="CA37" i="13"/>
  <c r="CC37" i="13"/>
  <c r="BZ36" i="13"/>
  <c r="CC36" i="13"/>
  <c r="CA36" i="13"/>
  <c r="CA223" i="13"/>
  <c r="CC223" i="13"/>
  <c r="BZ223" i="13"/>
  <c r="F95" i="16"/>
  <c r="I95" i="16" s="1"/>
  <c r="F20" i="16"/>
  <c r="I20" i="16" s="1"/>
  <c r="F47" i="16"/>
  <c r="I47" i="16" s="1"/>
  <c r="F101" i="16"/>
  <c r="I101" i="16" s="1"/>
  <c r="F48" i="16"/>
  <c r="I48" i="16" s="1"/>
  <c r="F13" i="16"/>
  <c r="I13" i="16" s="1"/>
  <c r="F88" i="16"/>
  <c r="I88" i="16" s="1"/>
  <c r="BJ96" i="13"/>
  <c r="BK96" i="13" s="1"/>
  <c r="BG96" i="13"/>
  <c r="BH96" i="13" s="1"/>
  <c r="F39" i="16"/>
  <c r="I39" i="16" s="1"/>
  <c r="F38" i="16"/>
  <c r="I38" i="16" s="1"/>
  <c r="F99" i="16"/>
  <c r="I99" i="16" s="1"/>
  <c r="F23" i="16"/>
  <c r="I23" i="16" s="1"/>
  <c r="F46" i="16"/>
  <c r="I46" i="16" s="1"/>
  <c r="BD155" i="13"/>
  <c r="F69" i="16"/>
  <c r="I69" i="16" s="1"/>
  <c r="G249" i="23" l="1"/>
  <c r="M1124" i="23" s="1"/>
  <c r="L1018" i="23"/>
  <c r="L1014" i="23"/>
  <c r="E305" i="23"/>
  <c r="L1015" i="23"/>
  <c r="L1017" i="23"/>
  <c r="L1019" i="23"/>
  <c r="E804" i="23"/>
  <c r="E1132" i="23"/>
  <c r="E695" i="23"/>
  <c r="L351" i="23"/>
  <c r="G347" i="23" s="1"/>
  <c r="G70" i="5" s="1"/>
  <c r="L349" i="23"/>
  <c r="L348" i="23"/>
  <c r="E122" i="23"/>
  <c r="G135" i="5"/>
  <c r="AI141" i="13" s="1"/>
  <c r="M1127" i="23"/>
  <c r="L948" i="23"/>
  <c r="F91" i="5"/>
  <c r="AC91" i="5" s="1"/>
  <c r="F480" i="23"/>
  <c r="G53" i="5"/>
  <c r="AI52" i="13" s="1"/>
  <c r="L354" i="23"/>
  <c r="G345" i="23" s="1"/>
  <c r="G136" i="5"/>
  <c r="AI142" i="13" s="1"/>
  <c r="BD142" i="13" s="1"/>
  <c r="G20" i="5"/>
  <c r="AI18" i="13" s="1"/>
  <c r="G390" i="23"/>
  <c r="G78" i="5" s="1"/>
  <c r="AI78" i="13" s="1"/>
  <c r="AM390" i="23"/>
  <c r="AM391" i="23" s="1"/>
  <c r="H318" i="23" a="1"/>
  <c r="H318" i="23" s="1"/>
  <c r="E319" i="23"/>
  <c r="AI147" i="13"/>
  <c r="BR147" i="13" s="1"/>
  <c r="L276" i="23"/>
  <c r="AI11" i="13"/>
  <c r="L277" i="23"/>
  <c r="G279" i="23" s="1"/>
  <c r="E745" i="23"/>
  <c r="AI20" i="13"/>
  <c r="G1153" i="23"/>
  <c r="G188" i="5" s="1"/>
  <c r="AI31" i="13"/>
  <c r="AI24" i="13"/>
  <c r="BR24" i="13" s="1"/>
  <c r="AI13" i="13"/>
  <c r="AI119" i="13"/>
  <c r="AI87" i="13"/>
  <c r="AI222" i="13"/>
  <c r="G1329" i="23" s="1"/>
  <c r="E1329" i="23" s="1"/>
  <c r="G1019" i="23"/>
  <c r="G171" i="5" s="1"/>
  <c r="AI174" i="13" s="1"/>
  <c r="BR174" i="13" s="1"/>
  <c r="L715" i="23"/>
  <c r="M715" i="23" s="1"/>
  <c r="E747" i="23" s="1"/>
  <c r="E307" i="23"/>
  <c r="G217" i="5"/>
  <c r="E202" i="23"/>
  <c r="G215" i="5"/>
  <c r="E928" i="23"/>
  <c r="G223" i="5"/>
  <c r="AI60" i="13"/>
  <c r="AI59" i="13" s="1"/>
  <c r="AI33" i="13"/>
  <c r="AI194" i="13"/>
  <c r="AI192" i="13" s="1"/>
  <c r="AI17" i="13"/>
  <c r="AI28" i="13"/>
  <c r="AI14" i="13"/>
  <c r="AI101" i="13"/>
  <c r="BR101" i="13" s="1"/>
  <c r="AI146" i="13"/>
  <c r="BR146" i="13" s="1"/>
  <c r="AI118" i="13"/>
  <c r="AI85" i="13"/>
  <c r="G1184" i="23"/>
  <c r="L220" i="23"/>
  <c r="G25" i="5"/>
  <c r="AI102" i="13"/>
  <c r="BR102" i="13" s="1"/>
  <c r="AI27" i="13"/>
  <c r="BD27" i="13" s="1"/>
  <c r="BE27" i="13" s="1"/>
  <c r="L1045" i="23"/>
  <c r="G1046" i="23" s="1"/>
  <c r="AI15" i="13"/>
  <c r="AI73" i="13"/>
  <c r="K64" i="11" s="1"/>
  <c r="E711" i="23"/>
  <c r="F120" i="5"/>
  <c r="AC120" i="5" s="1"/>
  <c r="E1122" i="23"/>
  <c r="F184" i="5"/>
  <c r="AC184" i="5" s="1"/>
  <c r="E1146" i="23"/>
  <c r="F186" i="5"/>
  <c r="E1007" i="23"/>
  <c r="F168" i="5"/>
  <c r="AC168" i="5" s="1"/>
  <c r="F477" i="23"/>
  <c r="G477" i="23" s="1"/>
  <c r="G90" i="5" s="1"/>
  <c r="AI91" i="13" s="1"/>
  <c r="F90" i="5"/>
  <c r="AC90" i="5" s="1"/>
  <c r="E1038" i="23"/>
  <c r="F172" i="5"/>
  <c r="AC172" i="5" s="1"/>
  <c r="E1062" i="23"/>
  <c r="F176" i="5"/>
  <c r="AC176" i="5" s="1"/>
  <c r="E556" i="23"/>
  <c r="E341" i="23"/>
  <c r="F67" i="5"/>
  <c r="AC67" i="5" s="1"/>
  <c r="F1301" i="23"/>
  <c r="G1301" i="23" s="1"/>
  <c r="G209" i="5" s="1"/>
  <c r="AI212" i="13" s="1"/>
  <c r="F209" i="5"/>
  <c r="AC209" i="5" s="1"/>
  <c r="E161" i="23"/>
  <c r="H162" i="23" s="1"/>
  <c r="F32" i="5"/>
  <c r="AC32" i="5" s="1"/>
  <c r="F62" i="5"/>
  <c r="AC62" i="5" s="1"/>
  <c r="E1194" i="23"/>
  <c r="M1129" i="23" s="1"/>
  <c r="E926" i="23"/>
  <c r="F990" i="23"/>
  <c r="G990" i="23" s="1"/>
  <c r="G166" i="5" s="1"/>
  <c r="F166" i="5"/>
  <c r="AC166" i="5" s="1"/>
  <c r="E1093" i="23"/>
  <c r="F180" i="5"/>
  <c r="AC180" i="5" s="1"/>
  <c r="E295" i="23"/>
  <c r="F59" i="5"/>
  <c r="AC59" i="5" s="1"/>
  <c r="E689" i="23"/>
  <c r="F115" i="5"/>
  <c r="AC115" i="5" s="1"/>
  <c r="E272" i="23"/>
  <c r="D279" i="23" s="1"/>
  <c r="B61" i="28" s="1"/>
  <c r="F56" i="5"/>
  <c r="AC56" i="5" s="1"/>
  <c r="AB144" i="13"/>
  <c r="F138" i="5" s="1"/>
  <c r="AC138" i="5" s="1"/>
  <c r="F847" i="23"/>
  <c r="G847" i="23" s="1"/>
  <c r="F140" i="5"/>
  <c r="AC140" i="5" s="1"/>
  <c r="E52" i="23"/>
  <c r="F18" i="5"/>
  <c r="AC18" i="5" s="1"/>
  <c r="E818" i="23"/>
  <c r="F132" i="5"/>
  <c r="AC132" i="5" s="1"/>
  <c r="E543" i="23"/>
  <c r="F97" i="5"/>
  <c r="AC97" i="5" s="1"/>
  <c r="E644" i="23"/>
  <c r="G648" i="23" s="1"/>
  <c r="G110" i="5" s="1"/>
  <c r="F109" i="5"/>
  <c r="AC109" i="5" s="1"/>
  <c r="E81" i="23"/>
  <c r="F21" i="5"/>
  <c r="AC21" i="5" s="1"/>
  <c r="E667" i="23"/>
  <c r="E675" i="23" s="1"/>
  <c r="F111" i="5"/>
  <c r="AC111" i="5" s="1"/>
  <c r="E759" i="23"/>
  <c r="F124" i="5"/>
  <c r="AC124" i="5" s="1"/>
  <c r="F1249" i="23"/>
  <c r="G1249" i="23" s="1"/>
  <c r="G203" i="5" s="1"/>
  <c r="AI205" i="13" s="1"/>
  <c r="F203" i="5"/>
  <c r="AC203" i="5" s="1"/>
  <c r="E906" i="23"/>
  <c r="F150" i="5"/>
  <c r="AC150" i="5" s="1"/>
  <c r="F454" i="23"/>
  <c r="G454" i="23" s="1"/>
  <c r="G88" i="5" s="1"/>
  <c r="F88" i="5"/>
  <c r="AC88" i="5" s="1"/>
  <c r="F1336" i="23"/>
  <c r="F226" i="5"/>
  <c r="F1250" i="23"/>
  <c r="G1250" i="23" s="1"/>
  <c r="G204" i="5" s="1"/>
  <c r="F204" i="5"/>
  <c r="AC204" i="5" s="1"/>
  <c r="E789" i="23"/>
  <c r="F128" i="5"/>
  <c r="AC128" i="5" s="1"/>
  <c r="F968" i="23"/>
  <c r="G968" i="23" s="1"/>
  <c r="G161" i="5" s="1"/>
  <c r="F161" i="5"/>
  <c r="AC161" i="5" s="1"/>
  <c r="E136" i="23"/>
  <c r="E147" i="23" s="1"/>
  <c r="F28" i="5"/>
  <c r="AC28" i="5" s="1"/>
  <c r="E1170" i="23"/>
  <c r="M1128" i="23" s="1"/>
  <c r="F189" i="5"/>
  <c r="E879" i="23"/>
  <c r="F143" i="5"/>
  <c r="AC143" i="5" s="1"/>
  <c r="E570" i="23"/>
  <c r="F100" i="5"/>
  <c r="AC100" i="5" s="1"/>
  <c r="AB46" i="13"/>
  <c r="F49" i="5"/>
  <c r="AC49" i="5" s="1"/>
  <c r="F410" i="23"/>
  <c r="G410" i="23" s="1"/>
  <c r="G80" i="5" s="1"/>
  <c r="AI80" i="13" s="1"/>
  <c r="F80" i="5"/>
  <c r="AC80" i="5" s="1"/>
  <c r="E244" i="23"/>
  <c r="K253" i="23" s="1"/>
  <c r="F52" i="5"/>
  <c r="AC52" i="5" s="1"/>
  <c r="F1334" i="23"/>
  <c r="F224" i="5"/>
  <c r="AB254" i="13"/>
  <c r="F108" i="5" s="1"/>
  <c r="AC108" i="5" s="1"/>
  <c r="F107" i="5"/>
  <c r="AC107" i="5" s="1"/>
  <c r="AI43" i="13"/>
  <c r="G54" i="5"/>
  <c r="I11" i="5"/>
  <c r="P11" i="5"/>
  <c r="I115" i="5"/>
  <c r="BJ187" i="13"/>
  <c r="BK187" i="13" s="1"/>
  <c r="W184" i="5" s="1"/>
  <c r="I189" i="5"/>
  <c r="W40" i="5"/>
  <c r="I197" i="5"/>
  <c r="I208" i="5"/>
  <c r="BG187" i="13"/>
  <c r="BH187" i="13" s="1"/>
  <c r="P184" i="5" s="1"/>
  <c r="BR239" i="13"/>
  <c r="K70" i="11"/>
  <c r="BR151" i="13"/>
  <c r="K614" i="23"/>
  <c r="AI188" i="13"/>
  <c r="BD188" i="13" s="1"/>
  <c r="BE188" i="13" s="1"/>
  <c r="AI12" i="13"/>
  <c r="K55" i="11" s="1"/>
  <c r="AI32" i="13"/>
  <c r="BD32" i="13" s="1"/>
  <c r="E172" i="23" s="1"/>
  <c r="E940" i="23"/>
  <c r="E950" i="23" s="1"/>
  <c r="AI122" i="13"/>
  <c r="AI121" i="13" s="1"/>
  <c r="AI54" i="13"/>
  <c r="E828" i="23"/>
  <c r="E890" i="23"/>
  <c r="E775" i="23"/>
  <c r="BE155" i="13"/>
  <c r="I150" i="5" s="1"/>
  <c r="E82" i="23"/>
  <c r="F1324" i="23"/>
  <c r="E843" i="23"/>
  <c r="F1332" i="23"/>
  <c r="F852" i="23"/>
  <c r="G852" i="23" s="1"/>
  <c r="F1022" i="23"/>
  <c r="E1008" i="23"/>
  <c r="BB145" i="13"/>
  <c r="BC114" i="13"/>
  <c r="F1129" i="23"/>
  <c r="E1123" i="23"/>
  <c r="AK145" i="13"/>
  <c r="BT145" i="13" s="1"/>
  <c r="AJ114" i="13"/>
  <c r="BS114" i="13" s="1"/>
  <c r="AB113" i="13"/>
  <c r="AK114" i="13"/>
  <c r="BT114" i="13" s="1"/>
  <c r="AJ145" i="13"/>
  <c r="BS145" i="13" s="1"/>
  <c r="AB93" i="13"/>
  <c r="E507" i="23" s="1"/>
  <c r="F522" i="23"/>
  <c r="E372" i="23"/>
  <c r="AK41" i="13"/>
  <c r="F191" i="23"/>
  <c r="AB250" i="13"/>
  <c r="F139" i="5" s="1"/>
  <c r="AC139" i="5" s="1"/>
  <c r="E258" i="23"/>
  <c r="F219" i="23"/>
  <c r="G219" i="23" s="1"/>
  <c r="AB83" i="13"/>
  <c r="F431" i="23"/>
  <c r="G431" i="23" s="1"/>
  <c r="G83" i="5" s="1"/>
  <c r="E13" i="23"/>
  <c r="E38" i="23" s="1"/>
  <c r="BC145" i="13"/>
  <c r="AZ145" i="13"/>
  <c r="BA145" i="13"/>
  <c r="AA77" i="13"/>
  <c r="AB77" i="13" s="1"/>
  <c r="F389" i="23" s="1"/>
  <c r="U75" i="13"/>
  <c r="AA75" i="13" s="1"/>
  <c r="BJ23" i="13"/>
  <c r="BK23" i="13" s="1"/>
  <c r="BT23" i="13"/>
  <c r="BG23" i="13"/>
  <c r="BH23" i="13" s="1"/>
  <c r="BS23" i="13"/>
  <c r="BB114" i="13"/>
  <c r="AJ94" i="13"/>
  <c r="AJ93" i="13" s="1"/>
  <c r="AK94" i="13"/>
  <c r="AK93" i="13" s="1"/>
  <c r="AK84" i="13"/>
  <c r="AK83" i="13" s="1"/>
  <c r="AJ84" i="13"/>
  <c r="AJ83" i="13" s="1"/>
  <c r="BG72" i="13"/>
  <c r="BH72" i="13" s="1"/>
  <c r="BS72" i="13"/>
  <c r="BJ72" i="13"/>
  <c r="BK72" i="13" s="1"/>
  <c r="BT72" i="13"/>
  <c r="AJ205" i="13"/>
  <c r="AK205" i="13"/>
  <c r="AK89" i="13"/>
  <c r="AJ89" i="13"/>
  <c r="AJ140" i="13"/>
  <c r="AJ143" i="13"/>
  <c r="AJ142" i="13"/>
  <c r="BG142" i="13" s="1"/>
  <c r="BH142" i="13" s="1"/>
  <c r="AJ141" i="13"/>
  <c r="AK140" i="13"/>
  <c r="AK143" i="13"/>
  <c r="AK142" i="13"/>
  <c r="BJ142" i="13" s="1"/>
  <c r="BK142" i="13" s="1"/>
  <c r="AK141" i="13"/>
  <c r="AK225" i="13"/>
  <c r="BT225" i="13" s="1"/>
  <c r="AJ225" i="13"/>
  <c r="BS225" i="13" s="1"/>
  <c r="AI143" i="13"/>
  <c r="AJ227" i="13"/>
  <c r="AK227" i="13"/>
  <c r="AK217" i="13"/>
  <c r="AJ217" i="13"/>
  <c r="AJ80" i="13"/>
  <c r="AK80" i="13"/>
  <c r="AJ186" i="13"/>
  <c r="AJ185" i="13"/>
  <c r="AJ229" i="13"/>
  <c r="AK229" i="13"/>
  <c r="AK212" i="13"/>
  <c r="AJ212" i="13"/>
  <c r="AK186" i="13"/>
  <c r="AK185" i="13"/>
  <c r="AK170" i="13"/>
  <c r="AJ170" i="13"/>
  <c r="AJ165" i="13"/>
  <c r="AJ164" i="13" s="1"/>
  <c r="AK165" i="13"/>
  <c r="AK164" i="13" s="1"/>
  <c r="AK182" i="13"/>
  <c r="AK181" i="13"/>
  <c r="AJ174" i="13"/>
  <c r="BS174" i="13" s="1"/>
  <c r="AJ173" i="13"/>
  <c r="AJ206" i="13"/>
  <c r="AK206" i="13"/>
  <c r="AJ181" i="13"/>
  <c r="AJ182" i="13"/>
  <c r="AK174" i="13"/>
  <c r="BT174" i="13" s="1"/>
  <c r="AK173" i="13"/>
  <c r="AJ41" i="13"/>
  <c r="AI173" i="13"/>
  <c r="K81" i="11" s="1"/>
  <c r="AJ91" i="13"/>
  <c r="AK91" i="13"/>
  <c r="AJ92" i="13"/>
  <c r="AK92" i="13"/>
  <c r="I261" i="5"/>
  <c r="BK311" i="13"/>
  <c r="F64" i="16"/>
  <c r="I64" i="16" s="1"/>
  <c r="F81" i="16"/>
  <c r="I81" i="16" s="1"/>
  <c r="K22" i="3"/>
  <c r="F21" i="16"/>
  <c r="I21" i="16" s="1"/>
  <c r="F82" i="16"/>
  <c r="I82" i="16" s="1"/>
  <c r="F80" i="16"/>
  <c r="I80" i="16" s="1"/>
  <c r="AM91" i="13"/>
  <c r="AY91" i="13" s="1"/>
  <c r="AB90" i="13"/>
  <c r="K469" i="23" s="1" a="1"/>
  <c r="K469" i="23" s="1"/>
  <c r="K21" i="3"/>
  <c r="BI311" i="13"/>
  <c r="BK304" i="13"/>
  <c r="BT300" i="13" s="1"/>
  <c r="BJ311" i="13"/>
  <c r="F44" i="16"/>
  <c r="I44" i="16" s="1"/>
  <c r="F24" i="16"/>
  <c r="I24" i="16" s="1"/>
  <c r="AK189" i="13"/>
  <c r="AJ189" i="13"/>
  <c r="AK63" i="13"/>
  <c r="AJ63" i="13"/>
  <c r="AI63" i="13"/>
  <c r="BJ32" i="13"/>
  <c r="BG32" i="13"/>
  <c r="BJ25" i="13"/>
  <c r="BG25" i="13"/>
  <c r="AJ192" i="13"/>
  <c r="AK130" i="13"/>
  <c r="AJ130" i="13"/>
  <c r="BT149" i="13"/>
  <c r="BS149" i="13"/>
  <c r="BR149" i="13"/>
  <c r="BJ11" i="13"/>
  <c r="BK11" i="13" s="1"/>
  <c r="BG11" i="13"/>
  <c r="BH11" i="13" s="1"/>
  <c r="AI134" i="13"/>
  <c r="AK134" i="13"/>
  <c r="AJ134" i="13"/>
  <c r="BJ157" i="13"/>
  <c r="BK157" i="13" s="1"/>
  <c r="W153" i="5" s="1"/>
  <c r="BG157" i="13"/>
  <c r="BH157" i="13" s="1"/>
  <c r="P153" i="5" s="1"/>
  <c r="BD157" i="13"/>
  <c r="BE157" i="13" s="1"/>
  <c r="I153" i="5" s="1"/>
  <c r="AK56" i="13"/>
  <c r="AJ56" i="13"/>
  <c r="BJ29" i="13"/>
  <c r="BK29" i="13" s="1"/>
  <c r="BG29" i="13"/>
  <c r="BD29" i="13"/>
  <c r="BE29" i="13" s="1"/>
  <c r="BJ102" i="13"/>
  <c r="BK102" i="13" s="1"/>
  <c r="W99" i="5" s="1"/>
  <c r="BG102" i="13"/>
  <c r="BH102" i="13" s="1"/>
  <c r="P99" i="5" s="1"/>
  <c r="AK162" i="13"/>
  <c r="AJ162" i="13"/>
  <c r="BT73" i="13"/>
  <c r="BG73" i="13"/>
  <c r="AK103" i="13"/>
  <c r="AJ103" i="13"/>
  <c r="AI103" i="13"/>
  <c r="BE234" i="13"/>
  <c r="BH234" i="13"/>
  <c r="BK252" i="13"/>
  <c r="W167" i="5" s="1"/>
  <c r="BH252" i="13"/>
  <c r="P167" i="5" s="1"/>
  <c r="BE252" i="13"/>
  <c r="I167" i="5" s="1"/>
  <c r="F53" i="16"/>
  <c r="I53" i="16" s="1"/>
  <c r="BJ163" i="13"/>
  <c r="BK163" i="13" s="1"/>
  <c r="W159" i="5" s="1"/>
  <c r="BG151" i="13"/>
  <c r="BH151" i="13" s="1"/>
  <c r="P146" i="5" s="1"/>
  <c r="F29" i="16"/>
  <c r="I29" i="16" s="1"/>
  <c r="F78" i="16"/>
  <c r="I78" i="16" s="1"/>
  <c r="F22" i="16"/>
  <c r="I22" i="16" s="1"/>
  <c r="BJ150" i="13"/>
  <c r="BK150" i="13" s="1"/>
  <c r="W145" i="5" s="1"/>
  <c r="BD151" i="13"/>
  <c r="BE151" i="13" s="1"/>
  <c r="I146" i="5" s="1"/>
  <c r="F19" i="16"/>
  <c r="I19" i="16" s="1"/>
  <c r="F76" i="16"/>
  <c r="I76" i="16" s="1"/>
  <c r="BT188" i="13"/>
  <c r="F12" i="16"/>
  <c r="I12" i="16" s="1"/>
  <c r="F54" i="16"/>
  <c r="I54" i="16" s="1"/>
  <c r="BJ156" i="13"/>
  <c r="BK156" i="13" s="1"/>
  <c r="W151" i="5" s="1"/>
  <c r="F9" i="16"/>
  <c r="I9" i="16" s="1"/>
  <c r="AC247" i="5"/>
  <c r="BG150" i="13"/>
  <c r="BH150" i="13" s="1"/>
  <c r="P145" i="5" s="1"/>
  <c r="BD156" i="13"/>
  <c r="BE156" i="13" s="1"/>
  <c r="I151" i="5" s="1"/>
  <c r="BJ151" i="13"/>
  <c r="F11" i="16"/>
  <c r="I11" i="16" s="1"/>
  <c r="BD161" i="13"/>
  <c r="BE161" i="13" s="1"/>
  <c r="I157" i="5" s="1"/>
  <c r="AB86" i="13"/>
  <c r="K447" i="23" s="1" a="1"/>
  <c r="K447" i="23" s="1"/>
  <c r="AB164" i="13"/>
  <c r="H963" i="23" s="1" a="1"/>
  <c r="H963" i="23" s="1"/>
  <c r="F60" i="16"/>
  <c r="I60" i="16" s="1"/>
  <c r="BJ188" i="13"/>
  <c r="BK188" i="13" s="1"/>
  <c r="BG188" i="13"/>
  <c r="BH188" i="13" s="1"/>
  <c r="BJ161" i="13"/>
  <c r="BK161" i="13" s="1"/>
  <c r="W157" i="5" s="1"/>
  <c r="BG161" i="13"/>
  <c r="BH161" i="13" s="1"/>
  <c r="P157" i="5" s="1"/>
  <c r="BS188" i="13"/>
  <c r="BG156" i="13"/>
  <c r="BT158" i="13"/>
  <c r="BS158" i="13"/>
  <c r="I260" i="5" a="1"/>
  <c r="I260" i="5" s="1"/>
  <c r="BR158" i="13"/>
  <c r="BJ22" i="13"/>
  <c r="BT22" i="13"/>
  <c r="BG22" i="13"/>
  <c r="BS22" i="13"/>
  <c r="BJ12" i="13"/>
  <c r="BT12" i="13"/>
  <c r="BG12" i="13"/>
  <c r="BS12" i="13"/>
  <c r="BG239" i="13"/>
  <c r="BH239" i="13" s="1"/>
  <c r="BD239" i="13"/>
  <c r="BJ239" i="13"/>
  <c r="BK239" i="13" s="1"/>
  <c r="BD22" i="13"/>
  <c r="BR22" i="13"/>
  <c r="F61" i="16"/>
  <c r="I61" i="16" s="1"/>
  <c r="AB210" i="13"/>
  <c r="Z204" i="13"/>
  <c r="AA81" i="13"/>
  <c r="AB81" i="13" s="1"/>
  <c r="F77" i="16"/>
  <c r="AK192" i="13"/>
  <c r="I247" i="5"/>
  <c r="BE240" i="13"/>
  <c r="BH240" i="13"/>
  <c r="BK240" i="13"/>
  <c r="F62" i="16"/>
  <c r="I62" i="16" s="1"/>
  <c r="BE245" i="13"/>
  <c r="I181" i="5" s="1"/>
  <c r="BE244" i="13"/>
  <c r="BE243" i="13"/>
  <c r="BE242" i="13"/>
  <c r="I169" i="5" s="1"/>
  <c r="BH245" i="13"/>
  <c r="P181" i="5" s="1"/>
  <c r="BH244" i="13"/>
  <c r="P177" i="5" s="1"/>
  <c r="BH242" i="13"/>
  <c r="P169" i="5" s="1"/>
  <c r="BK245" i="13"/>
  <c r="W181" i="5" s="1"/>
  <c r="BK244" i="13"/>
  <c r="W177" i="5" s="1"/>
  <c r="BK242" i="13"/>
  <c r="W169" i="5" s="1"/>
  <c r="BK241" i="13"/>
  <c r="BH241" i="13"/>
  <c r="BE241" i="13"/>
  <c r="BK237" i="13"/>
  <c r="W57" i="5" s="1"/>
  <c r="BH237" i="13"/>
  <c r="P57" i="5" s="1"/>
  <c r="BE237" i="13"/>
  <c r="I57" i="5" s="1"/>
  <c r="AB204" i="13"/>
  <c r="K1244" i="23" s="1" a="1"/>
  <c r="K1244" i="23" s="1"/>
  <c r="AB169" i="13"/>
  <c r="F8" i="16"/>
  <c r="I8" i="16" s="1"/>
  <c r="AB39" i="13"/>
  <c r="BH15" i="13"/>
  <c r="P17" i="5" s="1"/>
  <c r="BH27" i="13"/>
  <c r="BK27" i="13"/>
  <c r="BK15" i="13"/>
  <c r="W17" i="5" s="1"/>
  <c r="AB201" i="13"/>
  <c r="F1214" i="23" s="1"/>
  <c r="F1217" i="23" s="1"/>
  <c r="BD128" i="13"/>
  <c r="E748" i="23" s="1"/>
  <c r="BG128" i="13"/>
  <c r="BJ128" i="13"/>
  <c r="BE15" i="13"/>
  <c r="AI155" i="13"/>
  <c r="AK155" i="13"/>
  <c r="AJ19" i="13"/>
  <c r="F7" i="16"/>
  <c r="I7" i="16" s="1"/>
  <c r="AB36" i="13"/>
  <c r="AI126" i="13"/>
  <c r="F10" i="16"/>
  <c r="I10" i="16" s="1"/>
  <c r="AA197" i="13"/>
  <c r="AA214" i="13"/>
  <c r="AK117" i="13"/>
  <c r="AJ126" i="13"/>
  <c r="AJ117" i="13"/>
  <c r="AK126" i="13"/>
  <c r="BE223" i="13"/>
  <c r="I220" i="5" s="1"/>
  <c r="BE220" i="13"/>
  <c r="I217" i="5" s="1"/>
  <c r="BE69" i="13"/>
  <c r="I67" i="5" s="1"/>
  <c r="BG222" i="13"/>
  <c r="BH222" i="13" s="1"/>
  <c r="P219" i="5" s="1"/>
  <c r="BD221" i="13"/>
  <c r="BG220" i="13"/>
  <c r="BH220" i="13" s="1"/>
  <c r="P217" i="5" s="1"/>
  <c r="BG226" i="13"/>
  <c r="BH226" i="13" s="1"/>
  <c r="P223" i="5" s="1"/>
  <c r="BD226" i="13"/>
  <c r="BJ222" i="13"/>
  <c r="BK222" i="13" s="1"/>
  <c r="W219" i="5" s="1"/>
  <c r="BG218" i="13"/>
  <c r="BH218" i="13" s="1"/>
  <c r="P215" i="5" s="1"/>
  <c r="BJ229" i="13"/>
  <c r="BK229" i="13" s="1"/>
  <c r="W226" i="5" s="1"/>
  <c r="BJ218" i="13"/>
  <c r="BK218" i="13" s="1"/>
  <c r="W215" i="5" s="1"/>
  <c r="BJ223" i="13"/>
  <c r="BK223" i="13" s="1"/>
  <c r="W220" i="5" s="1"/>
  <c r="BG221" i="13"/>
  <c r="BH221" i="13" s="1"/>
  <c r="P218" i="5" s="1"/>
  <c r="BJ221" i="13"/>
  <c r="BK221" i="13" s="1"/>
  <c r="W218" i="5" s="1"/>
  <c r="BD218" i="13"/>
  <c r="BD225" i="13"/>
  <c r="BD224" i="13"/>
  <c r="BJ220" i="13"/>
  <c r="BK220" i="13" s="1"/>
  <c r="W217" i="5" s="1"/>
  <c r="BG223" i="13"/>
  <c r="BH223" i="13" s="1"/>
  <c r="P220" i="5" s="1"/>
  <c r="BJ228" i="13"/>
  <c r="BK228" i="13" s="1"/>
  <c r="W225" i="5" s="1"/>
  <c r="BD228" i="13"/>
  <c r="BJ224" i="13"/>
  <c r="BK224" i="13" s="1"/>
  <c r="W221" i="5" s="1"/>
  <c r="BJ225" i="13"/>
  <c r="BK225" i="13" s="1"/>
  <c r="W222" i="5" s="1"/>
  <c r="BG224" i="13"/>
  <c r="BH224" i="13" s="1"/>
  <c r="P221" i="5" s="1"/>
  <c r="BG225" i="13"/>
  <c r="BH225" i="13" s="1"/>
  <c r="P222" i="5" s="1"/>
  <c r="BD222" i="13"/>
  <c r="BJ75" i="13"/>
  <c r="BK75" i="13" s="1"/>
  <c r="W75" i="5" s="1"/>
  <c r="BG75" i="13"/>
  <c r="BH75" i="13" s="1"/>
  <c r="P75" i="5" s="1"/>
  <c r="BD75" i="13"/>
  <c r="BE75" i="13" s="1"/>
  <c r="I75" i="5" s="1"/>
  <c r="BJ46" i="13"/>
  <c r="BK46" i="13" s="1"/>
  <c r="BD46" i="13"/>
  <c r="BD113" i="13"/>
  <c r="BJ113" i="13"/>
  <c r="BG113" i="13"/>
  <c r="BJ69" i="13"/>
  <c r="BK69" i="13" s="1"/>
  <c r="W67" i="5" s="1"/>
  <c r="BG69" i="13"/>
  <c r="BH69" i="13" s="1"/>
  <c r="P67" i="5" s="1"/>
  <c r="F79" i="16"/>
  <c r="I79" i="16" s="1"/>
  <c r="F59" i="16"/>
  <c r="I59" i="16" s="1"/>
  <c r="BD65" i="13"/>
  <c r="BD96" i="13"/>
  <c r="BE96" i="13" s="1"/>
  <c r="BG46" i="13"/>
  <c r="BH46" i="13" s="1"/>
  <c r="F94" i="16"/>
  <c r="F63" i="16" l="1"/>
  <c r="I63" i="16" s="1"/>
  <c r="AB152" i="13"/>
  <c r="F147" i="5" s="1"/>
  <c r="AC147" i="5" s="1"/>
  <c r="I254" i="5"/>
  <c r="I173" i="5"/>
  <c r="G175" i="5"/>
  <c r="E1066" i="23"/>
  <c r="F1066" i="23" s="1"/>
  <c r="K426" i="23" a="1"/>
  <c r="K426" i="23" s="1"/>
  <c r="E427" i="23"/>
  <c r="AB236" i="13"/>
  <c r="F48" i="5" s="1"/>
  <c r="AC48" i="5" s="1"/>
  <c r="E214" i="23"/>
  <c r="U219" i="13"/>
  <c r="AA219" i="13" s="1"/>
  <c r="AB219" i="13" s="1"/>
  <c r="F216" i="5" s="1"/>
  <c r="AC216" i="5" s="1"/>
  <c r="G58" i="5"/>
  <c r="AI58" i="13" s="1"/>
  <c r="AI56" i="13" s="1"/>
  <c r="E281" i="23"/>
  <c r="E1156" i="23"/>
  <c r="G68" i="5"/>
  <c r="AI70" i="13" s="1"/>
  <c r="E370" i="23"/>
  <c r="M1125" i="23" s="1"/>
  <c r="E67" i="23"/>
  <c r="G51" i="5"/>
  <c r="G227" i="23"/>
  <c r="G49" i="5"/>
  <c r="F230" i="23"/>
  <c r="AC189" i="5"/>
  <c r="AC186" i="5"/>
  <c r="AI117" i="13"/>
  <c r="BD25" i="13"/>
  <c r="BD24" i="13" s="1"/>
  <c r="G221" i="5"/>
  <c r="E124" i="23"/>
  <c r="G214" i="5" s="1"/>
  <c r="G1022" i="23"/>
  <c r="E1026" i="23" s="1"/>
  <c r="E1024" i="23"/>
  <c r="AI206" i="13"/>
  <c r="AI204" i="13" s="1"/>
  <c r="AI16" i="13"/>
  <c r="G140" i="5"/>
  <c r="E865" i="23"/>
  <c r="E867" i="23"/>
  <c r="G222" i="5"/>
  <c r="E1196" i="23"/>
  <c r="G227" i="5"/>
  <c r="AI226" i="13"/>
  <c r="G1333" i="23" s="1"/>
  <c r="E1333" i="23" s="1"/>
  <c r="AI218" i="13"/>
  <c r="G1325" i="23" s="1"/>
  <c r="E1325" i="23" s="1"/>
  <c r="AI220" i="13"/>
  <c r="G1327" i="23" s="1"/>
  <c r="E1327" i="23" s="1"/>
  <c r="BR188" i="13"/>
  <c r="E842" i="23"/>
  <c r="I26" i="3"/>
  <c r="E653" i="23"/>
  <c r="K254" i="23"/>
  <c r="E456" i="23"/>
  <c r="BD73" i="13"/>
  <c r="BE73" i="13" s="1"/>
  <c r="E169" i="23"/>
  <c r="AI53" i="13"/>
  <c r="AI51" i="13" s="1"/>
  <c r="E993" i="23"/>
  <c r="BD102" i="13"/>
  <c r="BE102" i="13" s="1"/>
  <c r="AK254" i="13"/>
  <c r="BT254" i="13" s="1"/>
  <c r="AJ254" i="13"/>
  <c r="BS254" i="13" s="1"/>
  <c r="AI254" i="13"/>
  <c r="BR254" i="13" s="1"/>
  <c r="E970" i="23"/>
  <c r="AI23" i="13"/>
  <c r="I133" i="5"/>
  <c r="F92" i="5"/>
  <c r="AC92" i="5" s="1"/>
  <c r="F47" i="5"/>
  <c r="AC47" i="5" s="1"/>
  <c r="E986" i="23"/>
  <c r="F165" i="5"/>
  <c r="AC165" i="5" s="1"/>
  <c r="E964" i="23"/>
  <c r="F160" i="5"/>
  <c r="AC160" i="5" s="1"/>
  <c r="Y431" i="23"/>
  <c r="F82" i="5"/>
  <c r="AC82" i="5" s="1"/>
  <c r="E1245" i="23"/>
  <c r="E1262" i="23" s="1"/>
  <c r="F202" i="5"/>
  <c r="AC202" i="5" s="1"/>
  <c r="E448" i="23"/>
  <c r="F85" i="5"/>
  <c r="AC85" i="5" s="1"/>
  <c r="AC224" i="5"/>
  <c r="AC226" i="5"/>
  <c r="F411" i="23"/>
  <c r="G411" i="23" s="1"/>
  <c r="G81" i="5" s="1"/>
  <c r="AI81" i="13" s="1"/>
  <c r="F81" i="5"/>
  <c r="AC81" i="5" s="1"/>
  <c r="E470" i="23"/>
  <c r="L493" i="23" s="1"/>
  <c r="F490" i="23" s="1"/>
  <c r="F89" i="5"/>
  <c r="AC89" i="5" s="1"/>
  <c r="E610" i="23"/>
  <c r="K617" i="23" s="1"/>
  <c r="E630" i="23" s="1"/>
  <c r="F106" i="5"/>
  <c r="AC106" i="5" s="1"/>
  <c r="E185" i="23"/>
  <c r="F39" i="5"/>
  <c r="AC39" i="5" s="1"/>
  <c r="G1214" i="23"/>
  <c r="G198" i="5" s="1"/>
  <c r="AI201" i="13" s="1"/>
  <c r="F198" i="5"/>
  <c r="AC198" i="5" s="1"/>
  <c r="I256" i="5"/>
  <c r="I177" i="5"/>
  <c r="F1281" i="23"/>
  <c r="G1281" i="23" s="1"/>
  <c r="G207" i="5" s="1"/>
  <c r="F207" i="5"/>
  <c r="AC207" i="5" s="1"/>
  <c r="G389" i="23"/>
  <c r="G77" i="5" s="1"/>
  <c r="F77" i="5"/>
  <c r="AC77" i="5" s="1"/>
  <c r="C34" i="11"/>
  <c r="F36" i="5"/>
  <c r="AC36" i="5" s="1"/>
  <c r="P133" i="5"/>
  <c r="W133" i="5"/>
  <c r="I31" i="5"/>
  <c r="W70" i="5"/>
  <c r="I248" i="5"/>
  <c r="I129" i="5"/>
  <c r="P47" i="5"/>
  <c r="P125" i="5"/>
  <c r="P129" i="5"/>
  <c r="W31" i="5"/>
  <c r="P70" i="5"/>
  <c r="P12" i="5"/>
  <c r="P25" i="5"/>
  <c r="W47" i="5"/>
  <c r="W12" i="5"/>
  <c r="W185" i="5"/>
  <c r="I17" i="5"/>
  <c r="W136" i="5"/>
  <c r="W25" i="5"/>
  <c r="I185" i="5"/>
  <c r="I29" i="5"/>
  <c r="W29" i="5"/>
  <c r="P40" i="5"/>
  <c r="W125" i="5"/>
  <c r="P29" i="5"/>
  <c r="W129" i="5"/>
  <c r="P185" i="5"/>
  <c r="I40" i="5"/>
  <c r="P136" i="5"/>
  <c r="BR12" i="13"/>
  <c r="BD12" i="13"/>
  <c r="BE12" i="13" s="1"/>
  <c r="I13" i="5" s="1"/>
  <c r="AI187" i="13"/>
  <c r="K82" i="11"/>
  <c r="AI140" i="13"/>
  <c r="AI138" i="13" s="1"/>
  <c r="E632" i="23"/>
  <c r="AI165" i="13"/>
  <c r="AI164" i="13" s="1"/>
  <c r="AI89" i="13"/>
  <c r="AI86" i="13" s="1"/>
  <c r="E1042" i="23"/>
  <c r="AI170" i="13"/>
  <c r="AI169" i="13" s="1"/>
  <c r="AJ77" i="13"/>
  <c r="AJ75" i="13" s="1"/>
  <c r="AK77" i="13"/>
  <c r="AK75" i="13" s="1"/>
  <c r="AB75" i="13"/>
  <c r="E434" i="23"/>
  <c r="AI191" i="13"/>
  <c r="AI189" i="13" s="1"/>
  <c r="AI150" i="13"/>
  <c r="AI163" i="13"/>
  <c r="AI133" i="13"/>
  <c r="AI130" i="13" s="1"/>
  <c r="AI72" i="13"/>
  <c r="AI116" i="13"/>
  <c r="AI115" i="13" s="1"/>
  <c r="AK144" i="13"/>
  <c r="F52" i="16"/>
  <c r="I52" i="16" s="1"/>
  <c r="AB123" i="13"/>
  <c r="F117" i="5" s="1"/>
  <c r="AC117" i="5" s="1"/>
  <c r="BE239" i="13"/>
  <c r="E778" i="23"/>
  <c r="E150" i="23"/>
  <c r="BE142" i="13"/>
  <c r="E831" i="23"/>
  <c r="AJ250" i="13"/>
  <c r="BS250" i="13" s="1"/>
  <c r="AK250" i="13"/>
  <c r="BT250" i="13" s="1"/>
  <c r="BR225" i="13"/>
  <c r="AJ144" i="13"/>
  <c r="AI250" i="13"/>
  <c r="BR250" i="13" s="1"/>
  <c r="G522" i="23"/>
  <c r="G93" i="5" s="1"/>
  <c r="BJ299" i="13"/>
  <c r="BK299" i="13"/>
  <c r="AJ169" i="13"/>
  <c r="BS170" i="13"/>
  <c r="AK169" i="13"/>
  <c r="BT170" i="13"/>
  <c r="BR170" i="13"/>
  <c r="BD173" i="13"/>
  <c r="AI243" i="13"/>
  <c r="H173" i="5" s="1"/>
  <c r="AC256" i="5"/>
  <c r="AC248" i="5"/>
  <c r="AC253" i="5"/>
  <c r="AC250" i="5"/>
  <c r="AK183" i="13"/>
  <c r="AJ183" i="13"/>
  <c r="AJ201" i="13"/>
  <c r="AK201" i="13"/>
  <c r="AJ81" i="13"/>
  <c r="AK81" i="13"/>
  <c r="AJ210" i="13"/>
  <c r="AK210" i="13"/>
  <c r="BJ314" i="13"/>
  <c r="BS308" i="13" s="1"/>
  <c r="BI304" i="13"/>
  <c r="BR300" i="13" s="1"/>
  <c r="AK59" i="13"/>
  <c r="BD11" i="13"/>
  <c r="BK301" i="13"/>
  <c r="BJ325" i="13"/>
  <c r="BS314" i="13" s="1"/>
  <c r="BK314" i="13"/>
  <c r="BT308" i="13" s="1"/>
  <c r="BK325" i="13"/>
  <c r="BT314" i="13" s="1"/>
  <c r="AJ59" i="13"/>
  <c r="I250" i="5"/>
  <c r="BI314" i="13"/>
  <c r="BR308" i="13" s="1"/>
  <c r="AC47" i="11" s="1"/>
  <c r="BI301" i="13"/>
  <c r="BJ304" i="13"/>
  <c r="BS300" i="13" s="1"/>
  <c r="BJ301" i="13"/>
  <c r="AK90" i="13"/>
  <c r="BI325" i="13"/>
  <c r="BR314" i="13" s="1"/>
  <c r="AC53" i="11" s="1"/>
  <c r="AP91" i="13"/>
  <c r="BB91" i="13" s="1"/>
  <c r="AO91" i="13"/>
  <c r="BA91" i="13" s="1"/>
  <c r="AN91" i="13"/>
  <c r="AZ91" i="13" s="1"/>
  <c r="AQ91" i="13"/>
  <c r="BC91" i="13" s="1"/>
  <c r="AK16" i="13"/>
  <c r="BH29" i="13"/>
  <c r="BH32" i="13"/>
  <c r="AJ30" i="13"/>
  <c r="AK51" i="13"/>
  <c r="BJ114" i="13"/>
  <c r="BK114" i="13" s="1"/>
  <c r="W107" i="5" s="1"/>
  <c r="BK296" i="13"/>
  <c r="AK113" i="13"/>
  <c r="AJ26" i="13"/>
  <c r="AK10" i="13"/>
  <c r="AK26" i="13"/>
  <c r="AK100" i="13"/>
  <c r="BJ318" i="13"/>
  <c r="BK320" i="13"/>
  <c r="AJ51" i="13"/>
  <c r="AJ10" i="13"/>
  <c r="BI320" i="13"/>
  <c r="AD143" i="13"/>
  <c r="AG143" i="13" s="1"/>
  <c r="V137" i="5" s="1"/>
  <c r="C39" i="11"/>
  <c r="BJ296" i="13"/>
  <c r="AK148" i="13"/>
  <c r="AI10" i="13"/>
  <c r="AJ148" i="13"/>
  <c r="AJ100" i="13"/>
  <c r="AI100" i="13"/>
  <c r="AK19" i="13"/>
  <c r="AJ90" i="13"/>
  <c r="BJ320" i="13"/>
  <c r="AJ86" i="13"/>
  <c r="AJ155" i="13"/>
  <c r="AJ16" i="13"/>
  <c r="BG163" i="13"/>
  <c r="BR73" i="13"/>
  <c r="BK302" i="13"/>
  <c r="BH73" i="13"/>
  <c r="AK86" i="13"/>
  <c r="AK69" i="13"/>
  <c r="AJ69" i="13"/>
  <c r="AK30" i="13"/>
  <c r="BK32" i="13"/>
  <c r="W34" i="5" s="1"/>
  <c r="BI318" i="13"/>
  <c r="BJ73" i="13"/>
  <c r="BE32" i="13"/>
  <c r="AJ113" i="13"/>
  <c r="AI30" i="13"/>
  <c r="AI26" i="13"/>
  <c r="BI302" i="13"/>
  <c r="BG114" i="13"/>
  <c r="BH114" i="13" s="1"/>
  <c r="P107" i="5" s="1"/>
  <c r="BS73" i="13"/>
  <c r="AK39" i="13"/>
  <c r="AJ39" i="13"/>
  <c r="I258" i="5"/>
  <c r="BK324" i="13"/>
  <c r="BK309" i="13"/>
  <c r="BT304" i="13" s="1"/>
  <c r="BH12" i="13"/>
  <c r="BK12" i="13"/>
  <c r="BK317" i="13"/>
  <c r="BJ309" i="13"/>
  <c r="BS304" i="13" s="1"/>
  <c r="AB166" i="13"/>
  <c r="F162" i="5" s="1"/>
  <c r="AC162" i="5" s="1"/>
  <c r="AB208" i="13"/>
  <c r="AK138" i="13"/>
  <c r="AJ138" i="13"/>
  <c r="I259" i="5"/>
  <c r="BI323" i="13"/>
  <c r="BI319" i="13"/>
  <c r="F87" i="16"/>
  <c r="I87" i="16" s="1"/>
  <c r="AB79" i="13"/>
  <c r="AB197" i="13"/>
  <c r="F194" i="5" s="1"/>
  <c r="AC194" i="5" s="1"/>
  <c r="Z208" i="13"/>
  <c r="BI328" i="13"/>
  <c r="BR317" i="13" s="1"/>
  <c r="AC56" i="11" s="1"/>
  <c r="BJ328" i="13"/>
  <c r="BS317" i="13" s="1"/>
  <c r="BK319" i="13"/>
  <c r="BK328" i="13"/>
  <c r="BT317" i="13" s="1"/>
  <c r="BK151" i="13"/>
  <c r="W146" i="5" s="1"/>
  <c r="BH156" i="13"/>
  <c r="P151" i="5" s="1"/>
  <c r="BJ323" i="13"/>
  <c r="BJ317" i="13"/>
  <c r="BK323" i="13"/>
  <c r="AK166" i="13"/>
  <c r="AK179" i="13"/>
  <c r="BJ181" i="13"/>
  <c r="AJ179" i="13"/>
  <c r="BG181" i="13"/>
  <c r="BS173" i="13"/>
  <c r="BG173" i="13"/>
  <c r="BT173" i="13"/>
  <c r="BJ173" i="13"/>
  <c r="BK313" i="13"/>
  <c r="BT307" i="13" s="1"/>
  <c r="BE22" i="13"/>
  <c r="BK22" i="13"/>
  <c r="W24" i="5" s="1"/>
  <c r="BH22" i="13"/>
  <c r="I257" i="5"/>
  <c r="BJ313" i="13"/>
  <c r="BS307" i="13" s="1"/>
  <c r="BI313" i="13"/>
  <c r="BR307" i="13" s="1"/>
  <c r="AC46" i="11" s="1"/>
  <c r="AI171" i="13"/>
  <c r="BR173" i="13"/>
  <c r="I249" i="5"/>
  <c r="AB213" i="13"/>
  <c r="AD131" i="13"/>
  <c r="AD144" i="13"/>
  <c r="H842" i="23" s="1"/>
  <c r="AD142" i="13"/>
  <c r="AF142" i="13" s="1"/>
  <c r="O136" i="5" s="1"/>
  <c r="AD141" i="13"/>
  <c r="AG141" i="13" s="1"/>
  <c r="V135" i="5" s="1"/>
  <c r="AB66" i="13"/>
  <c r="AD126" i="13"/>
  <c r="H711" i="23" s="1"/>
  <c r="AD150" i="13"/>
  <c r="AD128" i="13"/>
  <c r="AF128" i="13" s="1"/>
  <c r="O122" i="5" s="1"/>
  <c r="AD133" i="13"/>
  <c r="AF133" i="13" s="1"/>
  <c r="O127" i="5" s="1"/>
  <c r="AD134" i="13"/>
  <c r="H789" i="23" s="1"/>
  <c r="AD135" i="13"/>
  <c r="AD129" i="13"/>
  <c r="AG129" i="13" s="1"/>
  <c r="V123" i="5" s="1"/>
  <c r="AD138" i="13"/>
  <c r="H818" i="23" s="1"/>
  <c r="AD151" i="13"/>
  <c r="AG151" i="13" s="1"/>
  <c r="V146" i="5" s="1"/>
  <c r="AD140" i="13"/>
  <c r="AG140" i="13" s="1"/>
  <c r="V134" i="5" s="1"/>
  <c r="AD130" i="13"/>
  <c r="H759" i="23" s="1"/>
  <c r="AD136" i="13"/>
  <c r="AF136" i="13" s="1"/>
  <c r="O130" i="5" s="1"/>
  <c r="AD127" i="13"/>
  <c r="AD139" i="13"/>
  <c r="AD148" i="13"/>
  <c r="H879" i="23" s="1"/>
  <c r="AD147" i="13"/>
  <c r="AF147" i="13" s="1"/>
  <c r="O142" i="5" s="1"/>
  <c r="AD145" i="13"/>
  <c r="AD149" i="13"/>
  <c r="AE149" i="13" s="1"/>
  <c r="H144" i="5" s="1"/>
  <c r="AD137" i="13"/>
  <c r="AG137" i="13" s="1"/>
  <c r="V131" i="5" s="1"/>
  <c r="AD132" i="13"/>
  <c r="AG132" i="13" s="1"/>
  <c r="V126" i="5" s="1"/>
  <c r="AD146" i="13"/>
  <c r="AF146" i="13" s="1"/>
  <c r="O141" i="5" s="1"/>
  <c r="F17" i="16"/>
  <c r="I17" i="16" s="1"/>
  <c r="AK243" i="13"/>
  <c r="F75" i="16"/>
  <c r="I75" i="16" s="1"/>
  <c r="AJ243" i="13"/>
  <c r="AJ171" i="13"/>
  <c r="AK171" i="13"/>
  <c r="BI315" i="13"/>
  <c r="BR309" i="13" s="1"/>
  <c r="AC48" i="11" s="1"/>
  <c r="BJ315" i="13"/>
  <c r="BS309" i="13" s="1"/>
  <c r="BK315" i="13"/>
  <c r="BT309" i="13" s="1"/>
  <c r="AJ204" i="13"/>
  <c r="F18" i="16"/>
  <c r="I18" i="16" s="1"/>
  <c r="AK204" i="13"/>
  <c r="BH128" i="13"/>
  <c r="BG24" i="13"/>
  <c r="BH24" i="13" s="1"/>
  <c r="BJ24" i="13"/>
  <c r="BK24" i="13" s="1"/>
  <c r="BE128" i="13"/>
  <c r="BH158" i="13"/>
  <c r="BK158" i="13"/>
  <c r="W154" i="5" s="1"/>
  <c r="BK321" i="13"/>
  <c r="BK113" i="13"/>
  <c r="BE158" i="13"/>
  <c r="BK128" i="13"/>
  <c r="BH25" i="13"/>
  <c r="BK25" i="13"/>
  <c r="AD13" i="13"/>
  <c r="AG13" i="13" s="1"/>
  <c r="V15" i="5" s="1"/>
  <c r="AD23" i="13"/>
  <c r="AD24" i="13"/>
  <c r="AE139" i="13"/>
  <c r="AG139" i="13"/>
  <c r="AF139" i="13"/>
  <c r="AE131" i="13"/>
  <c r="AG131" i="13"/>
  <c r="AF131" i="13"/>
  <c r="AG135" i="13"/>
  <c r="AE135" i="13"/>
  <c r="AF135" i="13"/>
  <c r="AE127" i="13"/>
  <c r="AG127" i="13"/>
  <c r="AF127" i="13"/>
  <c r="AG193" i="13"/>
  <c r="AF193" i="13"/>
  <c r="AE193" i="13"/>
  <c r="AE176" i="13"/>
  <c r="AG176" i="13"/>
  <c r="AE172" i="13"/>
  <c r="AF172" i="13"/>
  <c r="AG172" i="13"/>
  <c r="AG180" i="13"/>
  <c r="AE180" i="13"/>
  <c r="AF180" i="13"/>
  <c r="AG184" i="13"/>
  <c r="AE184" i="13"/>
  <c r="AF184" i="13"/>
  <c r="AE190" i="13"/>
  <c r="AF190" i="13"/>
  <c r="AG190" i="13"/>
  <c r="AD22" i="13"/>
  <c r="AE22" i="13" s="1"/>
  <c r="F14" i="16"/>
  <c r="I14" i="16" s="1"/>
  <c r="F68" i="16"/>
  <c r="I68" i="16" s="1"/>
  <c r="AD31" i="13"/>
  <c r="AF31" i="13" s="1"/>
  <c r="O33" i="5" s="1"/>
  <c r="AD11" i="13"/>
  <c r="AF11" i="13" s="1"/>
  <c r="O12" i="5" s="1"/>
  <c r="AD30" i="13"/>
  <c r="H161" i="23" s="1"/>
  <c r="AD25" i="13"/>
  <c r="AE25" i="13" s="1"/>
  <c r="H27" i="5" s="1"/>
  <c r="AD17" i="13"/>
  <c r="AE17" i="13" s="1"/>
  <c r="H19" i="5" s="1"/>
  <c r="AD21" i="13"/>
  <c r="AE21" i="13" s="1"/>
  <c r="AD16" i="13"/>
  <c r="H52" i="23" s="1"/>
  <c r="AD26" i="13"/>
  <c r="H136" i="23" s="1"/>
  <c r="AD10" i="13"/>
  <c r="H13" i="23" s="1"/>
  <c r="AD20" i="13"/>
  <c r="AF20" i="13" s="1"/>
  <c r="O22" i="5" s="1"/>
  <c r="AD29" i="13"/>
  <c r="AE29" i="13" s="1"/>
  <c r="AD33" i="13"/>
  <c r="AE33" i="13" s="1"/>
  <c r="AD15" i="13"/>
  <c r="AE15" i="13" s="1"/>
  <c r="AD19" i="13"/>
  <c r="H81" i="23" s="1"/>
  <c r="AD28" i="13"/>
  <c r="AG28" i="13" s="1"/>
  <c r="V30" i="5" s="1"/>
  <c r="AD12" i="13"/>
  <c r="AE12" i="13" s="1"/>
  <c r="AD14" i="13"/>
  <c r="AE14" i="13" s="1"/>
  <c r="AD32" i="13"/>
  <c r="AE32" i="13" s="1"/>
  <c r="AD27" i="13"/>
  <c r="AG27" i="13" s="1"/>
  <c r="V29" i="5" s="1"/>
  <c r="AD18" i="13"/>
  <c r="AF18" i="13" s="1"/>
  <c r="O20" i="5" s="1"/>
  <c r="AB110" i="13"/>
  <c r="F43" i="16"/>
  <c r="BE65" i="13"/>
  <c r="BH113" i="13"/>
  <c r="BE226" i="13"/>
  <c r="I223" i="5" s="1"/>
  <c r="BE225" i="13"/>
  <c r="I222" i="5" s="1"/>
  <c r="BE221" i="13"/>
  <c r="I218" i="5" s="1"/>
  <c r="BE218" i="13"/>
  <c r="I215" i="5" s="1"/>
  <c r="BE224" i="13"/>
  <c r="I221" i="5" s="1"/>
  <c r="BE222" i="13"/>
  <c r="I219" i="5" s="1"/>
  <c r="BE228" i="13"/>
  <c r="I225" i="5" s="1"/>
  <c r="BE113" i="13"/>
  <c r="BE46" i="13"/>
  <c r="BG227" i="13"/>
  <c r="BH227" i="13" s="1"/>
  <c r="BG229" i="13"/>
  <c r="BH229" i="13" s="1"/>
  <c r="BD229" i="13"/>
  <c r="BG219" i="13"/>
  <c r="BH219" i="13" s="1"/>
  <c r="P216" i="5" s="1"/>
  <c r="BJ227" i="13"/>
  <c r="BK227" i="13" s="1"/>
  <c r="BD219" i="13"/>
  <c r="BJ219" i="13"/>
  <c r="BK219" i="13" s="1"/>
  <c r="W216" i="5" s="1"/>
  <c r="BD227" i="13"/>
  <c r="BJ217" i="13"/>
  <c r="BK217" i="13" s="1"/>
  <c r="BG217" i="13"/>
  <c r="BH217" i="13" s="1"/>
  <c r="BD217" i="13"/>
  <c r="BG155" i="13"/>
  <c r="BH155" i="13" s="1"/>
  <c r="P150" i="5" s="1"/>
  <c r="BJ155" i="13"/>
  <c r="BK155" i="13" s="1"/>
  <c r="W150" i="5" s="1"/>
  <c r="F65" i="16"/>
  <c r="I65" i="16" s="1"/>
  <c r="I94" i="16"/>
  <c r="AI236" i="13" l="1"/>
  <c r="AI50" i="13" s="1"/>
  <c r="F238" i="5"/>
  <c r="AK236" i="13"/>
  <c r="AK48" i="13" s="1"/>
  <c r="AJ236" i="13"/>
  <c r="AJ50" i="13" s="1"/>
  <c r="BJ145" i="13"/>
  <c r="BG145" i="13"/>
  <c r="AJ219" i="13"/>
  <c r="F96" i="16"/>
  <c r="I96" i="16" s="1"/>
  <c r="AB231" i="13"/>
  <c r="AD223" i="13" s="1"/>
  <c r="AG223" i="13" s="1"/>
  <c r="V220" i="5" s="1"/>
  <c r="AK219" i="13"/>
  <c r="AA231" i="13"/>
  <c r="F1326" i="23"/>
  <c r="F224" i="23"/>
  <c r="E215" i="23"/>
  <c r="G1074" i="23"/>
  <c r="E1081" i="23" s="1"/>
  <c r="BE25" i="13"/>
  <c r="I27" i="5" s="1"/>
  <c r="M1126" i="23"/>
  <c r="M1130" i="23" s="1"/>
  <c r="E1129" i="23" s="1"/>
  <c r="G1129" i="23" s="1"/>
  <c r="G226" i="5" s="1"/>
  <c r="AI229" i="13" s="1"/>
  <c r="G1336" i="23" s="1"/>
  <c r="E1336" i="23" s="1"/>
  <c r="G107" i="5"/>
  <c r="AI114" i="13" s="1"/>
  <c r="AI69" i="13"/>
  <c r="C38" i="11"/>
  <c r="F491" i="23"/>
  <c r="L491" i="23" s="1"/>
  <c r="F489" i="23"/>
  <c r="L489" i="23" s="1"/>
  <c r="F488" i="23"/>
  <c r="L488" i="23" s="1"/>
  <c r="F487" i="23"/>
  <c r="F485" i="23"/>
  <c r="L490" i="23"/>
  <c r="F486" i="23"/>
  <c r="F484" i="23"/>
  <c r="L484" i="23" s="1"/>
  <c r="F483" i="23"/>
  <c r="F482" i="23"/>
  <c r="L482" i="23" s="1"/>
  <c r="G1070" i="23"/>
  <c r="G1071" i="23"/>
  <c r="G179" i="5" s="1"/>
  <c r="AI182" i="13" s="1"/>
  <c r="G50" i="5"/>
  <c r="AI49" i="13" s="1"/>
  <c r="K60" i="11" s="1"/>
  <c r="G228" i="23"/>
  <c r="BI309" i="13"/>
  <c r="BR304" i="13" s="1"/>
  <c r="AC43" i="11" s="1"/>
  <c r="E559" i="23"/>
  <c r="AI210" i="13"/>
  <c r="AI208" i="13" s="1"/>
  <c r="G1045" i="23"/>
  <c r="G174" i="5" s="1"/>
  <c r="F1042" i="23"/>
  <c r="K67" i="11"/>
  <c r="G224" i="5"/>
  <c r="AI224" i="13"/>
  <c r="G1331" i="23" s="1"/>
  <c r="E1331" i="23" s="1"/>
  <c r="AI230" i="13"/>
  <c r="G1337" i="23" s="1"/>
  <c r="E1337" i="23" s="1"/>
  <c r="G220" i="5"/>
  <c r="AI225" i="13"/>
  <c r="G1332" i="23" s="1"/>
  <c r="E1332" i="23" s="1"/>
  <c r="E232" i="23"/>
  <c r="G216" i="5"/>
  <c r="AI145" i="13"/>
  <c r="BD145" i="13" s="1"/>
  <c r="BD250" i="13" s="1"/>
  <c r="BE250" i="13" s="1"/>
  <c r="I139" i="5" s="1"/>
  <c r="E392" i="23"/>
  <c r="Y432" i="23"/>
  <c r="AK432" i="23" s="1"/>
  <c r="AD120" i="13"/>
  <c r="AG120" i="13" s="1"/>
  <c r="V114" i="5" s="1"/>
  <c r="AD121" i="13"/>
  <c r="H689" i="23" s="1"/>
  <c r="AD117" i="13"/>
  <c r="H667" i="23" s="1"/>
  <c r="AD119" i="13"/>
  <c r="AG119" i="13" s="1"/>
  <c r="V113" i="5" s="1"/>
  <c r="AD116" i="13"/>
  <c r="AF116" i="13" s="1"/>
  <c r="O110" i="5" s="1"/>
  <c r="AD113" i="13"/>
  <c r="H610" i="23" s="1"/>
  <c r="AD115" i="13"/>
  <c r="H644" i="23" s="1"/>
  <c r="AD118" i="13"/>
  <c r="AE118" i="13" s="1"/>
  <c r="H112" i="5" s="1"/>
  <c r="AD114" i="13"/>
  <c r="AG114" i="13" s="1"/>
  <c r="V107" i="5" s="1"/>
  <c r="AD122" i="13"/>
  <c r="AF122" i="13" s="1"/>
  <c r="O116" i="5" s="1"/>
  <c r="K57" i="11"/>
  <c r="BD23" i="13"/>
  <c r="E125" i="23" s="1"/>
  <c r="AI19" i="13"/>
  <c r="AI36" i="13" s="1"/>
  <c r="BR23" i="13"/>
  <c r="E384" i="23"/>
  <c r="F75" i="5"/>
  <c r="AC75" i="5" s="1"/>
  <c r="C35" i="11"/>
  <c r="F64" i="5"/>
  <c r="AC64" i="5" s="1"/>
  <c r="E406" i="23"/>
  <c r="E413" i="23" s="1"/>
  <c r="F79" i="5"/>
  <c r="AC79" i="5" s="1"/>
  <c r="F1302" i="23"/>
  <c r="G1302" i="23" s="1"/>
  <c r="G210" i="5" s="1"/>
  <c r="F210" i="5"/>
  <c r="AC210" i="5" s="1"/>
  <c r="C37" i="11"/>
  <c r="F103" i="5"/>
  <c r="AC103" i="5" s="1"/>
  <c r="E1276" i="23"/>
  <c r="E1283" i="23" s="1"/>
  <c r="F205" i="5"/>
  <c r="AC205" i="5" s="1"/>
  <c r="E200" i="23"/>
  <c r="G42" i="5"/>
  <c r="H13" i="5"/>
  <c r="W106" i="5"/>
  <c r="W13" i="5"/>
  <c r="AJ123" i="13"/>
  <c r="P117" i="5" s="1"/>
  <c r="W224" i="5"/>
  <c r="P24" i="5"/>
  <c r="W162" i="5"/>
  <c r="P13" i="5"/>
  <c r="I34" i="5"/>
  <c r="P34" i="5"/>
  <c r="I136" i="5"/>
  <c r="I99" i="5"/>
  <c r="AJ166" i="13"/>
  <c r="P162" i="5" s="1"/>
  <c r="P31" i="5"/>
  <c r="I24" i="5"/>
  <c r="AK110" i="13"/>
  <c r="AK221" i="13"/>
  <c r="H34" i="5"/>
  <c r="W122" i="5"/>
  <c r="H16" i="5"/>
  <c r="P106" i="5"/>
  <c r="H17" i="5"/>
  <c r="BJ321" i="13"/>
  <c r="P154" i="5"/>
  <c r="P226" i="5"/>
  <c r="H35" i="5"/>
  <c r="I122" i="5"/>
  <c r="I125" i="5"/>
  <c r="BD187" i="13"/>
  <c r="BE187" i="13" s="1"/>
  <c r="BI321" i="13"/>
  <c r="I154" i="5"/>
  <c r="H31" i="5"/>
  <c r="I47" i="5"/>
  <c r="P26" i="5"/>
  <c r="W26" i="5"/>
  <c r="I106" i="5"/>
  <c r="H24" i="5"/>
  <c r="W27" i="5"/>
  <c r="P122" i="5"/>
  <c r="H23" i="5"/>
  <c r="P224" i="5"/>
  <c r="P214" i="5"/>
  <c r="P27" i="5"/>
  <c r="AI110" i="13"/>
  <c r="AK123" i="13"/>
  <c r="P72" i="5"/>
  <c r="I72" i="5"/>
  <c r="W214" i="5"/>
  <c r="AJ110" i="13"/>
  <c r="P103" i="5" s="1"/>
  <c r="AJ221" i="13"/>
  <c r="AJ231" i="13" s="1"/>
  <c r="P228" i="5" s="1"/>
  <c r="AI148" i="13"/>
  <c r="K72" i="11"/>
  <c r="AI162" i="13"/>
  <c r="BD163" i="13"/>
  <c r="BI324" i="13" s="1"/>
  <c r="BR313" i="13" s="1"/>
  <c r="AC52" i="11" s="1"/>
  <c r="AE150" i="13"/>
  <c r="H145" i="5" s="1"/>
  <c r="AE431" i="23"/>
  <c r="AK431" i="23"/>
  <c r="AG431" i="23"/>
  <c r="AF431" i="23"/>
  <c r="E527" i="23"/>
  <c r="BR150" i="13"/>
  <c r="BD150" i="13"/>
  <c r="AI77" i="13"/>
  <c r="AI75" i="13" s="1"/>
  <c r="BD72" i="13"/>
  <c r="BR72" i="13"/>
  <c r="AI84" i="13"/>
  <c r="AI83" i="13" s="1"/>
  <c r="I253" i="5"/>
  <c r="BE173" i="13"/>
  <c r="E1027" i="23"/>
  <c r="BE11" i="13"/>
  <c r="E41" i="23"/>
  <c r="F107" i="16"/>
  <c r="I107" i="16" s="1"/>
  <c r="E230" i="23"/>
  <c r="AC254" i="5"/>
  <c r="AC261" i="5"/>
  <c r="AC238" i="5"/>
  <c r="BS311" i="13"/>
  <c r="I18" i="3"/>
  <c r="BT298" i="13"/>
  <c r="BI296" i="13"/>
  <c r="AF120" i="13"/>
  <c r="O114" i="5" s="1"/>
  <c r="AE120" i="13"/>
  <c r="H114" i="5" s="1"/>
  <c r="BJ91" i="13"/>
  <c r="BK91" i="13" s="1"/>
  <c r="W90" i="5" s="1"/>
  <c r="AJ213" i="13"/>
  <c r="AK213" i="13"/>
  <c r="AK178" i="13"/>
  <c r="AK177" i="13"/>
  <c r="BT177" i="13" s="1"/>
  <c r="AI178" i="13"/>
  <c r="AJ178" i="13"/>
  <c r="AJ177" i="13"/>
  <c r="BS177" i="13" s="1"/>
  <c r="BR298" i="13"/>
  <c r="AC37" i="11" s="1"/>
  <c r="AE11" i="13"/>
  <c r="BK312" i="13"/>
  <c r="BT306" i="13" s="1"/>
  <c r="BI300" i="13"/>
  <c r="BK310" i="13"/>
  <c r="BT305" i="13" s="1"/>
  <c r="BK300" i="13"/>
  <c r="BI312" i="13"/>
  <c r="BR306" i="13" s="1"/>
  <c r="AC45" i="11" s="1"/>
  <c r="BK303" i="13"/>
  <c r="BT299" i="13" s="1"/>
  <c r="BK298" i="13"/>
  <c r="BJ307" i="13"/>
  <c r="BS302" i="13" s="1"/>
  <c r="BJ303" i="13"/>
  <c r="BS299" i="13" s="1"/>
  <c r="BK297" i="13"/>
  <c r="BT296" i="13" s="1"/>
  <c r="BJ302" i="13"/>
  <c r="BS298" i="13" s="1"/>
  <c r="BI298" i="13"/>
  <c r="BJ297" i="13"/>
  <c r="BS296" i="13" s="1"/>
  <c r="BJ319" i="13"/>
  <c r="BD91" i="13"/>
  <c r="BE91" i="13" s="1"/>
  <c r="I90" i="5" s="1"/>
  <c r="BI303" i="13"/>
  <c r="BR299" i="13" s="1"/>
  <c r="AC38" i="11" s="1"/>
  <c r="BI297" i="13"/>
  <c r="BK318" i="13"/>
  <c r="BT311" i="13" s="1"/>
  <c r="BJ298" i="13"/>
  <c r="BJ300" i="13"/>
  <c r="BJ312" i="13"/>
  <c r="BS306" i="13" s="1"/>
  <c r="BI326" i="13"/>
  <c r="BR315" i="13" s="1"/>
  <c r="AC54" i="11" s="1"/>
  <c r="BI307" i="13"/>
  <c r="BR302" i="13" s="1"/>
  <c r="AC41" i="11" s="1"/>
  <c r="BG91" i="13"/>
  <c r="BH91" i="13" s="1"/>
  <c r="P90" i="5" s="1"/>
  <c r="AF143" i="13"/>
  <c r="O137" i="5" s="1"/>
  <c r="AJ36" i="13"/>
  <c r="P36" i="5" s="1"/>
  <c r="AE143" i="13"/>
  <c r="H137" i="5" s="1"/>
  <c r="AK152" i="13"/>
  <c r="AJ152" i="13"/>
  <c r="W147" i="5" s="1"/>
  <c r="AD161" i="13"/>
  <c r="AE161" i="13" s="1"/>
  <c r="H157" i="5" s="1"/>
  <c r="C40" i="11"/>
  <c r="AD195" i="13"/>
  <c r="AF195" i="13" s="1"/>
  <c r="O192" i="5" s="1"/>
  <c r="C41" i="11"/>
  <c r="AK36" i="13"/>
  <c r="AD157" i="13"/>
  <c r="AE157" i="13" s="1"/>
  <c r="H153" i="5" s="1"/>
  <c r="AD164" i="13"/>
  <c r="H964" i="23" s="1"/>
  <c r="AD158" i="13"/>
  <c r="AE158" i="13" s="1"/>
  <c r="H154" i="5" s="1"/>
  <c r="AD165" i="13"/>
  <c r="AG165" i="13" s="1"/>
  <c r="V161" i="5" s="1"/>
  <c r="AD163" i="13"/>
  <c r="AE163" i="13" s="1"/>
  <c r="H159" i="5" s="1"/>
  <c r="AD194" i="13"/>
  <c r="AF194" i="13" s="1"/>
  <c r="O191" i="5" s="1"/>
  <c r="AD159" i="13"/>
  <c r="AD160" i="13"/>
  <c r="H940" i="23" s="1"/>
  <c r="AD155" i="13"/>
  <c r="H906" i="23" s="1"/>
  <c r="AD162" i="13"/>
  <c r="AD187" i="13"/>
  <c r="H1122" i="23" s="1"/>
  <c r="AD181" i="13"/>
  <c r="AF181" i="13" s="1"/>
  <c r="O178" i="5" s="1"/>
  <c r="AD193" i="13"/>
  <c r="AD156" i="13"/>
  <c r="AG156" i="13" s="1"/>
  <c r="V151" i="5" s="1"/>
  <c r="BH163" i="13"/>
  <c r="P159" i="5" s="1"/>
  <c r="BK73" i="13"/>
  <c r="BT313" i="13"/>
  <c r="BJ310" i="13"/>
  <c r="BS305" i="13" s="1"/>
  <c r="AJ208" i="13"/>
  <c r="AK208" i="13"/>
  <c r="BK173" i="13"/>
  <c r="BH173" i="13"/>
  <c r="BH181" i="13"/>
  <c r="BK181" i="13"/>
  <c r="BK327" i="13"/>
  <c r="BT316" i="13" s="1"/>
  <c r="AF141" i="13"/>
  <c r="O135" i="5" s="1"/>
  <c r="F89" i="16"/>
  <c r="I89" i="16" s="1"/>
  <c r="AD190" i="13"/>
  <c r="AD183" i="13"/>
  <c r="H1093" i="23" s="1"/>
  <c r="AD170" i="13"/>
  <c r="AF170" i="13" s="1"/>
  <c r="AD169" i="13"/>
  <c r="H986" i="23" s="1"/>
  <c r="AD171" i="13"/>
  <c r="H1007" i="23" s="1"/>
  <c r="AD186" i="13"/>
  <c r="AF186" i="13" s="1"/>
  <c r="O183" i="5" s="1"/>
  <c r="AD174" i="13"/>
  <c r="AF174" i="13" s="1"/>
  <c r="O171" i="5" s="1"/>
  <c r="AD192" i="13"/>
  <c r="H1170" i="23" s="1"/>
  <c r="AD180" i="13"/>
  <c r="AD184" i="13"/>
  <c r="AD176" i="13"/>
  <c r="AF176" i="13" s="1"/>
  <c r="AD179" i="13"/>
  <c r="H1062" i="23" s="1"/>
  <c r="AD175" i="13"/>
  <c r="H1038" i="23" s="1"/>
  <c r="AD173" i="13"/>
  <c r="AG173" i="13" s="1"/>
  <c r="V170" i="5" s="1"/>
  <c r="AD177" i="13"/>
  <c r="AD172" i="13"/>
  <c r="AD188" i="13"/>
  <c r="AF188" i="13" s="1"/>
  <c r="AD196" i="13"/>
  <c r="AF196" i="13" s="1"/>
  <c r="O193" i="5" s="1"/>
  <c r="AD191" i="13"/>
  <c r="AG191" i="13" s="1"/>
  <c r="AD182" i="13"/>
  <c r="AD189" i="13"/>
  <c r="H1146" i="23" s="1"/>
  <c r="AD178" i="13"/>
  <c r="AD185" i="13"/>
  <c r="AG185" i="13" s="1"/>
  <c r="V182" i="5" s="1"/>
  <c r="AB211" i="13"/>
  <c r="AE142" i="13"/>
  <c r="H136" i="5" s="1"/>
  <c r="AG142" i="13"/>
  <c r="V136" i="5" s="1"/>
  <c r="W155" i="5"/>
  <c r="P155" i="5"/>
  <c r="I155" i="5"/>
  <c r="AE141" i="13"/>
  <c r="H135" i="5" s="1"/>
  <c r="BE24" i="13"/>
  <c r="AE147" i="13"/>
  <c r="H142" i="5" s="1"/>
  <c r="AG147" i="13"/>
  <c r="V142" i="5" s="1"/>
  <c r="AE137" i="13"/>
  <c r="H131" i="5" s="1"/>
  <c r="AF137" i="13"/>
  <c r="O131" i="5" s="1"/>
  <c r="AF145" i="13"/>
  <c r="AG145" i="13"/>
  <c r="V140" i="5" s="1"/>
  <c r="AE136" i="13"/>
  <c r="H130" i="5" s="1"/>
  <c r="AG136" i="13"/>
  <c r="V130" i="5" s="1"/>
  <c r="AD45" i="13"/>
  <c r="AG45" i="13" s="1"/>
  <c r="V46" i="5" s="1"/>
  <c r="AD40" i="13"/>
  <c r="Z211" i="13"/>
  <c r="F83" i="16"/>
  <c r="I83" i="16" s="1"/>
  <c r="AD39" i="13"/>
  <c r="H185" i="23" s="1"/>
  <c r="AD46" i="13"/>
  <c r="H214" i="23" s="1"/>
  <c r="AD44" i="13"/>
  <c r="AG44" i="13" s="1"/>
  <c r="V45" i="5" s="1"/>
  <c r="AD42" i="13"/>
  <c r="AF42" i="13" s="1"/>
  <c r="O43" i="5" s="1"/>
  <c r="AD55" i="13"/>
  <c r="AD53" i="13"/>
  <c r="AG53" i="13" s="1"/>
  <c r="V54" i="5" s="1"/>
  <c r="AD50" i="13"/>
  <c r="AD51" i="13"/>
  <c r="H244" i="23" s="1"/>
  <c r="AD54" i="13"/>
  <c r="AF54" i="13" s="1"/>
  <c r="O55" i="5" s="1"/>
  <c r="AD62" i="13"/>
  <c r="AD59" i="13"/>
  <c r="H295" i="23" s="1"/>
  <c r="AD64" i="13"/>
  <c r="AG64" i="13" s="1"/>
  <c r="V63" i="5" s="1"/>
  <c r="AD56" i="13"/>
  <c r="H272" i="23" s="1"/>
  <c r="AD48" i="13"/>
  <c r="AD58" i="13"/>
  <c r="AE58" i="13" s="1"/>
  <c r="AD63" i="13"/>
  <c r="H319" i="23" s="1"/>
  <c r="AD49" i="13"/>
  <c r="AD43" i="13"/>
  <c r="AG43" i="13" s="1"/>
  <c r="V44" i="5" s="1"/>
  <c r="AD60" i="13"/>
  <c r="AE60" i="13" s="1"/>
  <c r="H60" i="5" s="1"/>
  <c r="AB203" i="13"/>
  <c r="AD152" i="13"/>
  <c r="AD41" i="13"/>
  <c r="AG41" i="13" s="1"/>
  <c r="V42" i="5" s="1"/>
  <c r="AD57" i="13"/>
  <c r="AB202" i="13"/>
  <c r="AD61" i="13"/>
  <c r="AE61" i="13" s="1"/>
  <c r="AD65" i="13"/>
  <c r="AD47" i="13"/>
  <c r="AD52" i="13"/>
  <c r="AE52" i="13" s="1"/>
  <c r="H53" i="5" s="1"/>
  <c r="AG150" i="13"/>
  <c r="V145" i="5" s="1"/>
  <c r="AF150" i="13"/>
  <c r="O145" i="5" s="1"/>
  <c r="AE133" i="13"/>
  <c r="H127" i="5" s="1"/>
  <c r="AG133" i="13"/>
  <c r="V127" i="5" s="1"/>
  <c r="AG128" i="13"/>
  <c r="V122" i="5" s="1"/>
  <c r="AE128" i="13"/>
  <c r="H122" i="5" s="1"/>
  <c r="AE129" i="13"/>
  <c r="H123" i="5" s="1"/>
  <c r="AF129" i="13"/>
  <c r="O123" i="5" s="1"/>
  <c r="AG149" i="13"/>
  <c r="V144" i="5" s="1"/>
  <c r="AF149" i="13"/>
  <c r="O144" i="5" s="1"/>
  <c r="AG146" i="13"/>
  <c r="V141" i="5" s="1"/>
  <c r="AE146" i="13"/>
  <c r="H141" i="5" s="1"/>
  <c r="AF140" i="13"/>
  <c r="O134" i="5" s="1"/>
  <c r="AE140" i="13"/>
  <c r="H134" i="5" s="1"/>
  <c r="AF132" i="13"/>
  <c r="O126" i="5" s="1"/>
  <c r="AE132" i="13"/>
  <c r="H126" i="5" s="1"/>
  <c r="AE151" i="13"/>
  <c r="H146" i="5" s="1"/>
  <c r="AF151" i="13"/>
  <c r="O146" i="5" s="1"/>
  <c r="BK243" i="13"/>
  <c r="BH243" i="13"/>
  <c r="F26" i="16"/>
  <c r="I26" i="16" s="1"/>
  <c r="AE13" i="13"/>
  <c r="AF13" i="13"/>
  <c r="O15" i="5" s="1"/>
  <c r="AG11" i="13"/>
  <c r="AF25" i="13"/>
  <c r="O27" i="5" s="1"/>
  <c r="AG24" i="13"/>
  <c r="V26" i="5" s="1"/>
  <c r="AE24" i="13"/>
  <c r="AF24" i="13"/>
  <c r="O26" i="5" s="1"/>
  <c r="AE23" i="13"/>
  <c r="AF23" i="13"/>
  <c r="O25" i="5" s="1"/>
  <c r="AG23" i="13"/>
  <c r="V25" i="5" s="1"/>
  <c r="AE28" i="13"/>
  <c r="AF57" i="13"/>
  <c r="AE57" i="13"/>
  <c r="AG57" i="13"/>
  <c r="AG47" i="13"/>
  <c r="AE47" i="13"/>
  <c r="AF47" i="13"/>
  <c r="AG21" i="13"/>
  <c r="V23" i="5" s="1"/>
  <c r="AF14" i="13"/>
  <c r="O16" i="5" s="1"/>
  <c r="AG14" i="13"/>
  <c r="V16" i="5" s="1"/>
  <c r="AF21" i="13"/>
  <c r="O23" i="5" s="1"/>
  <c r="AF32" i="13"/>
  <c r="O34" i="5" s="1"/>
  <c r="AG32" i="13"/>
  <c r="V34" i="5" s="1"/>
  <c r="AE20" i="13"/>
  <c r="AG31" i="13"/>
  <c r="AE31" i="13"/>
  <c r="AG15" i="13"/>
  <c r="V17" i="5" s="1"/>
  <c r="AG22" i="13"/>
  <c r="V24" i="5" s="1"/>
  <c r="AF15" i="13"/>
  <c r="O17" i="5" s="1"/>
  <c r="AF22" i="13"/>
  <c r="AG33" i="13"/>
  <c r="V35" i="5" s="1"/>
  <c r="AF33" i="13"/>
  <c r="O35" i="5" s="1"/>
  <c r="AG25" i="13"/>
  <c r="V27" i="5" s="1"/>
  <c r="AF28" i="13"/>
  <c r="O30" i="5" s="1"/>
  <c r="AF17" i="13"/>
  <c r="O19" i="5" s="1"/>
  <c r="AG12" i="13"/>
  <c r="V13" i="5" s="1"/>
  <c r="AG17" i="13"/>
  <c r="V19" i="5" s="1"/>
  <c r="AG18" i="13"/>
  <c r="AE18" i="13"/>
  <c r="AG20" i="13"/>
  <c r="AF12" i="13"/>
  <c r="O13" i="5" s="1"/>
  <c r="AF27" i="13"/>
  <c r="AE27" i="13"/>
  <c r="AG29" i="13"/>
  <c r="V31" i="5" s="1"/>
  <c r="AF29" i="13"/>
  <c r="O31" i="5" s="1"/>
  <c r="AD36" i="13"/>
  <c r="I43" i="16"/>
  <c r="F49" i="16"/>
  <c r="I49" i="16" s="1"/>
  <c r="AD105" i="13"/>
  <c r="AD100" i="13"/>
  <c r="H543" i="23" s="1"/>
  <c r="AD109" i="13"/>
  <c r="AD107" i="13"/>
  <c r="AD106" i="13"/>
  <c r="AD108" i="13"/>
  <c r="AD104" i="13"/>
  <c r="AD103" i="13"/>
  <c r="H570" i="23" s="1"/>
  <c r="AD102" i="13"/>
  <c r="AD101" i="13"/>
  <c r="BE219" i="13"/>
  <c r="I216" i="5" s="1"/>
  <c r="BE217" i="13"/>
  <c r="BE229" i="13"/>
  <c r="BE227" i="13"/>
  <c r="AI48" i="13" l="1"/>
  <c r="AF114" i="13"/>
  <c r="O107" i="5" s="1"/>
  <c r="AK49" i="13"/>
  <c r="AD218" i="13"/>
  <c r="BD236" i="13"/>
  <c r="G225" i="5"/>
  <c r="AI228" i="13" s="1"/>
  <c r="G1335" i="23" s="1"/>
  <c r="E1335" i="23" s="1"/>
  <c r="AD229" i="13"/>
  <c r="AD217" i="13"/>
  <c r="AD225" i="13"/>
  <c r="AG225" i="13" s="1"/>
  <c r="V222" i="5" s="1"/>
  <c r="AD222" i="13"/>
  <c r="AF222" i="13" s="1"/>
  <c r="O219" i="5" s="1"/>
  <c r="AD219" i="13"/>
  <c r="AG219" i="13" s="1"/>
  <c r="V216" i="5" s="1"/>
  <c r="AD226" i="13"/>
  <c r="C43" i="11"/>
  <c r="AE122" i="13"/>
  <c r="AG122" i="13"/>
  <c r="BG236" i="13"/>
  <c r="BH236" i="13" s="1"/>
  <c r="P48" i="5" s="1"/>
  <c r="BJ236" i="13"/>
  <c r="AK50" i="13"/>
  <c r="AD221" i="13"/>
  <c r="AG221" i="13" s="1"/>
  <c r="V218" i="5" s="1"/>
  <c r="AJ48" i="13"/>
  <c r="AD230" i="13"/>
  <c r="AF230" i="13" s="1"/>
  <c r="O227" i="5" s="1"/>
  <c r="AJ49" i="13"/>
  <c r="BG49" i="13" s="1"/>
  <c r="AD220" i="13"/>
  <c r="AF220" i="13" s="1"/>
  <c r="O217" i="5" s="1"/>
  <c r="AD228" i="13"/>
  <c r="AF228" i="13" s="1"/>
  <c r="O225" i="5" s="1"/>
  <c r="AF119" i="13"/>
  <c r="O113" i="5" s="1"/>
  <c r="AG116" i="13"/>
  <c r="AG115" i="13" s="1"/>
  <c r="V109" i="5" s="1"/>
  <c r="F228" i="5"/>
  <c r="AC228" i="5" s="1"/>
  <c r="AD227" i="13"/>
  <c r="AD224" i="13"/>
  <c r="AE224" i="13" s="1"/>
  <c r="H221" i="5" s="1"/>
  <c r="AE114" i="13"/>
  <c r="H107" i="5" s="1"/>
  <c r="E1048" i="23"/>
  <c r="AF223" i="13"/>
  <c r="O220" i="5" s="1"/>
  <c r="G178" i="5"/>
  <c r="AI181" i="13" s="1"/>
  <c r="AE181" i="13" s="1"/>
  <c r="H178" i="5" s="1"/>
  <c r="E1097" i="23"/>
  <c r="F1097" i="23" s="1"/>
  <c r="AG222" i="13"/>
  <c r="V219" i="5" s="1"/>
  <c r="E1134" i="23"/>
  <c r="BR114" i="13"/>
  <c r="BD114" i="13"/>
  <c r="BI310" i="13" s="1"/>
  <c r="BR305" i="13" s="1"/>
  <c r="AC44" i="11" s="1"/>
  <c r="AI113" i="13"/>
  <c r="AI123" i="13" s="1"/>
  <c r="I117" i="5" s="1"/>
  <c r="AE432" i="23"/>
  <c r="E1079" i="23"/>
  <c r="AE119" i="13"/>
  <c r="H113" i="5" s="1"/>
  <c r="L480" i="23"/>
  <c r="G480" i="23" s="1"/>
  <c r="G91" i="5" s="1"/>
  <c r="AI92" i="13" s="1"/>
  <c r="AI90" i="13" s="1"/>
  <c r="AF121" i="13"/>
  <c r="O115" i="5" s="1"/>
  <c r="AF225" i="13"/>
  <c r="O222" i="5" s="1"/>
  <c r="AI213" i="13"/>
  <c r="AI211" i="13" s="1"/>
  <c r="AD123" i="13"/>
  <c r="AE116" i="13"/>
  <c r="H110" i="5" s="1"/>
  <c r="AF432" i="23"/>
  <c r="AG432" i="23"/>
  <c r="AI227" i="13"/>
  <c r="G1334" i="23" s="1"/>
  <c r="E1334" i="23" s="1"/>
  <c r="F208" i="5"/>
  <c r="K1296" i="23" a="1"/>
  <c r="K1296" i="23" s="1"/>
  <c r="AE229" i="13"/>
  <c r="H226" i="5" s="1"/>
  <c r="AF115" i="13"/>
  <c r="O109" i="5" s="1"/>
  <c r="AE145" i="13"/>
  <c r="H140" i="5" s="1"/>
  <c r="AI219" i="13"/>
  <c r="AI223" i="13"/>
  <c r="BR145" i="13"/>
  <c r="K71" i="11"/>
  <c r="AI144" i="13"/>
  <c r="AI152" i="13" s="1"/>
  <c r="D39" i="11" s="1"/>
  <c r="E39" i="11" s="1"/>
  <c r="G39" i="11" s="1"/>
  <c r="AD26" i="11" s="1"/>
  <c r="AF165" i="13"/>
  <c r="O161" i="5" s="1"/>
  <c r="AG118" i="13"/>
  <c r="AG117" i="13" s="1"/>
  <c r="V111" i="5" s="1"/>
  <c r="AF118" i="13"/>
  <c r="O112" i="5" s="1"/>
  <c r="AG229" i="13"/>
  <c r="V226" i="5" s="1"/>
  <c r="AF229" i="13"/>
  <c r="O226" i="5" s="1"/>
  <c r="AK231" i="13"/>
  <c r="W228" i="5" s="1"/>
  <c r="BE23" i="13"/>
  <c r="I25" i="5" s="1"/>
  <c r="BI299" i="13"/>
  <c r="BR297" i="13" s="1"/>
  <c r="AC36" i="11" s="1"/>
  <c r="F1221" i="23"/>
  <c r="F200" i="5"/>
  <c r="AC200" i="5" s="1"/>
  <c r="F1225" i="23"/>
  <c r="G1225" i="23" s="1"/>
  <c r="G201" i="5" s="1"/>
  <c r="F201" i="5"/>
  <c r="AF221" i="13"/>
  <c r="O218" i="5" s="1"/>
  <c r="V22" i="5"/>
  <c r="H20" i="5"/>
  <c r="H25" i="5"/>
  <c r="I26" i="5"/>
  <c r="V110" i="5"/>
  <c r="V33" i="5"/>
  <c r="H26" i="5"/>
  <c r="W36" i="5"/>
  <c r="E1135" i="23"/>
  <c r="V20" i="5"/>
  <c r="H33" i="5"/>
  <c r="AG189" i="13"/>
  <c r="V186" i="5" s="1"/>
  <c r="V188" i="5"/>
  <c r="W117" i="5"/>
  <c r="W103" i="5"/>
  <c r="H22" i="5"/>
  <c r="AF187" i="13"/>
  <c r="O184" i="5" s="1"/>
  <c r="O185" i="5"/>
  <c r="W178" i="5"/>
  <c r="I12" i="5"/>
  <c r="AI221" i="13"/>
  <c r="G1328" i="23" s="1"/>
  <c r="E1328" i="23" s="1"/>
  <c r="AI166" i="13"/>
  <c r="I162" i="5" s="1"/>
  <c r="D37" i="11"/>
  <c r="E37" i="11" s="1"/>
  <c r="G37" i="11" s="1"/>
  <c r="AD24" i="11" s="1"/>
  <c r="I103" i="5"/>
  <c r="H58" i="5"/>
  <c r="AF144" i="13"/>
  <c r="O138" i="5" s="1"/>
  <c r="O140" i="5"/>
  <c r="P178" i="5"/>
  <c r="H15" i="5"/>
  <c r="AF169" i="13"/>
  <c r="O165" i="5" s="1"/>
  <c r="O166" i="5"/>
  <c r="P170" i="5"/>
  <c r="H12" i="5"/>
  <c r="I170" i="5"/>
  <c r="I184" i="5"/>
  <c r="I224" i="5"/>
  <c r="H29" i="5"/>
  <c r="H30" i="5"/>
  <c r="H61" i="5"/>
  <c r="W170" i="5"/>
  <c r="W72" i="5"/>
  <c r="I226" i="5"/>
  <c r="O29" i="5"/>
  <c r="O24" i="5"/>
  <c r="AE121" i="13"/>
  <c r="H116" i="5"/>
  <c r="D34" i="11"/>
  <c r="E34" i="11" s="1"/>
  <c r="G34" i="11" s="1"/>
  <c r="AD21" i="11" s="1"/>
  <c r="I36" i="5"/>
  <c r="V12" i="5"/>
  <c r="I214" i="5"/>
  <c r="AG121" i="13"/>
  <c r="V115" i="5" s="1"/>
  <c r="V116" i="5"/>
  <c r="P147" i="5"/>
  <c r="AG113" i="13"/>
  <c r="V106" i="5" s="1"/>
  <c r="BR178" i="13"/>
  <c r="BE163" i="13"/>
  <c r="I159" i="5" s="1"/>
  <c r="E953" i="23"/>
  <c r="AE165" i="13"/>
  <c r="H161" i="5" s="1"/>
  <c r="E868" i="23"/>
  <c r="AG50" i="13"/>
  <c r="V51" i="5" s="1"/>
  <c r="AE182" i="13"/>
  <c r="H179" i="5" s="1"/>
  <c r="AI177" i="13"/>
  <c r="E893" i="23"/>
  <c r="BI317" i="13"/>
  <c r="BR311" i="13" s="1"/>
  <c r="AC50" i="11" s="1"/>
  <c r="BE150" i="13"/>
  <c r="I145" i="5" s="1"/>
  <c r="AI94" i="13"/>
  <c r="AI93" i="13" s="1"/>
  <c r="T266" i="13"/>
  <c r="AI41" i="13"/>
  <c r="AI39" i="13" s="1"/>
  <c r="BE72" i="13"/>
  <c r="I70" i="5" s="1"/>
  <c r="E373" i="23"/>
  <c r="I16" i="3"/>
  <c r="E1297" i="23"/>
  <c r="AG48" i="13"/>
  <c r="V49" i="5" s="1"/>
  <c r="AG49" i="13"/>
  <c r="V50" i="5" s="1"/>
  <c r="AI46" i="13"/>
  <c r="BE236" i="13"/>
  <c r="I48" i="5" s="1"/>
  <c r="BI305" i="13"/>
  <c r="BJ49" i="13"/>
  <c r="BK49" i="13" s="1"/>
  <c r="W50" i="5" s="1"/>
  <c r="BT49" i="13"/>
  <c r="BK236" i="13"/>
  <c r="W48" i="5" s="1"/>
  <c r="BK305" i="13"/>
  <c r="AK46" i="13"/>
  <c r="BD49" i="13"/>
  <c r="BR49" i="13"/>
  <c r="AF113" i="13"/>
  <c r="BR296" i="13"/>
  <c r="AC35" i="11" s="1"/>
  <c r="BK308" i="13"/>
  <c r="BT303" i="13" s="1"/>
  <c r="AF64" i="13"/>
  <c r="AG161" i="13"/>
  <c r="V157" i="5" s="1"/>
  <c r="I27" i="3"/>
  <c r="AE156" i="13"/>
  <c r="H151" i="5" s="1"/>
  <c r="AF158" i="13"/>
  <c r="O154" i="5" s="1"/>
  <c r="AG158" i="13"/>
  <c r="V154" i="5" s="1"/>
  <c r="AF163" i="13"/>
  <c r="AE64" i="13"/>
  <c r="AG163" i="13"/>
  <c r="AF156" i="13"/>
  <c r="O151" i="5" s="1"/>
  <c r="AF161" i="13"/>
  <c r="AG194" i="13"/>
  <c r="AJ202" i="13"/>
  <c r="AK202" i="13"/>
  <c r="BK326" i="13"/>
  <c r="BT315" i="13" s="1"/>
  <c r="AK203" i="13"/>
  <c r="AJ203" i="13"/>
  <c r="BT297" i="13"/>
  <c r="BJ324" i="13"/>
  <c r="BS313" i="13" s="1"/>
  <c r="BJ326" i="13"/>
  <c r="BS315" i="13" s="1"/>
  <c r="AE194" i="13"/>
  <c r="BS297" i="13"/>
  <c r="BJ327" i="13"/>
  <c r="BS316" i="13" s="1"/>
  <c r="BK307" i="13"/>
  <c r="BT302" i="13" s="1"/>
  <c r="BJ308" i="13"/>
  <c r="BS303" i="13" s="1"/>
  <c r="BI308" i="13"/>
  <c r="BR303" i="13" s="1"/>
  <c r="AF42" i="11" s="1"/>
  <c r="AG157" i="13"/>
  <c r="V153" i="5" s="1"/>
  <c r="AF192" i="13"/>
  <c r="O189" i="5" s="1"/>
  <c r="AG195" i="13"/>
  <c r="V192" i="5" s="1"/>
  <c r="AE195" i="13"/>
  <c r="H192" i="5" s="1"/>
  <c r="AD166" i="13"/>
  <c r="AF157" i="13"/>
  <c r="O153" i="5" s="1"/>
  <c r="AG181" i="13"/>
  <c r="V178" i="5" s="1"/>
  <c r="AG188" i="13"/>
  <c r="V185" i="5" s="1"/>
  <c r="AE188" i="13"/>
  <c r="AF185" i="13"/>
  <c r="O182" i="5" s="1"/>
  <c r="AG186" i="13"/>
  <c r="V183" i="5" s="1"/>
  <c r="AG196" i="13"/>
  <c r="V193" i="5" s="1"/>
  <c r="AE196" i="13"/>
  <c r="H193" i="5" s="1"/>
  <c r="AE178" i="13"/>
  <c r="H175" i="5" s="1"/>
  <c r="AF182" i="13"/>
  <c r="AK211" i="13"/>
  <c r="AJ211" i="13"/>
  <c r="AG182" i="13"/>
  <c r="V179" i="5" s="1"/>
  <c r="AG177" i="13"/>
  <c r="V174" i="5" s="1"/>
  <c r="AE174" i="13"/>
  <c r="H171" i="5" s="1"/>
  <c r="AF191" i="13"/>
  <c r="AG138" i="13"/>
  <c r="V132" i="5" s="1"/>
  <c r="AG174" i="13"/>
  <c r="V171" i="5" s="1"/>
  <c r="AF138" i="13"/>
  <c r="O132" i="5" s="1"/>
  <c r="BK322" i="13"/>
  <c r="BT312" i="13" s="1"/>
  <c r="BJ322" i="13"/>
  <c r="BS312" i="13" s="1"/>
  <c r="AE170" i="13"/>
  <c r="F90" i="16"/>
  <c r="I90" i="16" s="1"/>
  <c r="AE173" i="13"/>
  <c r="H170" i="5" s="1"/>
  <c r="AG170" i="13"/>
  <c r="V166" i="5" s="1"/>
  <c r="AF173" i="13"/>
  <c r="O170" i="5" s="1"/>
  <c r="AE191" i="13"/>
  <c r="AD197" i="13"/>
  <c r="AF44" i="13"/>
  <c r="O45" i="5" s="1"/>
  <c r="AG42" i="13"/>
  <c r="V43" i="5" s="1"/>
  <c r="AE48" i="13"/>
  <c r="AE138" i="13"/>
  <c r="H132" i="5" s="1"/>
  <c r="AF134" i="13"/>
  <c r="O128" i="5" s="1"/>
  <c r="AG134" i="13"/>
  <c r="V128" i="5" s="1"/>
  <c r="AG178" i="13"/>
  <c r="V175" i="5" s="1"/>
  <c r="BT178" i="13"/>
  <c r="AF178" i="13"/>
  <c r="O175" i="5" s="1"/>
  <c r="BS178" i="13"/>
  <c r="AE53" i="13"/>
  <c r="AF53" i="13"/>
  <c r="O54" i="5" s="1"/>
  <c r="AE49" i="13"/>
  <c r="H50" i="5" s="1"/>
  <c r="AF52" i="13"/>
  <c r="O53" i="5" s="1"/>
  <c r="AE44" i="13"/>
  <c r="H45" i="5" s="1"/>
  <c r="AE134" i="13"/>
  <c r="H128" i="5" s="1"/>
  <c r="AE45" i="13"/>
  <c r="H46" i="5" s="1"/>
  <c r="AF45" i="13"/>
  <c r="O46" i="5" s="1"/>
  <c r="AE50" i="13"/>
  <c r="H51" i="5" s="1"/>
  <c r="AD66" i="13"/>
  <c r="AG60" i="13"/>
  <c r="V60" i="5" s="1"/>
  <c r="AF60" i="13"/>
  <c r="O60" i="5" s="1"/>
  <c r="AF41" i="13"/>
  <c r="O42" i="5" s="1"/>
  <c r="AB200" i="13"/>
  <c r="K1209" i="23" s="1" a="1"/>
  <c r="K1209" i="23" s="1"/>
  <c r="AE42" i="13"/>
  <c r="H43" i="5" s="1"/>
  <c r="AG130" i="13"/>
  <c r="V124" i="5" s="1"/>
  <c r="AE130" i="13"/>
  <c r="H124" i="5" s="1"/>
  <c r="AF130" i="13"/>
  <c r="O124" i="5" s="1"/>
  <c r="AF61" i="13"/>
  <c r="O61" i="5" s="1"/>
  <c r="AE126" i="13"/>
  <c r="H120" i="5" s="1"/>
  <c r="AE56" i="13"/>
  <c r="AG58" i="13"/>
  <c r="V58" i="5" s="1"/>
  <c r="AF58" i="13"/>
  <c r="O58" i="5" s="1"/>
  <c r="AG61" i="13"/>
  <c r="V61" i="5" s="1"/>
  <c r="AE54" i="13"/>
  <c r="H55" i="5" s="1"/>
  <c r="AG54" i="13"/>
  <c r="V55" i="5" s="1"/>
  <c r="AG52" i="13"/>
  <c r="V53" i="5" s="1"/>
  <c r="AF50" i="13"/>
  <c r="O51" i="5" s="1"/>
  <c r="AE43" i="13"/>
  <c r="H44" i="5" s="1"/>
  <c r="AF43" i="13"/>
  <c r="O44" i="5" s="1"/>
  <c r="AE59" i="13"/>
  <c r="AG144" i="13"/>
  <c r="AG126" i="13"/>
  <c r="V120" i="5" s="1"/>
  <c r="Z200" i="13"/>
  <c r="AF126" i="13"/>
  <c r="O120" i="5" s="1"/>
  <c r="AF148" i="13"/>
  <c r="O143" i="5" s="1"/>
  <c r="AG148" i="13"/>
  <c r="V143" i="5" s="1"/>
  <c r="AE148" i="13"/>
  <c r="AK175" i="13"/>
  <c r="AJ175" i="13"/>
  <c r="AF177" i="13"/>
  <c r="O174" i="5" s="1"/>
  <c r="AE10" i="13"/>
  <c r="H11" i="5" s="1"/>
  <c r="AE162" i="13"/>
  <c r="H158" i="5" s="1"/>
  <c r="AF104" i="13"/>
  <c r="AG104" i="13"/>
  <c r="AE104" i="13"/>
  <c r="AF16" i="13"/>
  <c r="O18" i="5" s="1"/>
  <c r="AE30" i="13"/>
  <c r="H32" i="5" s="1"/>
  <c r="AG63" i="13"/>
  <c r="V62" i="5" s="1"/>
  <c r="AE19" i="13"/>
  <c r="H21" i="5" s="1"/>
  <c r="AG30" i="13"/>
  <c r="V32" i="5" s="1"/>
  <c r="AG10" i="13"/>
  <c r="V11" i="5" s="1"/>
  <c r="AE26" i="13"/>
  <c r="H28" i="5" s="1"/>
  <c r="AF19" i="13"/>
  <c r="O21" i="5" s="1"/>
  <c r="AG16" i="13"/>
  <c r="V18" i="5" s="1"/>
  <c r="AE16" i="13"/>
  <c r="H18" i="5" s="1"/>
  <c r="AG26" i="13"/>
  <c r="V28" i="5" s="1"/>
  <c r="AF30" i="13"/>
  <c r="O32" i="5" s="1"/>
  <c r="AG19" i="13"/>
  <c r="V21" i="5" s="1"/>
  <c r="AF10" i="13"/>
  <c r="O11" i="5" s="1"/>
  <c r="AF26" i="13"/>
  <c r="O28" i="5" s="1"/>
  <c r="AG164" i="13"/>
  <c r="V160" i="5" s="1"/>
  <c r="AD110" i="13"/>
  <c r="AE160" i="13"/>
  <c r="AE105" i="13"/>
  <c r="H102" i="5" s="1"/>
  <c r="AF105" i="13"/>
  <c r="O102" i="5" s="1"/>
  <c r="AG105" i="13"/>
  <c r="V102" i="5" s="1"/>
  <c r="AF101" i="13"/>
  <c r="O98" i="5" s="1"/>
  <c r="AE101" i="13"/>
  <c r="H98" i="5" s="1"/>
  <c r="AG101" i="13"/>
  <c r="V98" i="5" s="1"/>
  <c r="AE102" i="13"/>
  <c r="H99" i="5" s="1"/>
  <c r="AG102" i="13"/>
  <c r="V99" i="5" s="1"/>
  <c r="AF102" i="13"/>
  <c r="O99" i="5" s="1"/>
  <c r="AF49" i="13" l="1"/>
  <c r="O50" i="5" s="1"/>
  <c r="BS49" i="13"/>
  <c r="AE230" i="13"/>
  <c r="H227" i="5" s="1"/>
  <c r="AE225" i="13"/>
  <c r="H222" i="5" s="1"/>
  <c r="AG230" i="13"/>
  <c r="V227" i="5" s="1"/>
  <c r="AE222" i="13"/>
  <c r="H219" i="5" s="1"/>
  <c r="AF219" i="13"/>
  <c r="O216" i="5" s="1"/>
  <c r="AG220" i="13"/>
  <c r="V217" i="5" s="1"/>
  <c r="AE220" i="13"/>
  <c r="H217" i="5" s="1"/>
  <c r="AG218" i="13"/>
  <c r="V215" i="5" s="1"/>
  <c r="AF218" i="13"/>
  <c r="O215" i="5" s="1"/>
  <c r="AE218" i="13"/>
  <c r="H215" i="5" s="1"/>
  <c r="BJ305" i="13"/>
  <c r="AG226" i="13"/>
  <c r="V223" i="5" s="1"/>
  <c r="AF226" i="13"/>
  <c r="O223" i="5" s="1"/>
  <c r="AE226" i="13"/>
  <c r="H223" i="5" s="1"/>
  <c r="AF217" i="13"/>
  <c r="O214" i="5" s="1"/>
  <c r="AG217" i="13"/>
  <c r="V214" i="5" s="1"/>
  <c r="AG228" i="13"/>
  <c r="V225" i="5" s="1"/>
  <c r="AE228" i="13"/>
  <c r="H225" i="5" s="1"/>
  <c r="AJ46" i="13"/>
  <c r="AF48" i="13"/>
  <c r="O49" i="5" s="1"/>
  <c r="AD231" i="13"/>
  <c r="H1320" i="23" s="1"/>
  <c r="AE113" i="13"/>
  <c r="E631" i="23" s="1"/>
  <c r="BD181" i="13"/>
  <c r="E1082" i="23" s="1"/>
  <c r="AI179" i="13"/>
  <c r="AG224" i="13"/>
  <c r="V221" i="5" s="1"/>
  <c r="AF224" i="13"/>
  <c r="O221" i="5" s="1"/>
  <c r="AG227" i="13"/>
  <c r="V224" i="5" s="1"/>
  <c r="AF227" i="13"/>
  <c r="O224" i="5" s="1"/>
  <c r="H143" i="5"/>
  <c r="E891" i="23"/>
  <c r="BS258" i="13"/>
  <c r="BS259" i="13" s="1"/>
  <c r="S7" i="5" s="1"/>
  <c r="BT258" i="13"/>
  <c r="BT259" i="13" s="1"/>
  <c r="Z7" i="5" s="1"/>
  <c r="AF164" i="13"/>
  <c r="O160" i="5" s="1"/>
  <c r="H106" i="5"/>
  <c r="E633" i="23"/>
  <c r="BE114" i="13"/>
  <c r="I107" i="5" s="1"/>
  <c r="AE117" i="13"/>
  <c r="E676" i="23" s="1"/>
  <c r="E493" i="23"/>
  <c r="AE115" i="13"/>
  <c r="E654" i="23" s="1"/>
  <c r="G1105" i="23"/>
  <c r="G183" i="5" s="1"/>
  <c r="AI186" i="13" s="1"/>
  <c r="AE186" i="13" s="1"/>
  <c r="H183" i="5" s="1"/>
  <c r="G1101" i="23"/>
  <c r="AC201" i="5"/>
  <c r="AC208" i="5"/>
  <c r="AE227" i="13"/>
  <c r="H224" i="5" s="1"/>
  <c r="AE144" i="13"/>
  <c r="H138" i="5" s="1"/>
  <c r="V112" i="5"/>
  <c r="G1330" i="23"/>
  <c r="E1330" i="23" s="1"/>
  <c r="AE223" i="13"/>
  <c r="H220" i="5" s="1"/>
  <c r="G1326" i="23"/>
  <c r="E1326" i="23" s="1"/>
  <c r="AE219" i="13"/>
  <c r="H216" i="5" s="1"/>
  <c r="AF117" i="13"/>
  <c r="O111" i="5" s="1"/>
  <c r="AI203" i="13"/>
  <c r="AE164" i="13"/>
  <c r="H160" i="5" s="1"/>
  <c r="G1220" i="23"/>
  <c r="G1221" i="23" s="1"/>
  <c r="G1222" i="23" s="1"/>
  <c r="Y1217" i="23" s="1"/>
  <c r="AE1217" i="23" s="1"/>
  <c r="E1210" i="23"/>
  <c r="F197" i="5"/>
  <c r="AE221" i="13"/>
  <c r="H218" i="5" s="1"/>
  <c r="E306" i="23"/>
  <c r="H59" i="5"/>
  <c r="AE189" i="13"/>
  <c r="H186" i="5" s="1"/>
  <c r="H188" i="5"/>
  <c r="AK197" i="13"/>
  <c r="W194" i="5" s="1"/>
  <c r="AE187" i="13"/>
  <c r="H184" i="5" s="1"/>
  <c r="H185" i="5"/>
  <c r="AF160" i="13"/>
  <c r="O156" i="5" s="1"/>
  <c r="O157" i="5"/>
  <c r="AF63" i="13"/>
  <c r="O62" i="5" s="1"/>
  <c r="O63" i="5"/>
  <c r="AJ66" i="13"/>
  <c r="P64" i="5" s="1"/>
  <c r="I147" i="5"/>
  <c r="AE169" i="13"/>
  <c r="H165" i="5" s="1"/>
  <c r="H166" i="5"/>
  <c r="AG162" i="13"/>
  <c r="V158" i="5" s="1"/>
  <c r="V159" i="5"/>
  <c r="E696" i="23"/>
  <c r="H115" i="5"/>
  <c r="AE63" i="13"/>
  <c r="H63" i="5"/>
  <c r="AF189" i="13"/>
  <c r="O186" i="5" s="1"/>
  <c r="O188" i="5"/>
  <c r="E951" i="23"/>
  <c r="H156" i="5"/>
  <c r="AF162" i="13"/>
  <c r="O158" i="5" s="1"/>
  <c r="O159" i="5"/>
  <c r="AK66" i="13"/>
  <c r="V191" i="5"/>
  <c r="H54" i="5"/>
  <c r="H49" i="5"/>
  <c r="AF179" i="13"/>
  <c r="O176" i="5" s="1"/>
  <c r="O179" i="5"/>
  <c r="O106" i="5"/>
  <c r="AJ197" i="13"/>
  <c r="P194" i="5" s="1"/>
  <c r="E282" i="23"/>
  <c r="H56" i="5"/>
  <c r="H191" i="5"/>
  <c r="V138" i="5"/>
  <c r="AE155" i="13"/>
  <c r="BR177" i="13"/>
  <c r="AE177" i="13"/>
  <c r="AI175" i="13"/>
  <c r="AG46" i="13"/>
  <c r="V47" i="5" s="1"/>
  <c r="AI66" i="13"/>
  <c r="AE41" i="13"/>
  <c r="E233" i="23"/>
  <c r="E929" i="23"/>
  <c r="E1304" i="23"/>
  <c r="BK306" i="13"/>
  <c r="E829" i="23"/>
  <c r="AC39" i="11"/>
  <c r="E805" i="23"/>
  <c r="E776" i="23"/>
  <c r="E746" i="23"/>
  <c r="E170" i="23"/>
  <c r="E148" i="23"/>
  <c r="E123" i="23"/>
  <c r="E68" i="23"/>
  <c r="E39" i="23"/>
  <c r="BE49" i="13"/>
  <c r="I50" i="5" s="1"/>
  <c r="BI306" i="13"/>
  <c r="BH49" i="13"/>
  <c r="P50" i="5" s="1"/>
  <c r="BJ306" i="13"/>
  <c r="I238" i="5"/>
  <c r="AG160" i="13"/>
  <c r="V156" i="5" s="1"/>
  <c r="AG155" i="13"/>
  <c r="V150" i="5" s="1"/>
  <c r="AG183" i="13"/>
  <c r="V180" i="5" s="1"/>
  <c r="AE179" i="13"/>
  <c r="I24" i="3"/>
  <c r="AF155" i="13"/>
  <c r="AE192" i="13"/>
  <c r="H189" i="5" s="1"/>
  <c r="AG192" i="13"/>
  <c r="V189" i="5" s="1"/>
  <c r="AB42" i="11"/>
  <c r="AC42" i="11"/>
  <c r="AG179" i="13"/>
  <c r="V176" i="5" s="1"/>
  <c r="AF183" i="13"/>
  <c r="O180" i="5" s="1"/>
  <c r="AE171" i="13"/>
  <c r="H168" i="5" s="1"/>
  <c r="AG187" i="13"/>
  <c r="V184" i="5" s="1"/>
  <c r="AF171" i="13"/>
  <c r="O168" i="5" s="1"/>
  <c r="AG171" i="13"/>
  <c r="V168" i="5" s="1"/>
  <c r="AG169" i="13"/>
  <c r="BI322" i="13"/>
  <c r="BR312" i="13" s="1"/>
  <c r="AC51" i="11" s="1"/>
  <c r="AB214" i="13"/>
  <c r="AG39" i="13"/>
  <c r="V39" i="5" s="1"/>
  <c r="AF51" i="13"/>
  <c r="O52" i="5" s="1"/>
  <c r="AG175" i="13"/>
  <c r="V172" i="5" s="1"/>
  <c r="AE46" i="13"/>
  <c r="E231" i="23" s="1"/>
  <c r="F86" i="16"/>
  <c r="I86" i="16" s="1"/>
  <c r="AF39" i="13"/>
  <c r="O39" i="5" s="1"/>
  <c r="AF59" i="13"/>
  <c r="O59" i="5" s="1"/>
  <c r="AG56" i="13"/>
  <c r="V56" i="5" s="1"/>
  <c r="AF56" i="13"/>
  <c r="O56" i="5" s="1"/>
  <c r="AE51" i="13"/>
  <c r="AG59" i="13"/>
  <c r="V59" i="5" s="1"/>
  <c r="AG51" i="13"/>
  <c r="V52" i="5" s="1"/>
  <c r="AG152" i="13"/>
  <c r="V147" i="5" s="1"/>
  <c r="AF152" i="13"/>
  <c r="O147" i="5" s="1"/>
  <c r="AF175" i="13"/>
  <c r="O172" i="5" s="1"/>
  <c r="AG36" i="13"/>
  <c r="V36" i="5" s="1"/>
  <c r="AE36" i="13"/>
  <c r="AF36" i="13"/>
  <c r="O36" i="5" s="1"/>
  <c r="AG103" i="13"/>
  <c r="V100" i="5" s="1"/>
  <c r="AG100" i="13"/>
  <c r="V97" i="5" s="1"/>
  <c r="AF103" i="13"/>
  <c r="O100" i="5" s="1"/>
  <c r="AE100" i="13"/>
  <c r="AE103" i="13"/>
  <c r="H100" i="5" s="1"/>
  <c r="AF100" i="13"/>
  <c r="O97" i="5" s="1"/>
  <c r="AF46" i="13" l="1"/>
  <c r="O47" i="5" s="1"/>
  <c r="BD260" i="13"/>
  <c r="BE259" i="13" s="1"/>
  <c r="BI327" i="13"/>
  <c r="BR316" i="13" s="1"/>
  <c r="AC55" i="11" s="1"/>
  <c r="BE181" i="13"/>
  <c r="I178" i="5" s="1"/>
  <c r="H176" i="5"/>
  <c r="H111" i="5"/>
  <c r="AG231" i="13"/>
  <c r="V228" i="5" s="1"/>
  <c r="AF231" i="13"/>
  <c r="O228" i="5" s="1"/>
  <c r="H109" i="5"/>
  <c r="BR258" i="13"/>
  <c r="BR259" i="13" s="1"/>
  <c r="AE152" i="13"/>
  <c r="H147" i="5" s="1"/>
  <c r="E866" i="23"/>
  <c r="G182" i="5"/>
  <c r="E1108" i="23"/>
  <c r="AC197" i="5"/>
  <c r="E971" i="23"/>
  <c r="E1231" i="23"/>
  <c r="AG1217" i="23"/>
  <c r="AF1217" i="23"/>
  <c r="AK1217" i="23"/>
  <c r="K1221" i="23"/>
  <c r="G200" i="5" s="1"/>
  <c r="AD206" i="13"/>
  <c r="AG206" i="13" s="1"/>
  <c r="V204" i="5" s="1"/>
  <c r="F211" i="5"/>
  <c r="AC211" i="5" s="1"/>
  <c r="E1133" i="23"/>
  <c r="E994" i="23"/>
  <c r="V165" i="5"/>
  <c r="H36" i="5"/>
  <c r="E259" i="23"/>
  <c r="H52" i="5"/>
  <c r="E927" i="23"/>
  <c r="H150" i="5"/>
  <c r="E326" i="23"/>
  <c r="H62" i="5"/>
  <c r="W64" i="5"/>
  <c r="O150" i="5"/>
  <c r="H42" i="5"/>
  <c r="E557" i="23"/>
  <c r="H97" i="5"/>
  <c r="I64" i="5"/>
  <c r="H47" i="5"/>
  <c r="H174" i="5"/>
  <c r="AE175" i="13"/>
  <c r="E1049" i="23" s="1"/>
  <c r="D35" i="11"/>
  <c r="E35" i="11" s="1"/>
  <c r="G35" i="11" s="1"/>
  <c r="AD22" i="11" s="1"/>
  <c r="AE39" i="13"/>
  <c r="E1195" i="23"/>
  <c r="E1157" i="23"/>
  <c r="E1080" i="23"/>
  <c r="E1025" i="23"/>
  <c r="BT301" i="13"/>
  <c r="BS301" i="13"/>
  <c r="BR301" i="13"/>
  <c r="AC40" i="11" s="1"/>
  <c r="E595" i="23"/>
  <c r="AD205" i="13"/>
  <c r="AF205" i="13" s="1"/>
  <c r="O203" i="5" s="1"/>
  <c r="AD207" i="13"/>
  <c r="C42" i="11"/>
  <c r="AG197" i="13"/>
  <c r="V194" i="5" s="1"/>
  <c r="AJ200" i="13"/>
  <c r="AD209" i="13"/>
  <c r="AF209" i="13" s="1"/>
  <c r="O206" i="5" s="1"/>
  <c r="AD204" i="13"/>
  <c r="H1245" i="23" s="1"/>
  <c r="AK200" i="13"/>
  <c r="AD200" i="13"/>
  <c r="H1210" i="23" s="1"/>
  <c r="AD201" i="13"/>
  <c r="AF201" i="13" s="1"/>
  <c r="O198" i="5" s="1"/>
  <c r="AD213" i="13"/>
  <c r="AG213" i="13" s="1"/>
  <c r="V210" i="5" s="1"/>
  <c r="AD211" i="13"/>
  <c r="H1297" i="23" s="1"/>
  <c r="AD210" i="13"/>
  <c r="AF210" i="13" s="1"/>
  <c r="O207" i="5" s="1"/>
  <c r="AD212" i="13"/>
  <c r="AE212" i="13" s="1"/>
  <c r="H209" i="5" s="1"/>
  <c r="AD208" i="13"/>
  <c r="H1276" i="23" s="1"/>
  <c r="AD203" i="13"/>
  <c r="AG203" i="13" s="1"/>
  <c r="V201" i="5" s="1"/>
  <c r="AD202" i="13"/>
  <c r="F91" i="16"/>
  <c r="I91" i="16" s="1"/>
  <c r="AF197" i="13"/>
  <c r="AF110" i="13"/>
  <c r="O103" i="5" s="1"/>
  <c r="AE110" i="13"/>
  <c r="AG110" i="13"/>
  <c r="V103" i="5" s="1"/>
  <c r="D30" i="16"/>
  <c r="BE260" i="13" l="1"/>
  <c r="D11" i="11"/>
  <c r="G47" i="11" s="1"/>
  <c r="L7" i="5"/>
  <c r="AF206" i="13"/>
  <c r="O204" i="5" s="1"/>
  <c r="AE206" i="13"/>
  <c r="H204" i="5" s="1"/>
  <c r="AI185" i="13"/>
  <c r="H7" i="23"/>
  <c r="AI202" i="13"/>
  <c r="AI200" i="13" s="1"/>
  <c r="AI214" i="13" s="1"/>
  <c r="H172" i="5"/>
  <c r="O194" i="5"/>
  <c r="AK214" i="13"/>
  <c r="H103" i="5"/>
  <c r="AJ214" i="13"/>
  <c r="P211" i="5" s="1"/>
  <c r="E201" i="23"/>
  <c r="H39" i="5"/>
  <c r="Y1220" i="23"/>
  <c r="AE213" i="13"/>
  <c r="AF213" i="13"/>
  <c r="O210" i="5" s="1"/>
  <c r="AG201" i="13"/>
  <c r="V198" i="5" s="1"/>
  <c r="AG205" i="13"/>
  <c r="AE205" i="13"/>
  <c r="AG202" i="13"/>
  <c r="V200" i="5" s="1"/>
  <c r="AF202" i="13"/>
  <c r="O200" i="5" s="1"/>
  <c r="AF203" i="13"/>
  <c r="O201" i="5" s="1"/>
  <c r="AE203" i="13"/>
  <c r="H201" i="5" s="1"/>
  <c r="AG210" i="13"/>
  <c r="V207" i="5" s="1"/>
  <c r="AE210" i="13"/>
  <c r="H207" i="5" s="1"/>
  <c r="AG209" i="13"/>
  <c r="V206" i="5" s="1"/>
  <c r="AE209" i="13"/>
  <c r="H206" i="5" s="1"/>
  <c r="AD214" i="13"/>
  <c r="AE201" i="13"/>
  <c r="H198" i="5" s="1"/>
  <c r="AF212" i="13"/>
  <c r="O209" i="5" s="1"/>
  <c r="AG212" i="13"/>
  <c r="V209" i="5" s="1"/>
  <c r="AF208" i="13"/>
  <c r="O205" i="5" s="1"/>
  <c r="AF204" i="13"/>
  <c r="F30" i="16"/>
  <c r="AE185" i="13" l="1"/>
  <c r="AI183" i="13"/>
  <c r="AE202" i="13"/>
  <c r="H200" i="5" s="1"/>
  <c r="H210" i="5"/>
  <c r="O202" i="5"/>
  <c r="W211" i="5"/>
  <c r="AE204" i="13"/>
  <c r="H202" i="5" s="1"/>
  <c r="H203" i="5"/>
  <c r="AG204" i="13"/>
  <c r="V202" i="5" s="1"/>
  <c r="V203" i="5"/>
  <c r="I211" i="5"/>
  <c r="AE211" i="13"/>
  <c r="AF211" i="13"/>
  <c r="O208" i="5" s="1"/>
  <c r="AG200" i="13"/>
  <c r="V197" i="5" s="1"/>
  <c r="AF200" i="13"/>
  <c r="O197" i="5" s="1"/>
  <c r="AE208" i="13"/>
  <c r="AG208" i="13"/>
  <c r="V205" i="5" s="1"/>
  <c r="AG211" i="13"/>
  <c r="V208" i="5" s="1"/>
  <c r="I30" i="16"/>
  <c r="D31" i="16"/>
  <c r="AE200" i="13" l="1"/>
  <c r="H197" i="5" s="1"/>
  <c r="AI197" i="13"/>
  <c r="H180" i="5"/>
  <c r="H182" i="5"/>
  <c r="AE183" i="13"/>
  <c r="E1263" i="23"/>
  <c r="E1305" i="23"/>
  <c r="H208" i="5"/>
  <c r="E1284" i="23"/>
  <c r="H205" i="5"/>
  <c r="E1232" i="23"/>
  <c r="AF214" i="13"/>
  <c r="O211" i="5" s="1"/>
  <c r="AG214" i="13"/>
  <c r="D33" i="16"/>
  <c r="E1109" i="23" l="1"/>
  <c r="AE197" i="13"/>
  <c r="H194" i="5" s="1"/>
  <c r="I194" i="5"/>
  <c r="D41" i="11"/>
  <c r="E41" i="11" s="1"/>
  <c r="G41" i="11" s="1"/>
  <c r="AD28" i="11" s="1"/>
  <c r="V211" i="5"/>
  <c r="F33" i="16"/>
  <c r="I33" i="16" l="1"/>
  <c r="D34" i="16"/>
  <c r="F34" i="16" l="1"/>
  <c r="I34" i="16" l="1"/>
  <c r="D35" i="16"/>
  <c r="AA97" i="13" l="1"/>
  <c r="AA260" i="13" s="1"/>
  <c r="F35" i="16" l="1"/>
  <c r="I35" i="16" s="1"/>
  <c r="T97" i="13"/>
  <c r="D40" i="16" s="1"/>
  <c r="D36" i="16" l="1"/>
  <c r="F36" i="16" l="1"/>
  <c r="I36" i="16" l="1"/>
  <c r="T123" i="13" l="1"/>
  <c r="D55" i="16"/>
  <c r="D56" i="16" l="1"/>
  <c r="F55" i="16" l="1"/>
  <c r="I55" i="16" s="1"/>
  <c r="F56" i="16" l="1"/>
  <c r="I56" i="16" s="1"/>
  <c r="D38" i="11"/>
  <c r="E38" i="11" l="1"/>
  <c r="G38" i="11" s="1"/>
  <c r="AD25" i="11" l="1"/>
  <c r="D70" i="16" l="1"/>
  <c r="F70" i="16" l="1"/>
  <c r="I70" i="16" l="1"/>
  <c r="T166" i="13"/>
  <c r="D71" i="16"/>
  <c r="T259" i="13" l="1"/>
  <c r="F30" i="3" s="1"/>
  <c r="D72" i="16"/>
  <c r="F71" i="16" l="1"/>
  <c r="I71" i="16" l="1"/>
  <c r="F72" i="16"/>
  <c r="I72" i="16" s="1"/>
  <c r="D40" i="11" l="1"/>
  <c r="E40" i="11" l="1"/>
  <c r="G40" i="11" s="1"/>
  <c r="AD27" i="11" l="1"/>
  <c r="F259" i="13"/>
  <c r="AE66" i="13" l="1"/>
  <c r="H64" i="5" s="1"/>
  <c r="AG66" i="13" l="1"/>
  <c r="V64" i="5" s="1"/>
  <c r="AF66" i="13"/>
  <c r="O64" i="5" s="1"/>
  <c r="AE123" i="13" l="1"/>
  <c r="H117" i="5" l="1"/>
  <c r="AF123" i="13"/>
  <c r="AG123" i="13"/>
  <c r="AE166" i="13"/>
  <c r="H162" i="5" l="1"/>
  <c r="O117" i="5"/>
  <c r="V117" i="5"/>
  <c r="AF166" i="13"/>
  <c r="AG166" i="13"/>
  <c r="O162" i="5" l="1"/>
  <c r="V162" i="5"/>
  <c r="D42" i="11"/>
  <c r="E42" i="11" s="1"/>
  <c r="G42" i="11" s="1"/>
  <c r="AD29" i="11" l="1"/>
  <c r="AE214" i="13" l="1"/>
  <c r="H211" i="5" s="1"/>
  <c r="F31" i="16" l="1"/>
  <c r="AJ79" i="13" l="1"/>
  <c r="AB97" i="13"/>
  <c r="F94" i="5" s="1"/>
  <c r="AC94" i="5" s="1"/>
  <c r="AI79" i="13"/>
  <c r="AK79" i="13"/>
  <c r="F40" i="16"/>
  <c r="I40" i="16" s="1"/>
  <c r="I31" i="16"/>
  <c r="AI97" i="13" l="1"/>
  <c r="I94" i="5" s="1"/>
  <c r="AK97" i="13"/>
  <c r="W94" i="5" s="1"/>
  <c r="AJ97" i="13"/>
  <c r="P94" i="5" s="1"/>
  <c r="AD72" i="13"/>
  <c r="AF72" i="13" s="1"/>
  <c r="O70" i="5" s="1"/>
  <c r="C36" i="11"/>
  <c r="C44" i="11" s="1"/>
  <c r="BJ262" i="13"/>
  <c r="AD92" i="13"/>
  <c r="AE92" i="13" s="1"/>
  <c r="H91" i="5" s="1"/>
  <c r="AD90" i="13"/>
  <c r="H470" i="23" s="1"/>
  <c r="AD70" i="13"/>
  <c r="AG70" i="13" s="1"/>
  <c r="V68" i="5" s="1"/>
  <c r="AD73" i="13"/>
  <c r="AG73" i="13" s="1"/>
  <c r="V72" i="5" s="1"/>
  <c r="AB259" i="13"/>
  <c r="AD96" i="13"/>
  <c r="AD74" i="13"/>
  <c r="AF74" i="13" s="1"/>
  <c r="O74" i="5" s="1"/>
  <c r="AD86" i="13"/>
  <c r="H448" i="23" s="1"/>
  <c r="AD77" i="13"/>
  <c r="AE77" i="13" s="1"/>
  <c r="H77" i="5" s="1"/>
  <c r="AD95" i="13"/>
  <c r="AD78" i="13"/>
  <c r="AG78" i="13" s="1"/>
  <c r="V78" i="5" s="1"/>
  <c r="AD76" i="13"/>
  <c r="AF76" i="13" s="1"/>
  <c r="O76" i="5" s="1"/>
  <c r="AD87" i="13"/>
  <c r="AE87" i="13" s="1"/>
  <c r="H86" i="5" s="1"/>
  <c r="AD91" i="13"/>
  <c r="AG91" i="13" s="1"/>
  <c r="V90" i="5" s="1"/>
  <c r="AD79" i="13"/>
  <c r="H406" i="23" s="1"/>
  <c r="AD84" i="13"/>
  <c r="AG84" i="13" s="1"/>
  <c r="V83" i="5" s="1"/>
  <c r="BD261" i="13"/>
  <c r="AD83" i="13"/>
  <c r="H427" i="23" s="1"/>
  <c r="AD82" i="13"/>
  <c r="AD85" i="13"/>
  <c r="AG85" i="13" s="1"/>
  <c r="V84" i="5" s="1"/>
  <c r="AD89" i="13"/>
  <c r="AF89" i="13" s="1"/>
  <c r="O88" i="5" s="1"/>
  <c r="AD93" i="13"/>
  <c r="H507" i="23" s="1"/>
  <c r="BG261" i="13"/>
  <c r="AD71" i="13"/>
  <c r="AG71" i="13" s="1"/>
  <c r="V69" i="5" s="1"/>
  <c r="AD88" i="13"/>
  <c r="AD80" i="13"/>
  <c r="AE80" i="13" s="1"/>
  <c r="H80" i="5" s="1"/>
  <c r="AD69" i="13"/>
  <c r="H341" i="23" s="1"/>
  <c r="AD81" i="13"/>
  <c r="AD94" i="13"/>
  <c r="BJ261" i="13"/>
  <c r="AD75" i="13"/>
  <c r="H384" i="23" s="1"/>
  <c r="AE72" i="13" l="1"/>
  <c r="H70" i="5" s="1"/>
  <c r="AG72" i="13"/>
  <c r="V70" i="5" s="1"/>
  <c r="D36" i="11"/>
  <c r="E36" i="11" s="1"/>
  <c r="G36" i="11" s="1"/>
  <c r="AD23" i="11" s="1"/>
  <c r="BG262" i="13"/>
  <c r="F32" i="3"/>
  <c r="AA259" i="13"/>
  <c r="F31" i="3" s="1"/>
  <c r="AF92" i="13"/>
  <c r="O91" i="5" s="1"/>
  <c r="AG92" i="13"/>
  <c r="V91" i="5" s="1"/>
  <c r="AF78" i="13"/>
  <c r="O78" i="5" s="1"/>
  <c r="AE89" i="13"/>
  <c r="H88" i="5" s="1"/>
  <c r="AG89" i="13"/>
  <c r="V88" i="5" s="1"/>
  <c r="AE78" i="13"/>
  <c r="AG77" i="13"/>
  <c r="V77" i="5" s="1"/>
  <c r="AF77" i="13"/>
  <c r="O77" i="5" s="1"/>
  <c r="AG76" i="13"/>
  <c r="V76" i="5" s="1"/>
  <c r="AE76" i="13"/>
  <c r="H76" i="5" s="1"/>
  <c r="AE91" i="13"/>
  <c r="H90" i="5" s="1"/>
  <c r="AF91" i="13"/>
  <c r="O90" i="5" s="1"/>
  <c r="AE73" i="13"/>
  <c r="H72" i="5" s="1"/>
  <c r="AG87" i="13"/>
  <c r="V86" i="5" s="1"/>
  <c r="AF85" i="13"/>
  <c r="O84" i="5" s="1"/>
  <c r="AE85" i="13"/>
  <c r="H84" i="5" s="1"/>
  <c r="AF73" i="13"/>
  <c r="O72" i="5" s="1"/>
  <c r="AF70" i="13"/>
  <c r="O68" i="5" s="1"/>
  <c r="AF84" i="13"/>
  <c r="O83" i="5" s="1"/>
  <c r="AE84" i="13"/>
  <c r="H83" i="5" s="1"/>
  <c r="AE70" i="13"/>
  <c r="H68" i="5" s="1"/>
  <c r="AE71" i="13"/>
  <c r="H69" i="5" s="1"/>
  <c r="AF71" i="13"/>
  <c r="O69" i="5" s="1"/>
  <c r="AG74" i="13"/>
  <c r="V74" i="5" s="1"/>
  <c r="AE74" i="13"/>
  <c r="H74" i="5" s="1"/>
  <c r="AF87" i="13"/>
  <c r="O86" i="5" s="1"/>
  <c r="AG80" i="13"/>
  <c r="V80" i="5" s="1"/>
  <c r="AF80" i="13"/>
  <c r="O80" i="5" s="1"/>
  <c r="AG88" i="13"/>
  <c r="V87" i="5" s="1"/>
  <c r="AE88" i="13"/>
  <c r="H87" i="5" s="1"/>
  <c r="AF88" i="13"/>
  <c r="O87" i="5" s="1"/>
  <c r="AE81" i="13"/>
  <c r="H81" i="5" s="1"/>
  <c r="AG81" i="13"/>
  <c r="V81" i="5" s="1"/>
  <c r="AF81" i="13"/>
  <c r="O81" i="5" s="1"/>
  <c r="AD97" i="13"/>
  <c r="AG94" i="13"/>
  <c r="V93" i="5" s="1"/>
  <c r="AE94" i="13"/>
  <c r="H93" i="5" s="1"/>
  <c r="AF94" i="13"/>
  <c r="O93" i="5" s="1"/>
  <c r="AG83" i="13"/>
  <c r="V82" i="5" s="1"/>
  <c r="H78" i="5" l="1"/>
  <c r="AG90" i="13"/>
  <c r="AF75" i="13"/>
  <c r="O75" i="5" s="1"/>
  <c r="AE75" i="13"/>
  <c r="H75" i="5" s="1"/>
  <c r="BJ263" i="13"/>
  <c r="BK263" i="13" s="1"/>
  <c r="BL263" i="13" s="1"/>
  <c r="AF90" i="13"/>
  <c r="O89" i="5" s="1"/>
  <c r="AE90" i="13"/>
  <c r="H89" i="5" s="1"/>
  <c r="AG75" i="13"/>
  <c r="AF83" i="13"/>
  <c r="AE83" i="13"/>
  <c r="H82" i="5" s="1"/>
  <c r="AF69" i="13"/>
  <c r="O67" i="5" s="1"/>
  <c r="AE69" i="13"/>
  <c r="H67" i="5" s="1"/>
  <c r="AG69" i="13"/>
  <c r="V67" i="5" s="1"/>
  <c r="AE86" i="13"/>
  <c r="H85" i="5" s="1"/>
  <c r="AG86" i="13"/>
  <c r="V85" i="5" s="1"/>
  <c r="AF86" i="13"/>
  <c r="AF79" i="13"/>
  <c r="O79" i="5" s="1"/>
  <c r="AE79" i="13"/>
  <c r="H79" i="5" s="1"/>
  <c r="AG79" i="13"/>
  <c r="V79" i="5" s="1"/>
  <c r="AF93" i="13"/>
  <c r="AE93" i="13"/>
  <c r="H92" i="5" s="1"/>
  <c r="AG93" i="13"/>
  <c r="BG263" i="13"/>
  <c r="O82" i="5" l="1"/>
  <c r="V75" i="5"/>
  <c r="O85" i="5"/>
  <c r="V89" i="5"/>
  <c r="V92" i="5"/>
  <c r="O92" i="5"/>
  <c r="E528" i="23"/>
  <c r="E494" i="23"/>
  <c r="E457" i="23"/>
  <c r="E393" i="23"/>
  <c r="E435" i="23"/>
  <c r="E371" i="23"/>
  <c r="E414" i="23"/>
  <c r="AF97" i="13"/>
  <c r="O94" i="5" s="1"/>
  <c r="AE97" i="13"/>
  <c r="H94" i="5" s="1"/>
  <c r="AG97" i="13"/>
  <c r="V94" i="5" s="1"/>
  <c r="BH263" i="13"/>
  <c r="BI263" i="13" s="1"/>
  <c r="BJ316" i="13" l="1"/>
  <c r="BS310" i="13" s="1"/>
  <c r="BG250" i="13"/>
  <c r="BH250" i="13" s="1"/>
  <c r="P139" i="5" s="1"/>
  <c r="AY145" i="13"/>
  <c r="BH145" i="13" l="1"/>
  <c r="P140" i="5" s="1"/>
  <c r="BG260" i="13"/>
  <c r="BI316" i="13"/>
  <c r="BR310" i="13" s="1"/>
  <c r="AC49" i="11" s="1"/>
  <c r="BE145" i="13"/>
  <c r="I140" i="5" s="1"/>
  <c r="BH260" i="13" l="1"/>
  <c r="BH259" i="13"/>
  <c r="BI260" i="13"/>
  <c r="BI265" i="13" s="1"/>
  <c r="BH265" i="13" s="1"/>
  <c r="S4" i="5" s="1"/>
  <c r="BK145" i="13"/>
  <c r="W140" i="5" s="1"/>
  <c r="BJ250" i="13"/>
  <c r="BK250" i="13" s="1"/>
  <c r="W139" i="5" s="1"/>
  <c r="BK316" i="13"/>
  <c r="BT310" i="13" s="1"/>
  <c r="BJ260" i="13"/>
  <c r="BH268" i="13"/>
  <c r="G46" i="11"/>
  <c r="BF260" i="13"/>
  <c r="BK260" i="13" l="1"/>
  <c r="BK259" i="13"/>
  <c r="BL260" i="13"/>
  <c r="BL265" i="13" s="1"/>
  <c r="BK265" i="13" l="1"/>
  <c r="Z4" i="5" s="1"/>
  <c r="BK268" i="13"/>
  <c r="AA219" i="23" l="1"/>
  <c r="AA345" i="23"/>
  <c r="AA614" i="23"/>
  <c r="AA454" i="23"/>
  <c r="AA452" i="23"/>
  <c r="AB220" i="23"/>
  <c r="AB219" i="23"/>
  <c r="AB248" i="23"/>
  <c r="AB345" i="23"/>
  <c r="AB388" i="23"/>
  <c r="AB193" i="23"/>
  <c r="AB198" i="23"/>
  <c r="AB410" i="23"/>
  <c r="AB454" i="23"/>
  <c r="AB431" i="23"/>
  <c r="AB452" i="23"/>
  <c r="AB250" i="23"/>
  <c r="AB389" i="23"/>
  <c r="AB673" i="23"/>
  <c r="AB1222" i="23"/>
  <c r="AB648" i="23"/>
  <c r="AB1253" i="23"/>
  <c r="AB1302" i="23"/>
  <c r="AB1280" i="23"/>
  <c r="AB432" i="23"/>
  <c r="AB1217" i="23"/>
  <c r="AB822" i="23"/>
  <c r="AB522" i="23"/>
  <c r="AB614" i="23"/>
  <c r="Z220" i="23"/>
  <c r="Z388" i="23"/>
  <c r="Z522" i="23"/>
  <c r="Z822" i="23"/>
  <c r="Z193" i="23"/>
  <c r="Z198" i="23"/>
  <c r="Z410" i="23"/>
  <c r="Z431" i="23"/>
  <c r="Z452" i="23"/>
  <c r="Z1217" i="23"/>
  <c r="Z250" i="23"/>
  <c r="Z389" i="23"/>
  <c r="Z432" i="23"/>
  <c r="Z345" i="23"/>
  <c r="Z1222" i="23"/>
  <c r="Z454" i="23"/>
  <c r="Z648" i="23"/>
  <c r="Z1253" i="23"/>
  <c r="Z1302" i="23"/>
  <c r="Z1280" i="23"/>
  <c r="Z248" i="23"/>
  <c r="Z219" i="23"/>
  <c r="Z614" i="23"/>
  <c r="Z673" i="23"/>
  <c r="AI217" i="13" l="1"/>
  <c r="AE217" i="13" s="1"/>
  <c r="H214" i="5" s="1"/>
  <c r="AE231" i="13" l="1"/>
  <c r="H228" i="5" s="1"/>
  <c r="AI231" i="13"/>
  <c r="I228" i="5" s="1"/>
  <c r="G1324" i="23"/>
  <c r="E1324" i="23" l="1"/>
  <c r="K1336" i="23"/>
  <c r="E1340" i="23" s="1"/>
  <c r="F1340" i="23"/>
  <c r="D43" i="11"/>
  <c r="E1341" i="23"/>
  <c r="AE261" i="13"/>
  <c r="E43" i="11" l="1"/>
  <c r="G43" i="11" s="1"/>
  <c r="D44" i="11"/>
  <c r="BD262" i="13" s="1"/>
  <c r="G44" i="11" l="1"/>
  <c r="AD30" i="11"/>
  <c r="H5" i="23" l="1"/>
  <c r="L5" i="5"/>
  <c r="D9" i="11"/>
  <c r="BD263" i="13"/>
  <c r="BE263" i="13" s="1"/>
  <c r="BF263" i="13" s="1"/>
  <c r="BF265" i="13" s="1"/>
  <c r="E8" i="5" s="1"/>
  <c r="BE265" i="13" l="1"/>
  <c r="BE268" i="13"/>
  <c r="K8" i="11"/>
  <c r="H4" i="23" l="1"/>
  <c r="D8" i="11"/>
  <c r="G4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D218" authorId="0" shapeId="0" xr:uid="{2BBF1E76-F25F-45E4-B69E-0CCD7EABB3A1}">
      <text>
        <r>
          <rPr>
            <sz val="9"/>
            <color indexed="81"/>
            <rFont val="Tahoma"/>
            <family val="2"/>
          </rPr>
          <t xml:space="preserve">Requirement: Compliance with </t>
        </r>
        <r>
          <rPr>
            <b/>
            <sz val="9"/>
            <color indexed="81"/>
            <rFont val="Tahoma"/>
            <family val="2"/>
          </rPr>
          <t xml:space="preserve">Mat 05 criteria 6–8 </t>
        </r>
        <r>
          <rPr>
            <sz val="9"/>
            <color indexed="81"/>
            <rFont val="Tahoma"/>
            <family val="2"/>
          </rPr>
          <t>Control plan and moisture measurements.</t>
        </r>
      </text>
    </comment>
    <comment ref="D345" authorId="0" shapeId="0" xr:uid="{371C9FE8-0D02-477B-9D3A-6DD60A33CA0F}">
      <text>
        <r>
          <rPr>
            <sz val="9"/>
            <color indexed="81"/>
            <rFont val="Tahoma"/>
            <family val="2"/>
          </rPr>
          <t xml:space="preserve">Requirement: </t>
        </r>
        <r>
          <rPr>
            <b/>
            <sz val="9"/>
            <color indexed="81"/>
            <rFont val="Tahoma"/>
            <family val="2"/>
          </rPr>
          <t xml:space="preserve">Hea 03 </t>
        </r>
        <r>
          <rPr>
            <sz val="9"/>
            <color indexed="81"/>
            <rFont val="Tahoma"/>
            <family val="2"/>
          </rPr>
          <t>Thermal comfort: Thermal modelling (N/A for shell only)</t>
        </r>
      </text>
    </comment>
    <comment ref="D825" authorId="0" shapeId="0" xr:uid="{434F8688-4C77-4084-A22A-7D9D9B212038}">
      <text>
        <r>
          <rPr>
            <sz val="9"/>
            <color indexed="81"/>
            <rFont val="Tahoma"/>
            <family val="2"/>
          </rPr>
          <t xml:space="preserve">Requirement for </t>
        </r>
        <r>
          <rPr>
            <b/>
            <sz val="9"/>
            <color indexed="81"/>
            <rFont val="Tahoma"/>
            <family val="2"/>
          </rPr>
          <t xml:space="preserve">Hea 02 </t>
        </r>
        <r>
          <rPr>
            <sz val="9"/>
            <color indexed="81"/>
            <rFont val="Tahoma"/>
            <family val="2"/>
          </rPr>
          <t>Pre-requisite: indoor air quality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Oddbjørn Dahlstrøm</author>
  </authors>
  <commentList>
    <comment ref="E32" authorId="0" shapeId="0" xr:uid="{E19614E5-1F21-48D0-905D-20829A040BDB}">
      <text>
        <r>
          <rPr>
            <b/>
            <sz val="9"/>
            <color indexed="81"/>
            <rFont val="Tahoma"/>
            <family val="2"/>
          </rPr>
          <t>Oddbjørn Dahlstrøm Andvik:</t>
        </r>
        <r>
          <rPr>
            <sz val="9"/>
            <color indexed="81"/>
            <rFont val="Tahoma"/>
            <family val="2"/>
          </rPr>
          <t xml:space="preserve">
VED RESIDENTIAL Feedback and improvements</t>
        </r>
      </text>
    </comment>
    <comment ref="AB62" authorId="1" shapeId="0" xr:uid="{00000000-0006-0000-0300-000001000000}">
      <text>
        <r>
          <rPr>
            <sz val="9"/>
            <color indexed="81"/>
            <rFont val="Tahoma"/>
            <family val="2"/>
          </rPr>
          <t>Må være slik for å få manuell filtrering ved Bespokt til å fungere</t>
        </r>
      </text>
    </comment>
    <comment ref="F79" authorId="0" shapeId="0" xr:uid="{443B899F-3E52-4437-A113-E2063BB823B0}">
      <text>
        <r>
          <rPr>
            <b/>
            <sz val="9"/>
            <color indexed="81"/>
            <rFont val="Tahoma"/>
            <family val="2"/>
          </rPr>
          <t>Skal være 1</t>
        </r>
        <r>
          <rPr>
            <sz val="9"/>
            <color indexed="81"/>
            <rFont val="Tahoma"/>
            <family val="2"/>
          </rPr>
          <t xml:space="preserve">
</t>
        </r>
      </text>
    </comment>
    <comment ref="G79" authorId="0" shapeId="0" xr:uid="{5CF6CBF8-C714-4294-B802-308024A0E07F}">
      <text>
        <r>
          <rPr>
            <b/>
            <sz val="9"/>
            <color indexed="81"/>
            <rFont val="Tahoma"/>
            <family val="2"/>
          </rPr>
          <t>Skal være 1</t>
        </r>
        <r>
          <rPr>
            <sz val="9"/>
            <color indexed="81"/>
            <rFont val="Tahoma"/>
            <family val="2"/>
          </rPr>
          <t xml:space="preserve">
</t>
        </r>
      </text>
    </comment>
    <comment ref="H79" authorId="0" shapeId="0" xr:uid="{A7A24F0F-9C85-4CD8-9F37-A4CA70F9C766}">
      <text>
        <r>
          <rPr>
            <b/>
            <sz val="9"/>
            <color indexed="81"/>
            <rFont val="Tahoma"/>
            <family val="2"/>
          </rPr>
          <t>Skal være 1</t>
        </r>
        <r>
          <rPr>
            <sz val="9"/>
            <color indexed="81"/>
            <rFont val="Tahoma"/>
            <family val="2"/>
          </rPr>
          <t xml:space="preserve">
</t>
        </r>
      </text>
    </comment>
    <comment ref="I79" authorId="0" shapeId="0" xr:uid="{5A397767-B974-492E-BE9E-979C7004A2BC}">
      <text>
        <r>
          <rPr>
            <b/>
            <sz val="9"/>
            <color indexed="81"/>
            <rFont val="Tahoma"/>
            <family val="2"/>
          </rPr>
          <t>Skal være 1</t>
        </r>
        <r>
          <rPr>
            <sz val="9"/>
            <color indexed="81"/>
            <rFont val="Tahoma"/>
            <family val="2"/>
          </rPr>
          <t xml:space="preserve">
</t>
        </r>
      </text>
    </comment>
    <comment ref="J79" authorId="0" shapeId="0" xr:uid="{99A478BC-B705-4717-904C-B484569AD718}">
      <text>
        <r>
          <rPr>
            <b/>
            <sz val="9"/>
            <color indexed="81"/>
            <rFont val="Tahoma"/>
            <family val="2"/>
          </rPr>
          <t>Skal være 1</t>
        </r>
        <r>
          <rPr>
            <sz val="9"/>
            <color indexed="81"/>
            <rFont val="Tahoma"/>
            <family val="2"/>
          </rPr>
          <t xml:space="preserve">
</t>
        </r>
      </text>
    </comment>
    <comment ref="K79" authorId="0" shapeId="0" xr:uid="{33F3245B-923B-4646-AE09-696883125E15}">
      <text>
        <r>
          <rPr>
            <b/>
            <sz val="9"/>
            <color indexed="81"/>
            <rFont val="Tahoma"/>
            <family val="2"/>
          </rPr>
          <t>Skal være 1</t>
        </r>
        <r>
          <rPr>
            <sz val="9"/>
            <color indexed="81"/>
            <rFont val="Tahoma"/>
            <family val="2"/>
          </rPr>
          <t xml:space="preserve">
</t>
        </r>
      </text>
    </comment>
    <comment ref="L79" authorId="0" shapeId="0" xr:uid="{F8A6BD9A-25BD-4749-BAB0-7E28E7D6BC89}">
      <text>
        <r>
          <rPr>
            <b/>
            <sz val="9"/>
            <color indexed="81"/>
            <rFont val="Tahoma"/>
            <family val="2"/>
          </rPr>
          <t>Skal være 1</t>
        </r>
        <r>
          <rPr>
            <sz val="9"/>
            <color indexed="81"/>
            <rFont val="Tahoma"/>
            <family val="2"/>
          </rPr>
          <t xml:space="preserve">
</t>
        </r>
      </text>
    </comment>
    <comment ref="M79" authorId="0" shapeId="0" xr:uid="{60F5FF42-633E-4D84-BB49-9704BF9ED20C}">
      <text>
        <r>
          <rPr>
            <b/>
            <sz val="9"/>
            <color indexed="81"/>
            <rFont val="Tahoma"/>
            <family val="2"/>
          </rPr>
          <t>Skal være 1</t>
        </r>
        <r>
          <rPr>
            <sz val="9"/>
            <color indexed="81"/>
            <rFont val="Tahoma"/>
            <family val="2"/>
          </rPr>
          <t xml:space="preserve">
</t>
        </r>
      </text>
    </comment>
    <comment ref="N79" authorId="0" shapeId="0" xr:uid="{D9769830-0832-49ED-A0B4-571B9B17A365}">
      <text>
        <r>
          <rPr>
            <b/>
            <sz val="9"/>
            <color indexed="81"/>
            <rFont val="Tahoma"/>
            <family val="2"/>
          </rPr>
          <t>Skal være 1</t>
        </r>
        <r>
          <rPr>
            <sz val="9"/>
            <color indexed="81"/>
            <rFont val="Tahoma"/>
            <family val="2"/>
          </rPr>
          <t xml:space="preserve">
</t>
        </r>
      </text>
    </comment>
    <comment ref="O79" authorId="0" shapeId="0" xr:uid="{7E448815-A28D-4AE5-8953-13D2BD3643E0}">
      <text>
        <r>
          <rPr>
            <b/>
            <sz val="9"/>
            <color indexed="81"/>
            <rFont val="Tahoma"/>
            <family val="2"/>
          </rPr>
          <t>Skal være 1</t>
        </r>
        <r>
          <rPr>
            <sz val="9"/>
            <color indexed="81"/>
            <rFont val="Tahoma"/>
            <family val="2"/>
          </rPr>
          <t xml:space="preserve">
</t>
        </r>
      </text>
    </comment>
    <comment ref="P79" authorId="0" shapeId="0" xr:uid="{032BE33F-1AEF-4F1B-B478-7D777E336E32}">
      <text>
        <r>
          <rPr>
            <b/>
            <sz val="9"/>
            <color indexed="81"/>
            <rFont val="Tahoma"/>
            <family val="2"/>
          </rPr>
          <t>Skal være 1</t>
        </r>
        <r>
          <rPr>
            <sz val="9"/>
            <color indexed="81"/>
            <rFont val="Tahoma"/>
            <family val="2"/>
          </rPr>
          <t xml:space="preserve">
</t>
        </r>
      </text>
    </comment>
    <comment ref="Q79" authorId="0" shapeId="0" xr:uid="{BF3967F9-09C2-4604-BB49-7A0551D9B0EE}">
      <text>
        <r>
          <rPr>
            <b/>
            <sz val="9"/>
            <color indexed="81"/>
            <rFont val="Tahoma"/>
            <family val="2"/>
          </rPr>
          <t>Skal være 1</t>
        </r>
        <r>
          <rPr>
            <sz val="9"/>
            <color indexed="81"/>
            <rFont val="Tahoma"/>
            <family val="2"/>
          </rPr>
          <t xml:space="preserve">
</t>
        </r>
      </text>
    </comment>
    <comment ref="R79" authorId="0" shapeId="0" xr:uid="{BB8D662A-8A58-4001-94F7-FEDE9B68BCD7}">
      <text>
        <r>
          <rPr>
            <b/>
            <sz val="9"/>
            <color indexed="81"/>
            <rFont val="Tahoma"/>
            <family val="2"/>
          </rPr>
          <t>Skal være 1</t>
        </r>
        <r>
          <rPr>
            <sz val="9"/>
            <color indexed="81"/>
            <rFont val="Tahoma"/>
            <family val="2"/>
          </rPr>
          <t xml:space="preserve">
</t>
        </r>
      </text>
    </comment>
    <comment ref="U101" authorId="0" shapeId="0" xr:uid="{7A97D175-62DB-4838-A19C-59B6F0991062}">
      <text>
        <r>
          <rPr>
            <sz val="9"/>
            <color indexed="81"/>
            <rFont val="Tahoma"/>
            <family val="2"/>
          </rPr>
          <t>filter kan nok slettes (08.11.21)</t>
        </r>
      </text>
    </comment>
    <comment ref="BP114" authorId="0" shapeId="0" xr:uid="{D613F3BC-1803-4D88-82A8-5D57FEECF737}">
      <text>
        <r>
          <rPr>
            <b/>
            <sz val="9"/>
            <color indexed="81"/>
            <rFont val="Tahoma"/>
            <family val="2"/>
          </rPr>
          <t>Oddbjørn Dahlstrøm Andvik:</t>
        </r>
        <r>
          <rPr>
            <sz val="9"/>
            <color indexed="81"/>
            <rFont val="Tahoma"/>
            <family val="2"/>
          </rPr>
          <t xml:space="preserve">
setter til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H9" authorId="0" shapeId="0" xr:uid="{30D6E5A2-4011-4BE2-B4D8-525E7394EDE5}">
      <text>
        <r>
          <rPr>
            <sz val="9"/>
            <color indexed="81"/>
            <rFont val="Tahoma"/>
            <family val="2"/>
          </rPr>
          <t>Contribution to score. 
0 c. 0% means number of credits achieved and contribution to score.</t>
        </r>
      </text>
    </comment>
    <comment ref="I9" authorId="0" shapeId="0" xr:uid="{F425A9A2-18E4-414B-9BBC-F48CC9B81F78}">
      <text>
        <r>
          <rPr>
            <sz val="9"/>
            <color indexed="81"/>
            <rFont val="Tahoma"/>
            <family val="2"/>
          </rPr>
          <t>Minimum standards level achieved</t>
        </r>
      </text>
    </comment>
    <comment ref="K9" authorId="0" shapeId="0" xr:uid="{F323149C-5FF4-4108-94F4-B5AE26B4E30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O9" authorId="0" shapeId="0" xr:uid="{72353AB7-E94E-4018-A4F4-32381BCFBE23}">
      <text>
        <r>
          <rPr>
            <sz val="9"/>
            <color indexed="81"/>
            <rFont val="Tahoma"/>
            <family val="2"/>
          </rPr>
          <t>0 c. 0% means number of credits achieved and contribution to score.</t>
        </r>
        <r>
          <rPr>
            <sz val="9"/>
            <color indexed="81"/>
            <rFont val="Tahoma"/>
            <family val="2"/>
          </rPr>
          <t xml:space="preserve">
</t>
        </r>
      </text>
    </comment>
    <comment ref="V9" authorId="0" shapeId="0" xr:uid="{58D8B135-5C11-4997-A3D7-5AE08EB87F00}">
      <text>
        <r>
          <rPr>
            <sz val="9"/>
            <color indexed="81"/>
            <rFont val="Tahoma"/>
            <family val="2"/>
          </rPr>
          <t>0 c. 0% means number of credits achieved and contribution to score.</t>
        </r>
      </text>
    </comment>
    <comment ref="E48" authorId="0" shapeId="0" xr:uid="{253B3D45-5FEB-4C4D-B97C-1EE64C83FD38}">
      <text>
        <r>
          <rPr>
            <sz val="9"/>
            <color indexed="81"/>
            <rFont val="Tahoma"/>
            <family val="2"/>
          </rPr>
          <t xml:space="preserve">Requirement: The project must have achieved credits in </t>
        </r>
        <r>
          <rPr>
            <b/>
            <sz val="9"/>
            <color indexed="81"/>
            <rFont val="Tahoma"/>
            <family val="2"/>
          </rPr>
          <t>Mat 05</t>
        </r>
        <r>
          <rPr>
            <sz val="9"/>
            <color indexed="81"/>
            <rFont val="Tahoma"/>
            <family val="2"/>
          </rPr>
          <t xml:space="preserve"> criteria 6–8 Control plan and moisture measurements.</t>
        </r>
      </text>
    </comment>
    <comment ref="E68" authorId="0" shapeId="0" xr:uid="{18C746A1-0AE3-45F3-9838-043A6EA2652A}">
      <text>
        <r>
          <rPr>
            <sz val="9"/>
            <color indexed="81"/>
            <rFont val="Tahoma"/>
            <family val="2"/>
          </rPr>
          <t>Requirement: Hea 03 Thermal comfort: Thermal modelling (N/A for shell only)</t>
        </r>
      </text>
    </comment>
    <comment ref="E136" authorId="0" shapeId="0" xr:uid="{787C9B7F-FF07-4CA5-B5ED-FC86A40CD8F7}">
      <text>
        <r>
          <rPr>
            <sz val="9"/>
            <color indexed="81"/>
            <rFont val="Tahoma"/>
            <family val="2"/>
          </rPr>
          <t>Requirement for Hea 02 Pre-requisite: indoor air quality</t>
        </r>
      </text>
    </comment>
    <comment ref="E173" authorId="0" shapeId="0" xr:uid="{417A135B-ADCA-4C41-8FD6-EF95072CEB8B}">
      <text>
        <r>
          <rPr>
            <sz val="9"/>
            <color indexed="81"/>
            <rFont val="Tahoma"/>
            <family val="2"/>
          </rPr>
          <t>Requirement for LE 03 :Criteria 2–6 in LE 02 must have been achieved</t>
        </r>
      </text>
    </comment>
    <comment ref="E218" authorId="0" shapeId="0" xr:uid="{E5C9B72E-1444-4753-8B9F-4041CAE9350A}">
      <text>
        <r>
          <rPr>
            <b/>
            <sz val="9"/>
            <color indexed="81"/>
            <rFont val="Tahoma"/>
            <family val="2"/>
          </rPr>
          <t>Requirement:</t>
        </r>
        <r>
          <rPr>
            <sz val="9"/>
            <color indexed="81"/>
            <rFont val="Tahoma"/>
            <family val="2"/>
          </rPr>
          <t xml:space="preserve">
Ene 01: Prediction of operational energy consumption 
Ene 02: Energy monitoring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Tim Bevan</author>
  </authors>
  <commentList>
    <comment ref="B6" authorId="0" shapeId="0" xr:uid="{00000000-0006-0000-0700-000001000000}">
      <text>
        <r>
          <rPr>
            <sz val="8"/>
            <color indexed="81"/>
            <rFont val="Tahoma"/>
            <family val="2"/>
          </rPr>
          <t xml:space="preserve">This may either be a number or a unique company/organisational  system reference.
</t>
        </r>
      </text>
    </comment>
    <comment ref="C6" authorId="0" shapeId="0" xr:uid="{00000000-0006-0000-0700-000002000000}">
      <text>
        <r>
          <rPr>
            <sz val="8"/>
            <color indexed="81"/>
            <rFont val="Tahoma"/>
            <family val="2"/>
          </rPr>
          <t>Insert a full,  complete and identifiable reference to all information which is being used to verify a building's compliance with  BREEAM criteria. (Refer to appendix G of the BREEAM 2011 Scheme Document for additional guidance on BREEAM's evidential requirements).</t>
        </r>
      </text>
    </comment>
    <comment ref="D6" authorId="0" shapeId="0" xr:uid="{00000000-0006-0000-0700-000003000000}">
      <text>
        <r>
          <rPr>
            <sz val="8"/>
            <color indexed="81"/>
            <rFont val="Tahoma"/>
            <family val="2"/>
          </rPr>
          <t>Select the BREEAM issue ID that the corresponding reference relates to.</t>
        </r>
        <r>
          <rPr>
            <sz val="8"/>
            <color indexed="81"/>
            <rFont val="Tahoma"/>
            <family val="2"/>
          </rPr>
          <t xml:space="preserve">
</t>
        </r>
      </text>
    </comment>
    <comment ref="E6" authorId="0" shapeId="0" xr:uid="{00000000-0006-0000-0700-000004000000}">
      <text>
        <r>
          <rPr>
            <sz val="8"/>
            <color indexed="81"/>
            <rFont val="Tahoma"/>
            <family val="2"/>
          </rPr>
          <t xml:space="preserve">For the corresponding issue ID, insert the BREEAM criteria number that the evidence referenced demonstrates compliance with and, if/where relevant, the compliance note title that the reference supports/confirms. 
</t>
        </r>
      </text>
    </comment>
    <comment ref="F6" authorId="0" shapeId="0" xr:uid="{00000000-0006-0000-0700-000005000000}">
      <text>
        <r>
          <rPr>
            <sz val="8"/>
            <color indexed="81"/>
            <rFont val="Tahoma"/>
            <family val="2"/>
          </rPr>
          <t xml:space="preserve">If required, insert any relevant notes or comments concerning the evidence referenced necessary for the purpose of BRE's information and quality assurance checks.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<sst xmlns="http://schemas.openxmlformats.org/spreadsheetml/2006/main" count="9523" uniqueCount="2022">
  <si>
    <t xml:space="preserve"> </t>
  </si>
  <si>
    <t>Construction</t>
  </si>
  <si>
    <t>Current Version</t>
  </si>
  <si>
    <t>Previous Versions</t>
  </si>
  <si>
    <t>Mat01</t>
  </si>
  <si>
    <t>Version</t>
  </si>
  <si>
    <t>Release Date</t>
  </si>
  <si>
    <t>Copyright</t>
  </si>
  <si>
    <t>Date</t>
  </si>
  <si>
    <t>Residential</t>
  </si>
  <si>
    <t>Building contains multiple tenants/departments/function areas</t>
  </si>
  <si>
    <t>MANAGEMENT</t>
  </si>
  <si>
    <t>Yes</t>
  </si>
  <si>
    <t>No</t>
  </si>
  <si>
    <t>N/A</t>
  </si>
  <si>
    <t>No. of BREEAM credits available</t>
  </si>
  <si>
    <t>Building end user/occupier</t>
  </si>
  <si>
    <t>Assessor name</t>
  </si>
  <si>
    <t>Building details</t>
  </si>
  <si>
    <t>Building name</t>
  </si>
  <si>
    <t>Building type (sub-group)</t>
  </si>
  <si>
    <t>Project type</t>
  </si>
  <si>
    <t>Assessment stage</t>
  </si>
  <si>
    <t>Project team details</t>
  </si>
  <si>
    <t>Developer</t>
  </si>
  <si>
    <t>Principal contractor</t>
  </si>
  <si>
    <t>Project management</t>
  </si>
  <si>
    <t>Office</t>
  </si>
  <si>
    <t>Industrial</t>
  </si>
  <si>
    <t>Retail</t>
  </si>
  <si>
    <t>Education</t>
  </si>
  <si>
    <t>Post Construction (Final, as-built)</t>
  </si>
  <si>
    <t>New Construction (fully fitted)</t>
  </si>
  <si>
    <t>Major Refurbishment (fully fitted)</t>
  </si>
  <si>
    <t>No laboratory</t>
  </si>
  <si>
    <t>Cat Level 2</t>
  </si>
  <si>
    <t>Cat Level 3</t>
  </si>
  <si>
    <t>Cat Level 1 only</t>
  </si>
  <si>
    <t>New Construction</t>
  </si>
  <si>
    <t>Credits</t>
  </si>
  <si>
    <t>ENERGY</t>
  </si>
  <si>
    <t>HEALTH &amp; WELLBEING</t>
  </si>
  <si>
    <t>Option not applicable to building type</t>
  </si>
  <si>
    <t>General information</t>
  </si>
  <si>
    <t>BREEAM assessor declaration of assessment accuracy and quality</t>
  </si>
  <si>
    <t>Please select:</t>
  </si>
  <si>
    <t>Minimum standard(s) level</t>
  </si>
  <si>
    <t>Building type (main description)</t>
  </si>
  <si>
    <t>TRANSPORT</t>
  </si>
  <si>
    <t>WATER</t>
  </si>
  <si>
    <t>MATERIALS</t>
  </si>
  <si>
    <t>WASTE</t>
  </si>
  <si>
    <t>LAND USE &amp; ECOLOGY</t>
  </si>
  <si>
    <t>POLLUTION</t>
  </si>
  <si>
    <t>Water</t>
  </si>
  <si>
    <t>Overall Building Performance</t>
  </si>
  <si>
    <t>Building Performance by Environment Section</t>
  </si>
  <si>
    <t>Management</t>
  </si>
  <si>
    <t>% credits achieved</t>
  </si>
  <si>
    <t>No. credits available</t>
  </si>
  <si>
    <t>Health &amp; Wellbeing</t>
  </si>
  <si>
    <t>Energy</t>
  </si>
  <si>
    <t>Transport</t>
  </si>
  <si>
    <t>Materials</t>
  </si>
  <si>
    <t>Waste</t>
  </si>
  <si>
    <t>Land Use &amp; Ecology</t>
  </si>
  <si>
    <t>Pollution</t>
  </si>
  <si>
    <t>Innovation</t>
  </si>
  <si>
    <t>Unclassified</t>
  </si>
  <si>
    <t>Environmental Section</t>
  </si>
  <si>
    <t>Pass</t>
  </si>
  <si>
    <t>Good</t>
  </si>
  <si>
    <t>Very Good</t>
  </si>
  <si>
    <t>Excellent</t>
  </si>
  <si>
    <t>Outstanding</t>
  </si>
  <si>
    <t>Min. standards level achieved</t>
  </si>
  <si>
    <t>Available contribution to overall score</t>
  </si>
  <si>
    <t>Total contribution to overall building score</t>
  </si>
  <si>
    <t>Pre-assessment</t>
  </si>
  <si>
    <t>Total indicative environmental section performance</t>
  </si>
  <si>
    <t>Indicative total score</t>
  </si>
  <si>
    <t>Navn</t>
  </si>
  <si>
    <t>Issues in BREEAM-NOR v. 1.1</t>
  </si>
  <si>
    <t>P</t>
  </si>
  <si>
    <t>G</t>
  </si>
  <si>
    <t>VG</t>
  </si>
  <si>
    <t>O</t>
  </si>
  <si>
    <t>Man 01</t>
  </si>
  <si>
    <t>Man 02</t>
  </si>
  <si>
    <t>Man 03</t>
  </si>
  <si>
    <t>Man 04</t>
  </si>
  <si>
    <t>Man 05</t>
  </si>
  <si>
    <t>Man 06</t>
  </si>
  <si>
    <t>Man 07</t>
  </si>
  <si>
    <t>Kode</t>
  </si>
  <si>
    <t>Valgt bygg</t>
  </si>
  <si>
    <t>Available credits</t>
  </si>
  <si>
    <t>Total performance management</t>
  </si>
  <si>
    <t>Total performance health &amp; wellbeing</t>
  </si>
  <si>
    <t>Total performance energy</t>
  </si>
  <si>
    <t>Total performance transport</t>
  </si>
  <si>
    <t>Total performance water</t>
  </si>
  <si>
    <t>Total performance materials</t>
  </si>
  <si>
    <t>Total performance waste</t>
  </si>
  <si>
    <t>Total performance land use and ecology</t>
  </si>
  <si>
    <t>Total performance pollution</t>
  </si>
  <si>
    <t>Hea 02 Indoor air quality</t>
  </si>
  <si>
    <t>Hea 03 Thermal comfort</t>
  </si>
  <si>
    <t>Hea 06 Safe access</t>
  </si>
  <si>
    <t>Hea 01 Visual comfort</t>
  </si>
  <si>
    <t>Hea 08 Private space</t>
  </si>
  <si>
    <t>Hea 01</t>
  </si>
  <si>
    <t>Hea 02</t>
  </si>
  <si>
    <t>Hea 03</t>
  </si>
  <si>
    <t>Hea 04</t>
  </si>
  <si>
    <t>Hea 05</t>
  </si>
  <si>
    <t>Hea 06</t>
  </si>
  <si>
    <t>Hea 07</t>
  </si>
  <si>
    <t>Hea 08</t>
  </si>
  <si>
    <t>Hea 09</t>
  </si>
  <si>
    <t>Hea</t>
  </si>
  <si>
    <t>Hea 05 Acoustic performance</t>
  </si>
  <si>
    <t>Ene 01 Energy efficiency</t>
  </si>
  <si>
    <t>Ene 03 External lighting</t>
  </si>
  <si>
    <t>Ene 05 Energy efficient cold storage</t>
  </si>
  <si>
    <t>Ene 06 Energy efficient transportation systems</t>
  </si>
  <si>
    <t>Ene 07 Energy Efficient Laboratory Systems</t>
  </si>
  <si>
    <t>Ene 08 Energy efficient equipment</t>
  </si>
  <si>
    <t>Ene 02 Energy monitoring</t>
  </si>
  <si>
    <t>Ene 01</t>
  </si>
  <si>
    <t>Ene 02</t>
  </si>
  <si>
    <t>Ene 03</t>
  </si>
  <si>
    <t>Ene 04</t>
  </si>
  <si>
    <t>Ene 05</t>
  </si>
  <si>
    <t>Ene 06</t>
  </si>
  <si>
    <t>Ene 07</t>
  </si>
  <si>
    <t>Ene 08</t>
  </si>
  <si>
    <t>Ene 09</t>
  </si>
  <si>
    <t>Ene 23</t>
  </si>
  <si>
    <t>Tra 01 Public transport accessibility</t>
  </si>
  <si>
    <t>Tra 02 Proximity to amenities</t>
  </si>
  <si>
    <t>Tra 01</t>
  </si>
  <si>
    <t>Tra 02</t>
  </si>
  <si>
    <t>Tra 03</t>
  </si>
  <si>
    <t>Tra 04</t>
  </si>
  <si>
    <t>Tra 05</t>
  </si>
  <si>
    <t>Wat 01 Water consumption</t>
  </si>
  <si>
    <t>Wat 02 Water monitoring</t>
  </si>
  <si>
    <t>Wat 03 Water leak detection and prevention</t>
  </si>
  <si>
    <t>Wat 04 Water efficient equipment</t>
  </si>
  <si>
    <t>Mat 01 Life cycle impacts</t>
  </si>
  <si>
    <t>Mat 03 Responsible sourcing of materials</t>
  </si>
  <si>
    <t>Mat 05 Designing for robustness</t>
  </si>
  <si>
    <t>Wst 01 Construction waste management</t>
  </si>
  <si>
    <t>LE 01 Site selection</t>
  </si>
  <si>
    <t>LE 02 Ecological value of site and protection of ecological features</t>
  </si>
  <si>
    <t>LE 04 Enhancing site ecology</t>
  </si>
  <si>
    <t>LE 05 Long term impact on biodiversity</t>
  </si>
  <si>
    <t>POL 01 Impacts of refrigerants</t>
  </si>
  <si>
    <t>POL 04 Reduction of night time light pollution</t>
  </si>
  <si>
    <t>Wst 03 Operational waste</t>
  </si>
  <si>
    <t>LE 06 Building footprint</t>
  </si>
  <si>
    <t>POL 05 Noise attenuation</t>
  </si>
  <si>
    <t>Wat 01</t>
  </si>
  <si>
    <t>Wat 02</t>
  </si>
  <si>
    <t>Wat 03</t>
  </si>
  <si>
    <t>Wat 04</t>
  </si>
  <si>
    <t>Mat 01</t>
  </si>
  <si>
    <t>Mat 03</t>
  </si>
  <si>
    <t>Mat 05</t>
  </si>
  <si>
    <t>Mat 06</t>
  </si>
  <si>
    <t>Wst 01</t>
  </si>
  <si>
    <t>Wst 02</t>
  </si>
  <si>
    <t>Wst 04</t>
  </si>
  <si>
    <t>LE 01</t>
  </si>
  <si>
    <t>LE 02</t>
  </si>
  <si>
    <t>LE 04</t>
  </si>
  <si>
    <t>LE 05</t>
  </si>
  <si>
    <t>LE 06</t>
  </si>
  <si>
    <t>POL 01</t>
  </si>
  <si>
    <t>POL 02</t>
  </si>
  <si>
    <t>POL 03</t>
  </si>
  <si>
    <t>POL 04</t>
  </si>
  <si>
    <t>POL 05</t>
  </si>
  <si>
    <t>Inn 01</t>
  </si>
  <si>
    <t>Inn 02</t>
  </si>
  <si>
    <t>Inn 03</t>
  </si>
  <si>
    <t>Inn 04</t>
  </si>
  <si>
    <t>Inn 05</t>
  </si>
  <si>
    <t>Inn 06</t>
  </si>
  <si>
    <t>Inn 07</t>
  </si>
  <si>
    <t>Disclaimer</t>
  </si>
  <si>
    <t>Credits Achieved</t>
  </si>
  <si>
    <t>Weighting</t>
  </si>
  <si>
    <t>Man</t>
  </si>
  <si>
    <t>Ene</t>
  </si>
  <si>
    <t>Tra</t>
  </si>
  <si>
    <t>Wat</t>
  </si>
  <si>
    <t>Mat</t>
  </si>
  <si>
    <t>Wst</t>
  </si>
  <si>
    <t>LE</t>
  </si>
  <si>
    <t>Pol</t>
  </si>
  <si>
    <t>Inn</t>
  </si>
  <si>
    <t>Section score available</t>
  </si>
  <si>
    <t>Sum</t>
  </si>
  <si>
    <t>Wst 04 Speculative floor and ceiling finishes</t>
  </si>
  <si>
    <t>Initial target setting</t>
  </si>
  <si>
    <t>N</t>
  </si>
  <si>
    <t>I</t>
  </si>
  <si>
    <t>OK</t>
  </si>
  <si>
    <t>Design phase progression</t>
  </si>
  <si>
    <t>Construction phase progression</t>
  </si>
  <si>
    <t>Inn 08</t>
  </si>
  <si>
    <t>Land &amp; Ecology</t>
  </si>
  <si>
    <t>BREEAM innovation credits</t>
  </si>
  <si>
    <t>Emner med innovation credits</t>
  </si>
  <si>
    <t xml:space="preserve">Original no. of BREEAM credits available </t>
  </si>
  <si>
    <t>Div filter</t>
  </si>
  <si>
    <t>User credits - INITIAL</t>
  </si>
  <si>
    <t>User credits - DESIGN</t>
  </si>
  <si>
    <t>User credits - CONSTRUCTION</t>
  </si>
  <si>
    <t>Spesialtilfeller</t>
  </si>
  <si>
    <t>Yes/No</t>
  </si>
  <si>
    <t>-</t>
  </si>
  <si>
    <t>E</t>
  </si>
  <si>
    <t>Non residential</t>
  </si>
  <si>
    <t>Level</t>
  </si>
  <si>
    <t>Samlet minimumstandard</t>
  </si>
  <si>
    <t>Samlet sum tilgjengelig</t>
  </si>
  <si>
    <t>Samlet sum oppnådd</t>
  </si>
  <si>
    <t>&gt;=</t>
  </si>
  <si>
    <t>&lt;</t>
  </si>
  <si>
    <t>Samlet prosent</t>
  </si>
  <si>
    <t>Skal minimumstandard styre?</t>
  </si>
  <si>
    <t>1=ja, 0=nei</t>
  </si>
  <si>
    <t>The rating has been limited to the min. standards level achieved</t>
  </si>
  <si>
    <t>Tilgjengelig poeng</t>
  </si>
  <si>
    <t>Inn 05 - Mat 01 Life cycle impacts</t>
  </si>
  <si>
    <t>Inn 06 - Mat 03 Responsible sourcing of materials</t>
  </si>
  <si>
    <t>Hvor mange poeng skal bort?</t>
  </si>
  <si>
    <t>Felter merket mørk grønn omfattes av filtreringen</t>
  </si>
  <si>
    <t>Ene 02a</t>
  </si>
  <si>
    <t>Inn 09</t>
  </si>
  <si>
    <t>EXEMPLARY LEVEL AND INNOVATION (max 10 credits)</t>
  </si>
  <si>
    <t>Velge farge på status</t>
  </si>
  <si>
    <t>IT</t>
  </si>
  <si>
    <t>DP</t>
  </si>
  <si>
    <t>CP</t>
  </si>
  <si>
    <t>Stat.</t>
  </si>
  <si>
    <t>Comments</t>
  </si>
  <si>
    <t>Hea 01 Visual comfort - Criteria 1</t>
  </si>
  <si>
    <t>Mat 01 Life cycle impacts  - Criteria 1</t>
  </si>
  <si>
    <t>ikke noe å si for poengfordeling.  Ikke gjør noe med denne</t>
  </si>
  <si>
    <t>Architect (ARK)</t>
  </si>
  <si>
    <t>Samlet poeng</t>
  </si>
  <si>
    <t xml:space="preserve">Pol 1 poeng går ut hvis det er industri som hverkan har treated operational area OG kontor. Dvs det må være nei på BEGGE spørsmål får å ta ut Pol 1 poeng. </t>
  </si>
  <si>
    <t>Pol 1 poeng går ut hvis det er industri som hverkan har treated operational area OG kontor. Dvs det må være nei på BEGGE spørsmål får å ta ut Pol 1 poeng. Hea 03 går ut hvis industri ikke har kontor</t>
  </si>
  <si>
    <t>UTGÅR</t>
  </si>
  <si>
    <t>OK. non residential only.</t>
  </si>
  <si>
    <t>2: Bespoke. Staff plus reasonably constant stream of visitors</t>
  </si>
  <si>
    <t>6: Residential</t>
  </si>
  <si>
    <t>1: Office &amp; Industrial. Staff &amp; occasional business visitors</t>
  </si>
  <si>
    <t>3: Retail and education. Staff with large numbers of visitors</t>
  </si>
  <si>
    <t>4: Bespoke. Rural building with few visitors</t>
  </si>
  <si>
    <t>5: Bespoke. Rural building with large numbers of visitors</t>
  </si>
  <si>
    <t>7: Bespoke. Transport Hub</t>
  </si>
  <si>
    <t>OK. type 3 retail and education, type 6 ta bort dwellings TA UT BESPOKE? Ta ut denne, da poeng er bestemt av bygningstype</t>
  </si>
  <si>
    <t>This information will determine, in part, the number of credits available for BREEAM issue Hea02 when the criteria have been finalised for laboratory facilities.</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</si>
  <si>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</si>
  <si>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Initial</t>
  </si>
  <si>
    <t>Design</t>
  </si>
  <si>
    <t>Søke navn</t>
  </si>
  <si>
    <t>Score</t>
  </si>
  <si>
    <t>No. credits available original</t>
  </si>
  <si>
    <t>No. Credits not available (filter)</t>
  </si>
  <si>
    <t>Fume cupboard(s) and/or other containment devices (Ene 07, Hea 02,? )</t>
  </si>
  <si>
    <t>What is the building type category (for the purpose of the Transport  section)? (Tra 1)</t>
  </si>
  <si>
    <t>Laboratory present: &lt;10% of building's BRA</t>
  </si>
  <si>
    <t>Laboratory present: ≥10% - &lt;25% of building's BRA</t>
  </si>
  <si>
    <t>Laboratory present: ≥25% of building's BRA</t>
  </si>
  <si>
    <t>(G)</t>
  </si>
  <si>
    <t>(Y)</t>
  </si>
  <si>
    <t>(R)</t>
  </si>
  <si>
    <t>Respon-sible</t>
  </si>
  <si>
    <t>Show results</t>
  </si>
  <si>
    <t>Available</t>
  </si>
  <si>
    <r>
      <t>Gross floor area, BTA - m</t>
    </r>
    <r>
      <rPr>
        <vertAlign val="superscript"/>
        <sz val="11"/>
        <color indexed="9"/>
        <rFont val="Calibri"/>
        <family val="2"/>
      </rPr>
      <t>2</t>
    </r>
  </si>
  <si>
    <r>
      <t>Usable floor area, BRA - m</t>
    </r>
    <r>
      <rPr>
        <vertAlign val="superscript"/>
        <sz val="11"/>
        <color indexed="9"/>
        <rFont val="Calibri"/>
        <family val="2"/>
      </rPr>
      <t>2</t>
    </r>
  </si>
  <si>
    <r>
      <t>Saleable usable floor area, BRAs - m</t>
    </r>
    <r>
      <rPr>
        <vertAlign val="superscript"/>
        <sz val="11"/>
        <color indexed="9"/>
        <rFont val="Calibri"/>
        <family val="2"/>
      </rPr>
      <t>2</t>
    </r>
  </si>
  <si>
    <t>Man 01 Project brief and design</t>
  </si>
  <si>
    <t>Man 02 Life cycle cost and service life planning</t>
  </si>
  <si>
    <t>Man 03 Responsible construction practices</t>
  </si>
  <si>
    <t>Man 05 Aftercare</t>
  </si>
  <si>
    <t>Mat 03 Responsible sourcing of mat.  - Crit 1.</t>
  </si>
  <si>
    <t xml:space="preserve">Copyright exists on the BREEAM logo and this may not be used or reproduced for any purpose without the prior written consent of the NGBC/BRE Global Ltd.
</t>
  </si>
  <si>
    <t>BREEAM-NOR Assessor Signature</t>
  </si>
  <si>
    <t>Indicative BREEAM-NOR rating</t>
  </si>
  <si>
    <t>Tra 06</t>
  </si>
  <si>
    <t xml:space="preserve">Approved innovation credits </t>
  </si>
  <si>
    <t>Consulting engineer Engineering (RIB)</t>
  </si>
  <si>
    <t>Consulting engineer Environment (RIM)</t>
  </si>
  <si>
    <t>Consulting engineer Electrical (RIE)</t>
  </si>
  <si>
    <t>Consulting engineer HVAC (RIV)</t>
  </si>
  <si>
    <t>BREEAM-NOR Accredited Professional</t>
  </si>
  <si>
    <t>BREEAM-NOR scheme</t>
  </si>
  <si>
    <t>BREEAM-NOR version</t>
  </si>
  <si>
    <t>Showroom</t>
  </si>
  <si>
    <t>Apartment Blocks</t>
  </si>
  <si>
    <t>Individual dwelling</t>
  </si>
  <si>
    <t>Collection of individual dwellings/dwelling types</t>
  </si>
  <si>
    <t>Hot food takeaway</t>
  </si>
  <si>
    <t>No, confirmed by appropriate person</t>
  </si>
  <si>
    <t>Unknown</t>
  </si>
  <si>
    <t>Does the building require the use of refrigerants within its installed plant/systems? (Pol 01)</t>
  </si>
  <si>
    <t>Others, project team</t>
  </si>
  <si>
    <t>For assessment details, HEA 07</t>
  </si>
  <si>
    <t>Please select</t>
  </si>
  <si>
    <t>Bespoke</t>
  </si>
  <si>
    <t>Inn 01 - Man 05 Aftercare</t>
  </si>
  <si>
    <t>Inn 02 - Hea 02 Indoor air quality</t>
  </si>
  <si>
    <t>Inn 03 - Tra 03 Alternative modes of transport</t>
  </si>
  <si>
    <t>Inn 04 - Wat 01 Water consumption</t>
  </si>
  <si>
    <t>Inn 07 - Wst 01 Construction site waste man.</t>
  </si>
  <si>
    <t xml:space="preserve">Inn 09 - Approved innovation credits </t>
  </si>
  <si>
    <t>BREEAM REFERANSE</t>
  </si>
  <si>
    <t>BREEAM-Topic EMNE</t>
  </si>
  <si>
    <t>Available credits TILGJENGELIGE POENG</t>
  </si>
  <si>
    <t>Ledelse:</t>
  </si>
  <si>
    <t>YES</t>
  </si>
  <si>
    <t>Responsible construction practices</t>
  </si>
  <si>
    <t>Commissioning and handover</t>
  </si>
  <si>
    <t>Aftercare</t>
  </si>
  <si>
    <t>Helse og innemiljø:</t>
  </si>
  <si>
    <t>NO</t>
  </si>
  <si>
    <t>Private space</t>
  </si>
  <si>
    <t>Energi:</t>
  </si>
  <si>
    <t>Ene 02b</t>
  </si>
  <si>
    <t>External Lighting</t>
  </si>
  <si>
    <t>Energy efficient cold storage</t>
  </si>
  <si>
    <t>Energy efficient transportation systems</t>
  </si>
  <si>
    <t>Energy efficient laboratory systems</t>
  </si>
  <si>
    <t>Energy efficient equipment</t>
  </si>
  <si>
    <t>Transport:</t>
  </si>
  <si>
    <t>Tra 03a</t>
  </si>
  <si>
    <t>Tra 03b</t>
  </si>
  <si>
    <t>Vann:</t>
  </si>
  <si>
    <t>Water consumption</t>
  </si>
  <si>
    <t>Water monitoring</t>
  </si>
  <si>
    <t>Water leak detection and prevention</t>
  </si>
  <si>
    <t>Water efficient equipment</t>
  </si>
  <si>
    <t>Materialer:</t>
  </si>
  <si>
    <t>Designing for robustness</t>
  </si>
  <si>
    <t>Avfall:</t>
  </si>
  <si>
    <t>Construction waste management</t>
  </si>
  <si>
    <t>Wst 03a</t>
  </si>
  <si>
    <t>Operational waste</t>
  </si>
  <si>
    <t>Wst 03b</t>
  </si>
  <si>
    <t>Speculative floor &amp; ceiling finishes</t>
  </si>
  <si>
    <t>Arealbruk og økologi:</t>
  </si>
  <si>
    <t>Site selection</t>
  </si>
  <si>
    <t>Long term impact on biodiversity</t>
  </si>
  <si>
    <t>Forurensning:</t>
  </si>
  <si>
    <t>Pol 01</t>
  </si>
  <si>
    <t>Impact of refrigerants</t>
  </si>
  <si>
    <t>Pol 02</t>
  </si>
  <si>
    <t>Pol 03</t>
  </si>
  <si>
    <t>Pol 04</t>
  </si>
  <si>
    <t xml:space="preserve">Reduction of Night Time Light Pollution </t>
  </si>
  <si>
    <t>Pol 05</t>
  </si>
  <si>
    <t>Reduction of noise pollution</t>
  </si>
  <si>
    <t>Innovasjon:</t>
  </si>
  <si>
    <t>BESPOKE</t>
  </si>
  <si>
    <t>TEST</t>
  </si>
  <si>
    <t>Lim inn her</t>
  </si>
  <si>
    <t>Building name:</t>
  </si>
  <si>
    <t>Man 04 Commissioning and handover</t>
  </si>
  <si>
    <t>POL 02 NOx emissions</t>
  </si>
  <si>
    <t>Building description</t>
  </si>
  <si>
    <t>Comment</t>
  </si>
  <si>
    <t>Pre-Assessment Estimator, version:</t>
  </si>
  <si>
    <t>The BREEAM and BREEAM-NOR name and logo are registered trademarks of the Building Research Establishment Limited.</t>
  </si>
  <si>
    <t>Inn 08 - Wst 02 Recycled aggregates</t>
  </si>
  <si>
    <t>Shell and core</t>
  </si>
  <si>
    <t>Ja</t>
  </si>
  <si>
    <t>Nei</t>
  </si>
  <si>
    <t>Option 1</t>
  </si>
  <si>
    <t>Option 2</t>
  </si>
  <si>
    <t>Option 3</t>
  </si>
  <si>
    <t>Næringsbygg</t>
  </si>
  <si>
    <t>Option 2:  -50% credit</t>
  </si>
  <si>
    <t xml:space="preserve">Naturally ventilated </t>
  </si>
  <si>
    <t>Shell core</t>
  </si>
  <si>
    <t>HEA 01</t>
  </si>
  <si>
    <t>HEA 02</t>
  </si>
  <si>
    <t>ENE 02a</t>
  </si>
  <si>
    <t>WAT 03</t>
  </si>
  <si>
    <t>ledig</t>
  </si>
  <si>
    <t>Faktor</t>
  </si>
  <si>
    <t>minus</t>
  </si>
  <si>
    <t>Hva</t>
  </si>
  <si>
    <t>Maks</t>
  </si>
  <si>
    <t>gange</t>
  </si>
  <si>
    <t>S/C</t>
  </si>
  <si>
    <t>Shell/core</t>
  </si>
  <si>
    <t>Endring</t>
  </si>
  <si>
    <t>Shell Core</t>
  </si>
  <si>
    <t>Påvirker poeng</t>
  </si>
  <si>
    <t>Juster endring</t>
  </si>
  <si>
    <t>Minus</t>
  </si>
  <si>
    <t>INN</t>
  </si>
  <si>
    <t>Gange</t>
  </si>
  <si>
    <t>Ny maksverdi ved nei</t>
  </si>
  <si>
    <t>Hvis ikke S/C</t>
  </si>
  <si>
    <t>Innovasjon</t>
  </si>
  <si>
    <t>Minus elelr gange</t>
  </si>
  <si>
    <t>S/C bare næring. Ja = bare næring. Nei = kun bolig</t>
  </si>
  <si>
    <t>Alle</t>
  </si>
  <si>
    <t>VOC N/A</t>
  </si>
  <si>
    <t>Sub-metering N/A</t>
  </si>
  <si>
    <t>Flow control N/A</t>
  </si>
  <si>
    <t>O2: Glare control (-0,5 c)</t>
  </si>
  <si>
    <t>O2: Artificial lighting (-0,5 c)</t>
  </si>
  <si>
    <t>O1: Glare ctrl/artificial light</t>
  </si>
  <si>
    <t>O1: VOC</t>
  </si>
  <si>
    <t>O2: VOC (AC 6-7: -0,5 c)</t>
  </si>
  <si>
    <t>O2: VOC (AC 8-9: -1,0 c)</t>
  </si>
  <si>
    <t>O3: VOC</t>
  </si>
  <si>
    <t>O2: Flow control (-0,5 c)</t>
  </si>
  <si>
    <t>O1: Flow control</t>
  </si>
  <si>
    <t xml:space="preserve">O3: Flow control </t>
  </si>
  <si>
    <t>O1: Sub-metering</t>
  </si>
  <si>
    <t>O2: Sub-met. (AC 1-3: -0,5 c)</t>
  </si>
  <si>
    <t>O2: Sub-met. (AC 4-7: -1,0 c)</t>
  </si>
  <si>
    <t>O3: Sub-metering</t>
  </si>
  <si>
    <t>O3: Glare ctrl/artif lighting</t>
  </si>
  <si>
    <t>O2: Glare ctrl &amp; artif light (-1,0 c)</t>
  </si>
  <si>
    <t>Glare ctrl/artif lighting N/A</t>
  </si>
  <si>
    <t>Påvirker minimumspoeng</t>
  </si>
  <si>
    <t>shell core</t>
  </si>
  <si>
    <t>Option 2: Where relevant, 50% of achieved credit is subtracted from score.</t>
  </si>
  <si>
    <t>Tra 01 Transport assessment and travel plan</t>
  </si>
  <si>
    <t>Tra 02 Sustainable transport measures</t>
  </si>
  <si>
    <t>Mat 01 Environmental impacts from construction products - Building life cycle assessment (LCA)</t>
  </si>
  <si>
    <t>Mat 02 Environmental impacts from construction products - Environmental Product Declarations (EPD)</t>
  </si>
  <si>
    <t>Mat 03 Responsible sourcing of construction products</t>
  </si>
  <si>
    <t>Mat 05 Designing for durability and resilience</t>
  </si>
  <si>
    <t>Mat 06 Material efficiency</t>
  </si>
  <si>
    <t>Mat 07 Endringsdyktighet og ombrukbarhet</t>
  </si>
  <si>
    <t>LE 02 Ecological risks and opportunities</t>
  </si>
  <si>
    <t>LE 03 Managing impacts on ecology</t>
  </si>
  <si>
    <t>LE 04 Ecological change and enhancement</t>
  </si>
  <si>
    <t>LE 05 Long term ecology management and maintenance</t>
  </si>
  <si>
    <t>POL 02 Local air quality</t>
  </si>
  <si>
    <t>Inn 10</t>
  </si>
  <si>
    <t>Inn 11</t>
  </si>
  <si>
    <t>Inn 12</t>
  </si>
  <si>
    <t>Inn 13</t>
  </si>
  <si>
    <t>Mat 02</t>
  </si>
  <si>
    <t>Mat 07</t>
  </si>
  <si>
    <t>LE 03</t>
  </si>
  <si>
    <t>LE 07</t>
  </si>
  <si>
    <t>LE 08</t>
  </si>
  <si>
    <t>Healthcare</t>
  </si>
  <si>
    <t>Prison</t>
  </si>
  <si>
    <t>Law Court</t>
  </si>
  <si>
    <t>Residential institution (long term stay)</t>
  </si>
  <si>
    <t>Residential institution (short term stay)</t>
  </si>
  <si>
    <t>Non-residential institution</t>
  </si>
  <si>
    <t>Assembly and leisure</t>
  </si>
  <si>
    <t>General office buildings</t>
  </si>
  <si>
    <t>Offices with research and development areas (i.e. category 1 labs only)</t>
  </si>
  <si>
    <t>Warehouse, storage or distribution</t>
  </si>
  <si>
    <t>Process, manufacturing or vehicle servicing</t>
  </si>
  <si>
    <t>Shop or shopping centre</t>
  </si>
  <si>
    <t>Retail park or warehouse</t>
  </si>
  <si>
    <t>‘Over the counter’ service provider, e.g. financial, estate and employment agencies and betting offices</t>
  </si>
  <si>
    <t>Restaurant, café and drinking establishment</t>
  </si>
  <si>
    <t>Preschool</t>
  </si>
  <si>
    <t xml:space="preserve">Primary School </t>
  </si>
  <si>
    <t>Schools and sixth form colleges</t>
  </si>
  <si>
    <t>Higher education institutions</t>
  </si>
  <si>
    <t>Teaching or specialist hospitals</t>
  </si>
  <si>
    <t>General acute hospitals</t>
  </si>
  <si>
    <t>Community and mental health hospitals</t>
  </si>
  <si>
    <t>GP surgeries</t>
  </si>
  <si>
    <t>Health centres and clinics</t>
  </si>
  <si>
    <t>High security prison</t>
  </si>
  <si>
    <t>Standard secured prison</t>
  </si>
  <si>
    <t>Young offender institution and juvenile prisons</t>
  </si>
  <si>
    <t>Local prison</t>
  </si>
  <si>
    <t>Holding centre</t>
  </si>
  <si>
    <t>Law courts</t>
  </si>
  <si>
    <t>Crown and criminal courts</t>
  </si>
  <si>
    <t>County courts</t>
  </si>
  <si>
    <t>Magistrates' courts</t>
  </si>
  <si>
    <t>Civil justice centres</t>
  </si>
  <si>
    <t>Family courts</t>
  </si>
  <si>
    <t>Youth courts</t>
  </si>
  <si>
    <t>Combined courts</t>
  </si>
  <si>
    <t>Residential care home</t>
  </si>
  <si>
    <t>Sheltered accommodation</t>
  </si>
  <si>
    <t>Residential college or school (halls of residence)</t>
  </si>
  <si>
    <t>Local authority secure residential accommodation</t>
  </si>
  <si>
    <t>Key worker accommodation</t>
  </si>
  <si>
    <t>Military barracks</t>
  </si>
  <si>
    <t>Hotel, hostel, boarding and guest house</t>
  </si>
  <si>
    <t>Secure training centre</t>
  </si>
  <si>
    <t>Residential training centre</t>
  </si>
  <si>
    <t>Art gallery, museum</t>
  </si>
  <si>
    <t>Library</t>
  </si>
  <si>
    <t>Day centre, hall, civic or community centre</t>
  </si>
  <si>
    <t>Place of worship</t>
  </si>
  <si>
    <t>Cinema</t>
  </si>
  <si>
    <t>Theatre, music or concert hall</t>
  </si>
  <si>
    <t>Exhibition or conference hall</t>
  </si>
  <si>
    <t>Indoor or outdoor sports, fitness and recreation centre (with or without pool)</t>
  </si>
  <si>
    <t>Upper Secondary School</t>
  </si>
  <si>
    <t>Total credits available BREEAM-NOR 2021</t>
  </si>
  <si>
    <t>BREEAM-NOR 2021</t>
  </si>
  <si>
    <t>Mat 02 Checklist A20 - Criteria 1</t>
  </si>
  <si>
    <t>Ene 01 Kriterium 9-10</t>
  </si>
  <si>
    <t>Hea02</t>
  </si>
  <si>
    <t>Hea 02 Emisjoner fra byggeprodukter - Criteria 3-4</t>
  </si>
  <si>
    <t>Crit. 3</t>
  </si>
  <si>
    <t>Crit. 4</t>
  </si>
  <si>
    <t>Man01</t>
  </si>
  <si>
    <t>Man 01 Criteria 11</t>
  </si>
  <si>
    <t>Man03</t>
  </si>
  <si>
    <t>Man04</t>
  </si>
  <si>
    <t>Tra01</t>
  </si>
  <si>
    <t>Mat06</t>
  </si>
  <si>
    <t>Mat07</t>
  </si>
  <si>
    <t>Wst01</t>
  </si>
  <si>
    <t>Crit. 5-6</t>
  </si>
  <si>
    <t>Crit. 5-9</t>
  </si>
  <si>
    <t>Crit. 5-13</t>
  </si>
  <si>
    <t>Man 03 Criteria 5-13</t>
  </si>
  <si>
    <t>Man05</t>
  </si>
  <si>
    <t>Man 05 Criteria 3</t>
  </si>
  <si>
    <t>Tra 01 Mobilitetsplan Criteria 6</t>
  </si>
  <si>
    <t>Crit. 5</t>
  </si>
  <si>
    <t>Crit. 1, 5</t>
  </si>
  <si>
    <t>Crit. 1, 4, 5</t>
  </si>
  <si>
    <t>Wst 01 Criteria 1, 4, 5</t>
  </si>
  <si>
    <t>Pol 1 UT. Pol02 og Pol 5 OK</t>
  </si>
  <si>
    <t>Pol 1 UT. Pol 2, Hea 02, Hea 03 OK</t>
  </si>
  <si>
    <t>Crit. 1-2</t>
  </si>
  <si>
    <t>Crit. 1-2, 3 (1 cre.)</t>
  </si>
  <si>
    <t>Mat 01 Criteria 1 - 3</t>
  </si>
  <si>
    <t>Mat 06 Materialeffektivitet Criteria 1</t>
  </si>
  <si>
    <t>Mat 07 Criteria 2-6</t>
  </si>
  <si>
    <t>Man 05: Non residential</t>
  </si>
  <si>
    <t>Ene01</t>
  </si>
  <si>
    <t>Boliger og boliginstitusjoner: 4</t>
  </si>
  <si>
    <t>Boliger og omsorgsboliger kan oppnå 2p for Inkluderende design. Alle andre kan oppnå 1p</t>
  </si>
  <si>
    <t>Tidligere navn:</t>
  </si>
  <si>
    <t>Crit. 1-8</t>
  </si>
  <si>
    <t>Crit. 1-4</t>
  </si>
  <si>
    <t>Mat 02 - Checklist A20 - Criteria 1</t>
  </si>
  <si>
    <t>Man 01 - Criteria 11</t>
  </si>
  <si>
    <t>Ene 01 - Kriterium 9-10</t>
  </si>
  <si>
    <t>Tra 01 - Mobilitetsplan Criteria 6</t>
  </si>
  <si>
    <t>Mat 06 - Materialeffektivitet Criteria 1</t>
  </si>
  <si>
    <t>Mat 07 - Criteria 2-6</t>
  </si>
  <si>
    <t>Mat 03 - Responsible sourcing of mat.  - Crit 1.</t>
  </si>
  <si>
    <t>Man 05 - Criteria 3</t>
  </si>
  <si>
    <t>Third party stakeholder consultation</t>
  </si>
  <si>
    <t>BREEAM-NOR AP (stage 2 and 3)</t>
  </si>
  <si>
    <t>BREEAM-NOR AP (stage 4)</t>
  </si>
  <si>
    <t xml:space="preserve">Climate gas calculation for whole building life cycle </t>
  </si>
  <si>
    <t>Planning project delivery</t>
  </si>
  <si>
    <t>Elemental life cycle cost (LCC) and capital cost reporting</t>
  </si>
  <si>
    <t>Component level life option appraisal</t>
  </si>
  <si>
    <t>Environmental managment</t>
  </si>
  <si>
    <t>BREEAM-NOR AP and classification level (stage 5 and 6)</t>
  </si>
  <si>
    <t>Considerate construction managment</t>
  </si>
  <si>
    <t xml:space="preserve">Reduction of climate gas emissions from activites assosiated with the construction site </t>
  </si>
  <si>
    <t xml:space="preserve">Commissioning - testing schedule and responsibilities </t>
  </si>
  <si>
    <t>Commissioning - design, preperation and implementation</t>
  </si>
  <si>
    <t>Prepare for good handover</t>
  </si>
  <si>
    <t>Aftercare support</t>
  </si>
  <si>
    <t>Sesonal commisioning</t>
  </si>
  <si>
    <t>Post-occypancy evaluation</t>
  </si>
  <si>
    <t>Daylighting</t>
  </si>
  <si>
    <t xml:space="preserve">Control of glare from sunlight </t>
  </si>
  <si>
    <t xml:space="preserve">View out </t>
  </si>
  <si>
    <t xml:space="preserve">Sunlight </t>
  </si>
  <si>
    <t xml:space="preserve">Internal and external lighting levels, zoning and control </t>
  </si>
  <si>
    <t xml:space="preserve">Pre-requisite: indoor air quality </t>
  </si>
  <si>
    <t>Ventilation</t>
  </si>
  <si>
    <t xml:space="preserve">Emissions from construction products </t>
  </si>
  <si>
    <t xml:space="preserve">Post-construction indoor air quality measurement </t>
  </si>
  <si>
    <t xml:space="preserve">Thermal modelling </t>
  </si>
  <si>
    <t xml:space="preserve">Design for future thermal comfort </t>
  </si>
  <si>
    <t xml:space="preserve">Thermal zoning and controls </t>
  </si>
  <si>
    <t xml:space="preserve">Pre-requisite: suitably qualified acoustician </t>
  </si>
  <si>
    <t xml:space="preserve">Sound class requirements </t>
  </si>
  <si>
    <t xml:space="preserve">Inclusive design </t>
  </si>
  <si>
    <t xml:space="preserve">Biofilik design </t>
  </si>
  <si>
    <t xml:space="preserve">Private outdoor spaces </t>
  </si>
  <si>
    <t xml:space="preserve">Passive design </t>
  </si>
  <si>
    <t xml:space="preserve">Low and zero carbon technologies </t>
  </si>
  <si>
    <t xml:space="preserve">Energy performance </t>
  </si>
  <si>
    <t xml:space="preserve">Adaptation to EU taxonomy </t>
  </si>
  <si>
    <t xml:space="preserve">Prediction of operational energy consumption </t>
  </si>
  <si>
    <t xml:space="preserve">Sub-metering of end-use categories </t>
  </si>
  <si>
    <t xml:space="preserve">Sub-metering of high energy load and tenancy areas </t>
  </si>
  <si>
    <t xml:space="preserve">Sub-metering of energy consumption in residential buildings </t>
  </si>
  <si>
    <t>No external lighting within the construction zone</t>
  </si>
  <si>
    <t>External lighting within the construction zone</t>
  </si>
  <si>
    <t xml:space="preserve">Design of energy efficient refrigeration- and freezing room </t>
  </si>
  <si>
    <t xml:space="preserve">Indirect greenhouse gas emissions </t>
  </si>
  <si>
    <t xml:space="preserve">Energy consumption </t>
  </si>
  <si>
    <t xml:space="preserve">Energy efficient features </t>
  </si>
  <si>
    <t xml:space="preserve">Design specification </t>
  </si>
  <si>
    <t xml:space="preserve">Best practice energy efficient measures </t>
  </si>
  <si>
    <t xml:space="preserve">Reduction of the building's significant unregulated energy consumption </t>
  </si>
  <si>
    <t xml:space="preserve">Transport assessment and travel plan </t>
  </si>
  <si>
    <t xml:space="preserve">Travel plan emissions evaluation </t>
  </si>
  <si>
    <t>Prerequisite: Transport assessment and travel plan</t>
  </si>
  <si>
    <t xml:space="preserve">Transport options implementation </t>
  </si>
  <si>
    <t>Water efficient components</t>
  </si>
  <si>
    <t>Water meter</t>
  </si>
  <si>
    <t>Leak detection system</t>
  </si>
  <si>
    <t>Flow control devices (all buildings except residential)</t>
  </si>
  <si>
    <t>Leak isolation</t>
  </si>
  <si>
    <t>Pre-requisite: early stage greenhouse gas calculation</t>
  </si>
  <si>
    <t>Reduction of greenhouse gas emissions</t>
  </si>
  <si>
    <t>Life cycle assessment of the building</t>
  </si>
  <si>
    <t>Minimum req -  Absence of environmental toxins</t>
  </si>
  <si>
    <t xml:space="preserve">EPD for construction products </t>
  </si>
  <si>
    <t xml:space="preserve">Performance requirements for construction products </t>
  </si>
  <si>
    <t>Minimum req -  legal and sustainable timber</t>
  </si>
  <si>
    <t>Enabling sustainable procurement</t>
  </si>
  <si>
    <t>Responsible sourcing of relevant materials</t>
  </si>
  <si>
    <t>Pre-requisite: risk analysis</t>
  </si>
  <si>
    <t>Protect vulnerable parts of the building from damage</t>
  </si>
  <si>
    <t xml:space="preserve">Protecting exposed parts of the building from material degradation </t>
  </si>
  <si>
    <t>Moisture protecion on site</t>
  </si>
  <si>
    <t>Mapping for component reuse and implementation</t>
  </si>
  <si>
    <t>Material efficency</t>
  </si>
  <si>
    <t>Reuse of extern building components</t>
  </si>
  <si>
    <t>Material bank</t>
  </si>
  <si>
    <t xml:space="preserve">Design for disassembly and functional adaptability - recommendations </t>
  </si>
  <si>
    <t xml:space="preserve">Disassembly and functional adaptability - implementation </t>
  </si>
  <si>
    <t>Resource managment plan</t>
  </si>
  <si>
    <t>Amount of construction waste</t>
  </si>
  <si>
    <t>Waste sorting, reuse and recycling</t>
  </si>
  <si>
    <t>Sorting of waste</t>
  </si>
  <si>
    <t xml:space="preserve">User involvement surface finishes </t>
  </si>
  <si>
    <t>Wst 04 User involvement surface finishes</t>
  </si>
  <si>
    <t>Previously occupied land</t>
  </si>
  <si>
    <t>Pre-requisite: statutory obligations</t>
  </si>
  <si>
    <t>Survey and evaluation</t>
  </si>
  <si>
    <t>Determin ecological possibilities</t>
  </si>
  <si>
    <t>Pre-requisite: ecological risks and opportunities</t>
  </si>
  <si>
    <t>Planning and measures on site</t>
  </si>
  <si>
    <t>Managing negative impacts</t>
  </si>
  <si>
    <t>Pre-requisite: Managing negative impacts on ecology</t>
  </si>
  <si>
    <t>Ecological enhancement</t>
  </si>
  <si>
    <t>Calculation of change in biodiversity</t>
  </si>
  <si>
    <t>Pre-requisite: statutory obligations, planning and site implementation</t>
  </si>
  <si>
    <t>Management and maintenance throughout the project</t>
  </si>
  <si>
    <t>Landscape and ecology management plan</t>
  </si>
  <si>
    <t>Risk assessment</t>
  </si>
  <si>
    <t>Pre-requisite: Flood risk assessment</t>
  </si>
  <si>
    <t>Resilience against flood and storm surge</t>
  </si>
  <si>
    <t>Pre-requisite risk assessment and the "three- step strategy"</t>
  </si>
  <si>
    <t>Maximum run-off</t>
  </si>
  <si>
    <t>Measures for surface-based water management</t>
  </si>
  <si>
    <t>LE 06 Climate adaption</t>
  </si>
  <si>
    <t>LE 07 Flooding and storm surge</t>
  </si>
  <si>
    <t>LE 08 Local surface water handling</t>
  </si>
  <si>
    <t>a</t>
  </si>
  <si>
    <t>e</t>
  </si>
  <si>
    <t>d</t>
  </si>
  <si>
    <t>b</t>
  </si>
  <si>
    <t>c</t>
  </si>
  <si>
    <t>Inn 14</t>
  </si>
  <si>
    <t xml:space="preserve">Man 03: Reduction of direct emissions from construction sites </t>
  </si>
  <si>
    <t xml:space="preserve">Ene 01: Post-occupancy stage </t>
  </si>
  <si>
    <t>Wat 01: Highly water efficient components</t>
  </si>
  <si>
    <t xml:space="preserve">Mat 01: 60% reduction of greenhouse gas emission </t>
  </si>
  <si>
    <t>Mat 06: FutureBuilt criteria set for circular buildings, point 2.3 reuse of building components</t>
  </si>
  <si>
    <t xml:space="preserve">Wst 01: Especially low amount of construction waste </t>
  </si>
  <si>
    <t>LE 02: Wider sustainability for the site</t>
  </si>
  <si>
    <t>LE 04: Significant net gain of biodiversity</t>
  </si>
  <si>
    <t>LE 06: Responding to climate change</t>
  </si>
  <si>
    <t>LE 08: Wider approach to surface water management</t>
  </si>
  <si>
    <t xml:space="preserve">Hea 01: View out, high level </t>
  </si>
  <si>
    <t xml:space="preserve">Ene 01: Plus house </t>
  </si>
  <si>
    <t>Man 01a</t>
  </si>
  <si>
    <t>Man 01b</t>
  </si>
  <si>
    <t>Man 01c</t>
  </si>
  <si>
    <t>Man 01d</t>
  </si>
  <si>
    <t>Man 01e</t>
  </si>
  <si>
    <t>Man 02a</t>
  </si>
  <si>
    <t>Man 02b</t>
  </si>
  <si>
    <t>Man 03a</t>
  </si>
  <si>
    <t>Man 03b</t>
  </si>
  <si>
    <t>Man 03c</t>
  </si>
  <si>
    <t>Man 03d</t>
  </si>
  <si>
    <t>Man 04a</t>
  </si>
  <si>
    <t>Man 04b</t>
  </si>
  <si>
    <t>Man 04c</t>
  </si>
  <si>
    <t>Man 05a</t>
  </si>
  <si>
    <t>Man 05b</t>
  </si>
  <si>
    <t>Man 05c</t>
  </si>
  <si>
    <t>Hea 01a</t>
  </si>
  <si>
    <t>Hea 01b</t>
  </si>
  <si>
    <t>Hea 01c</t>
  </si>
  <si>
    <t>Hea 01d</t>
  </si>
  <si>
    <t>Hea 01e</t>
  </si>
  <si>
    <t>Hea 02a</t>
  </si>
  <si>
    <t>Hea 02b</t>
  </si>
  <si>
    <t>Hea 02c</t>
  </si>
  <si>
    <t>Hea 02d</t>
  </si>
  <si>
    <t>Hea 03a</t>
  </si>
  <si>
    <t>Hea 03b</t>
  </si>
  <si>
    <t>Hea 03c</t>
  </si>
  <si>
    <t>Hea 05a</t>
  </si>
  <si>
    <t>Hea 05b</t>
  </si>
  <si>
    <t>Hea 06a</t>
  </si>
  <si>
    <t>Hea 06b</t>
  </si>
  <si>
    <t>Hea 08a</t>
  </si>
  <si>
    <t>Ene 01a</t>
  </si>
  <si>
    <t>Ene 01b</t>
  </si>
  <si>
    <t>Ene 01c</t>
  </si>
  <si>
    <t>Ene 01d</t>
  </si>
  <si>
    <t>Ene 01e</t>
  </si>
  <si>
    <t>Ene 02c</t>
  </si>
  <si>
    <t>Ene 03a</t>
  </si>
  <si>
    <t>Ene 03b</t>
  </si>
  <si>
    <t>Ene 05a</t>
  </si>
  <si>
    <t>Ene 05b</t>
  </si>
  <si>
    <t>Ene 06a</t>
  </si>
  <si>
    <t>Ene 06b</t>
  </si>
  <si>
    <t>Ene 07a</t>
  </si>
  <si>
    <t>Ene 07b</t>
  </si>
  <si>
    <t>Ene 08a</t>
  </si>
  <si>
    <t>Tra 01a</t>
  </si>
  <si>
    <t>Tra 01b</t>
  </si>
  <si>
    <t>Tra 02a</t>
  </si>
  <si>
    <t>Tra 02b</t>
  </si>
  <si>
    <t>Wat 01a</t>
  </si>
  <si>
    <t>Wat 02a</t>
  </si>
  <si>
    <t>Wat 03a</t>
  </si>
  <si>
    <t>Wat 03b</t>
  </si>
  <si>
    <t>Wat 03c</t>
  </si>
  <si>
    <t>Wat 04a</t>
  </si>
  <si>
    <t>Mat 01a</t>
  </si>
  <si>
    <t>Mat 01b</t>
  </si>
  <si>
    <t>Mat 01c</t>
  </si>
  <si>
    <t>Mat 02a</t>
  </si>
  <si>
    <t>Mat 02b</t>
  </si>
  <si>
    <t>Mat 02c</t>
  </si>
  <si>
    <t>Mat 03a</t>
  </si>
  <si>
    <t>Mat 03b</t>
  </si>
  <si>
    <t>Mat 03c</t>
  </si>
  <si>
    <t>Mat 05a</t>
  </si>
  <si>
    <t>Mat 05b</t>
  </si>
  <si>
    <t>Mat 05c</t>
  </si>
  <si>
    <t>Mat 05d</t>
  </si>
  <si>
    <t>Mat 06a</t>
  </si>
  <si>
    <t>Mat 06b</t>
  </si>
  <si>
    <t>Mat 06c</t>
  </si>
  <si>
    <t>Mat 07a</t>
  </si>
  <si>
    <t>Mat 07b</t>
  </si>
  <si>
    <t>Mat 07c</t>
  </si>
  <si>
    <t>Wst 01a</t>
  </si>
  <si>
    <t>Wst 01b</t>
  </si>
  <si>
    <t>Wst 01c</t>
  </si>
  <si>
    <t>Wst 03aa</t>
  </si>
  <si>
    <t>Wst 03ba</t>
  </si>
  <si>
    <t>Wst 04a</t>
  </si>
  <si>
    <t>Wst 03a Operational waste</t>
  </si>
  <si>
    <t>Wst 03b Operational waste</t>
  </si>
  <si>
    <t>LE 01a</t>
  </si>
  <si>
    <t>LE 02a</t>
  </si>
  <si>
    <t>LE 02b</t>
  </si>
  <si>
    <t>LE 02c</t>
  </si>
  <si>
    <t>LE 03a</t>
  </si>
  <si>
    <t>LE 03b</t>
  </si>
  <si>
    <t>LE 03c</t>
  </si>
  <si>
    <t>LE 04a</t>
  </si>
  <si>
    <t>LE 04b</t>
  </si>
  <si>
    <t>LE 04c</t>
  </si>
  <si>
    <t>LE 05a</t>
  </si>
  <si>
    <t>LE 05b</t>
  </si>
  <si>
    <t>LE 05c</t>
  </si>
  <si>
    <t>LE 06a</t>
  </si>
  <si>
    <t>LE 07a</t>
  </si>
  <si>
    <t>LE 07b</t>
  </si>
  <si>
    <t>LE 08a</t>
  </si>
  <si>
    <t>LE 08b</t>
  </si>
  <si>
    <t>LE 08c</t>
  </si>
  <si>
    <t>POL 01a</t>
  </si>
  <si>
    <t>POL 01b</t>
  </si>
  <si>
    <t>POL 01c</t>
  </si>
  <si>
    <t>POL 02a</t>
  </si>
  <si>
    <t>POL 02b</t>
  </si>
  <si>
    <t>POL 04a</t>
  </si>
  <si>
    <t>POL 04b</t>
  </si>
  <si>
    <t>POL 05a</t>
  </si>
  <si>
    <t>POL 05b</t>
  </si>
  <si>
    <t>Exemplary Level</t>
  </si>
  <si>
    <t>Contr. to score</t>
  </si>
  <si>
    <t>U</t>
  </si>
  <si>
    <t>O: Outstanding</t>
  </si>
  <si>
    <t>E: Excellent</t>
  </si>
  <si>
    <t>VG: Very Good</t>
  </si>
  <si>
    <t>Project brief &amp; design:</t>
  </si>
  <si>
    <t>Life cycle cost and service life planning:</t>
  </si>
  <si>
    <t>Visual comfort:</t>
  </si>
  <si>
    <t>Indoor air quality:</t>
  </si>
  <si>
    <t>Thermal comfort:</t>
  </si>
  <si>
    <t>Thermal zoning and controls</t>
  </si>
  <si>
    <t>Safe and healthy environment:</t>
  </si>
  <si>
    <t>Inclusive design</t>
  </si>
  <si>
    <t>Biofilik design</t>
  </si>
  <si>
    <t>Building energy performance:</t>
  </si>
  <si>
    <t>Energy monitoring:</t>
  </si>
  <si>
    <t>Transport assessment and travel plan</t>
  </si>
  <si>
    <t>Sustainable transport measures</t>
  </si>
  <si>
    <t>Environmental impacts from construction products - LCA and greenhouse gas calculations</t>
  </si>
  <si>
    <t>Environmental impacts from construction products - EPDs</t>
  </si>
  <si>
    <t>Responsible sourcing of construction products</t>
  </si>
  <si>
    <t>Disassembly and adaptibility</t>
  </si>
  <si>
    <t>Disassembly and functional adaptability - implementation</t>
  </si>
  <si>
    <t>Ecological risks and opportunities</t>
  </si>
  <si>
    <t>LE03</t>
  </si>
  <si>
    <t>Managing impacts on ecology</t>
  </si>
  <si>
    <t>Ecological change and enhancement</t>
  </si>
  <si>
    <t>Climate adaption</t>
  </si>
  <si>
    <t>LE07</t>
  </si>
  <si>
    <t>Flooding and storm surge</t>
  </si>
  <si>
    <t>LE08</t>
  </si>
  <si>
    <t>Local surface water handling</t>
  </si>
  <si>
    <t>Local air quality</t>
  </si>
  <si>
    <t xml:space="preserve">Reduction of direct emissions from construction sites </t>
  </si>
  <si>
    <t>Hea01</t>
  </si>
  <si>
    <t xml:space="preserve">Daylighting, high level </t>
  </si>
  <si>
    <t xml:space="preserve">View out, high level </t>
  </si>
  <si>
    <t xml:space="preserve">Emissions from construction products  </t>
  </si>
  <si>
    <t xml:space="preserve">Post-occupancy stage </t>
  </si>
  <si>
    <t xml:space="preserve">Plus house </t>
  </si>
  <si>
    <t>Wat01</t>
  </si>
  <si>
    <t>Highly water efficient components</t>
  </si>
  <si>
    <t xml:space="preserve">60% reduction of greenhouse gas emission </t>
  </si>
  <si>
    <t>FutureBuilt criteria set for circular buildings, point 2.3 reuse of building components</t>
  </si>
  <si>
    <t xml:space="preserve">Especially low amount of construction waste </t>
  </si>
  <si>
    <t>LE02</t>
  </si>
  <si>
    <t>Wider sustainability for the site</t>
  </si>
  <si>
    <t>LE04</t>
  </si>
  <si>
    <t>Significant net gain of biodiversity</t>
  </si>
  <si>
    <t>LE06</t>
  </si>
  <si>
    <t>Responding to climate change</t>
  </si>
  <si>
    <t>Wider approach to surface water management</t>
  </si>
  <si>
    <t>ikke sum med makspoeng</t>
  </si>
  <si>
    <t>Min. std. Level</t>
  </si>
  <si>
    <t>Man Sum</t>
  </si>
  <si>
    <t>Hea sum</t>
  </si>
  <si>
    <t>Ene sum</t>
  </si>
  <si>
    <t>Tra sum</t>
  </si>
  <si>
    <t>Wat sum</t>
  </si>
  <si>
    <t>Mat sum</t>
  </si>
  <si>
    <t>Wst sum</t>
  </si>
  <si>
    <t>LE sum</t>
  </si>
  <si>
    <t>POL sum</t>
  </si>
  <si>
    <t>Inn sum</t>
  </si>
  <si>
    <t>Transport needs and usage patterns</t>
  </si>
  <si>
    <t xml:space="preserve">Kontrollplan og fuktmålinger </t>
  </si>
  <si>
    <t xml:space="preserve">Bygging under tildekking  </t>
  </si>
  <si>
    <t>Mat 05e</t>
  </si>
  <si>
    <t>Pol 01b</t>
  </si>
  <si>
    <t>POL 01d</t>
  </si>
  <si>
    <t>Forkrav: 2. Belastning fra kuldemedier</t>
  </si>
  <si>
    <t>No refrigerants in the building</t>
  </si>
  <si>
    <t>Leak detection</t>
  </si>
  <si>
    <t>Heating and hot water is supplied by non-combustions system</t>
  </si>
  <si>
    <t>Heating and hot water is supplied by combustions plant</t>
  </si>
  <si>
    <t>Reduction of night time light pollution</t>
  </si>
  <si>
    <t xml:space="preserve">No external lighting pollution </t>
  </si>
  <si>
    <t>Minimizing external light pollution</t>
  </si>
  <si>
    <t>No noise-sensitive areas</t>
  </si>
  <si>
    <t>Minimizing noise pollution in noise-sensitive areas</t>
  </si>
  <si>
    <t>POL 05 Reduction of noise pollution</t>
  </si>
  <si>
    <t>f</t>
  </si>
  <si>
    <t>Man 03e</t>
  </si>
  <si>
    <t>Man 03f</t>
  </si>
  <si>
    <t>Ansvarlig byggeledelse: RTB og sjekkliste A1</t>
  </si>
  <si>
    <t>Ansvarlig byggeledelse: INSTA 800 og sjekkliste A1</t>
  </si>
  <si>
    <t>Energiforbruk fra aktiviteter på byggeplassen (steg 2-4)</t>
  </si>
  <si>
    <t>Energiforbruk tilknyttet transport av masser og avfall  (steg 2-4)</t>
  </si>
  <si>
    <t>Energieffektive funksjoner heis</t>
  </si>
  <si>
    <t>Energieffektive funksjoner rulletrapp</t>
  </si>
  <si>
    <t>Ene 06c</t>
  </si>
  <si>
    <t>Flow control devices</t>
  </si>
  <si>
    <r>
      <rPr>
        <b/>
        <sz val="11"/>
        <color rgb="FFFFFFFF"/>
        <rFont val="Calibri"/>
        <family val="2"/>
      </rPr>
      <t>Pol 01:</t>
    </r>
    <r>
      <rPr>
        <sz val="11"/>
        <color indexed="9"/>
        <rFont val="Calibri"/>
        <family val="2"/>
      </rPr>
      <t xml:space="preserve"> Refrigerants in the building?</t>
    </r>
  </si>
  <si>
    <r>
      <rPr>
        <b/>
        <sz val="11"/>
        <color rgb="FFFFFFFF"/>
        <rFont val="Calibri"/>
        <family val="2"/>
      </rPr>
      <t xml:space="preserve">Pol 05: </t>
    </r>
    <r>
      <rPr>
        <sz val="11"/>
        <color indexed="9"/>
        <rFont val="Calibri"/>
        <family val="2"/>
      </rPr>
      <t>Noise-sensitive areas?</t>
    </r>
  </si>
  <si>
    <r>
      <rPr>
        <b/>
        <sz val="11"/>
        <color rgb="FFFFFFFF"/>
        <rFont val="Calibri"/>
        <family val="2"/>
      </rPr>
      <t>Ene 05:</t>
    </r>
    <r>
      <rPr>
        <sz val="11"/>
        <color indexed="9"/>
        <rFont val="Calibri"/>
        <family val="2"/>
      </rPr>
      <t xml:space="preserve"> Commercial/industrial refrigeration and cold storage systems?</t>
    </r>
  </si>
  <si>
    <r>
      <rPr>
        <b/>
        <sz val="11"/>
        <color rgb="FFFFFFFF"/>
        <rFont val="Calibri"/>
        <family val="2"/>
      </rPr>
      <t>Ene 06:</t>
    </r>
    <r>
      <rPr>
        <sz val="11"/>
        <color indexed="9"/>
        <rFont val="Calibri"/>
        <family val="2"/>
      </rPr>
      <t xml:space="preserve"> Does the building contain  lifts, escalators or moving walks?</t>
    </r>
  </si>
  <si>
    <t xml:space="preserve">Inn 01 - Man 03: Reduction of direct emissions from construction sites </t>
  </si>
  <si>
    <t xml:space="preserve">Inn 02 - Hea 01: Daylighting, high level </t>
  </si>
  <si>
    <t xml:space="preserve">Inn 03 - Hea 01: View out, high level </t>
  </si>
  <si>
    <t xml:space="preserve">Inn 04 - Hea 02: Emissions from construction products  </t>
  </si>
  <si>
    <t xml:space="preserve">Inn 05 - Ene 01: Post-occupancy stage </t>
  </si>
  <si>
    <t xml:space="preserve">Inn 06 - Ene 01: Plus house </t>
  </si>
  <si>
    <t>Inn 07 - Wat 01: Highly water efficient components</t>
  </si>
  <si>
    <t xml:space="preserve">Inn 08 - Mat 01: 60% reduction of greenhouse gas emission </t>
  </si>
  <si>
    <t>Inn 09 - Mat 06: FutureBuilt criteria set for circular buildings, point 2.3 reuse of building components</t>
  </si>
  <si>
    <t xml:space="preserve">Inn 10 - Wst 01: Especially low amount of construction waste </t>
  </si>
  <si>
    <t>Inn 11 - LE 02: Wider sustainability for the site</t>
  </si>
  <si>
    <t>Inn 12 - LE 04: Significant net gain of biodiversity</t>
  </si>
  <si>
    <t>Inn 13 - LE 06: Responding to climate change</t>
  </si>
  <si>
    <t>Inn 14 - LE 08: Wider approach to surface water management</t>
  </si>
  <si>
    <t>Yes - lifts and escalators/moving walks</t>
  </si>
  <si>
    <t>Yes - escalators/moving walks</t>
  </si>
  <si>
    <t>Yes - lifts</t>
  </si>
  <si>
    <t>Ved 1 poeng, sjekk type</t>
  </si>
  <si>
    <t>hvis 1 poeng . Sjekk type</t>
  </si>
  <si>
    <t>sjekk type og rett poeng</t>
  </si>
  <si>
    <t>sjekk rett</t>
  </si>
  <si>
    <t>Ene07</t>
  </si>
  <si>
    <t>Mat05</t>
  </si>
  <si>
    <t>Wst03</t>
  </si>
  <si>
    <t>Wst 03</t>
  </si>
  <si>
    <t>Mat02</t>
  </si>
  <si>
    <t>Mat03</t>
  </si>
  <si>
    <t>Bespoke foreløpig - mulig utgå</t>
  </si>
  <si>
    <t>VALG BESPOKE</t>
  </si>
  <si>
    <t>BREEAM-NOR AP and BREEAM performance targets (stage 5 and 6)</t>
  </si>
  <si>
    <t>Hea 01f</t>
  </si>
  <si>
    <t>Mat 02 Environmental impacts from construction products - product requirements</t>
  </si>
  <si>
    <t>Mat 05 Designing for durability and climate adaption</t>
  </si>
  <si>
    <t>Wst 04 Speculative finishes</t>
  </si>
  <si>
    <t>5 mm precipitation</t>
  </si>
  <si>
    <t>LE 08d</t>
  </si>
  <si>
    <t>Non-combustion heating and hot water system</t>
  </si>
  <si>
    <t>Combustion-powered heating and hot water</t>
  </si>
  <si>
    <t>BREEAM-NOR v6.0 New Construction Pre-Assessment Estimator: Building Performance</t>
  </si>
  <si>
    <t>Vekting</t>
  </si>
  <si>
    <t>Innredet</t>
  </si>
  <si>
    <t>Uinnredet</t>
  </si>
  <si>
    <t>Råbygg</t>
  </si>
  <si>
    <t>Valg</t>
  </si>
  <si>
    <t>Fully fitted</t>
  </si>
  <si>
    <t>Shell only</t>
  </si>
  <si>
    <t xml:space="preserve">Requirements for EU taxonomy </t>
  </si>
  <si>
    <t>EU Taksonomi</t>
  </si>
  <si>
    <t xml:space="preserve">Ingen vesentlig skade (DNSH) </t>
  </si>
  <si>
    <t>Bidra vesentlig til å redusere klimaendringer</t>
  </si>
  <si>
    <t>Samlet</t>
  </si>
  <si>
    <t>INITIAL</t>
  </si>
  <si>
    <t>DESIGN</t>
  </si>
  <si>
    <t>CONSTRUCTION</t>
  </si>
  <si>
    <t>Oppfyller taksonomi = nei</t>
  </si>
  <si>
    <t>Wst 01d</t>
  </si>
  <si>
    <t>LE 01b</t>
  </si>
  <si>
    <t>Minimum req: legal and sustainable timber</t>
  </si>
  <si>
    <t>Pre-requisite: managing negative impacts on ecology</t>
  </si>
  <si>
    <t>Pre-requisite: flood risk assessment</t>
  </si>
  <si>
    <t>Pre-requisite: risk assessment and the "three- step strategy"</t>
  </si>
  <si>
    <t>Pre-requisite: transport assessment and travel plan</t>
  </si>
  <si>
    <t>Pre-requisite: impact of refrigerants</t>
  </si>
  <si>
    <t>Pre-requisite: Transport assessment and travel plan</t>
  </si>
  <si>
    <r>
      <rPr>
        <b/>
        <sz val="11"/>
        <color rgb="FFFFFFFF"/>
        <rFont val="Calibri"/>
        <family val="2"/>
      </rPr>
      <t xml:space="preserve">Mat 06: </t>
    </r>
    <r>
      <rPr>
        <sz val="11"/>
        <color indexed="9"/>
        <rFont val="Calibri"/>
        <family val="2"/>
      </rPr>
      <t>Demolition in the development area (mapping for component reuse)?</t>
    </r>
  </si>
  <si>
    <t xml:space="preserve">Hea 06: Biofilik design </t>
  </si>
  <si>
    <r>
      <t xml:space="preserve">Wat 04: </t>
    </r>
    <r>
      <rPr>
        <sz val="11"/>
        <color rgb="FFFFFFFF"/>
        <rFont val="Calibri"/>
        <family val="2"/>
      </rPr>
      <t>Water demand in building (beyond Wat 01)</t>
    </r>
    <r>
      <rPr>
        <b/>
        <sz val="11"/>
        <color rgb="FFFFFFFF"/>
        <rFont val="Calibri"/>
        <family val="2"/>
      </rPr>
      <t>?</t>
    </r>
  </si>
  <si>
    <t>Energy consumption from activities on the construction site (step 2-4)</t>
  </si>
  <si>
    <t>Energy consumption from transport of masses and waste (step 2-4)</t>
  </si>
  <si>
    <t>Energy efficient features: lifts</t>
  </si>
  <si>
    <t>Energy efficient features: escalators or moving walks</t>
  </si>
  <si>
    <t>Control plan and moisture measurements</t>
  </si>
  <si>
    <t>Construction under cover</t>
  </si>
  <si>
    <t>To activate select YES in cell S8</t>
  </si>
  <si>
    <t>To activate select YES in cell Z8</t>
  </si>
  <si>
    <r>
      <rPr>
        <b/>
        <sz val="11"/>
        <color rgb="FFFFFFFF"/>
        <rFont val="Calibri"/>
        <family val="2"/>
      </rPr>
      <t>Ene 08: A</t>
    </r>
    <r>
      <rPr>
        <sz val="11"/>
        <color indexed="9"/>
        <rFont val="Calibri"/>
        <family val="2"/>
      </rPr>
      <t>ny unregulated energy loads in building?</t>
    </r>
  </si>
  <si>
    <t>Other</t>
  </si>
  <si>
    <t>Transportation hub (coach or bus station and above ground rail station)</t>
  </si>
  <si>
    <t>Research and development (category 2 or 3 laboratories - non-higher education)</t>
  </si>
  <si>
    <t>Crèche</t>
  </si>
  <si>
    <t>Fire stations</t>
  </si>
  <si>
    <t>Visitor centres</t>
  </si>
  <si>
    <r>
      <rPr>
        <b/>
        <sz val="11"/>
        <color rgb="FFFFFFFF"/>
        <rFont val="Calibri"/>
        <family val="2"/>
      </rPr>
      <t>Ene 03, Pol 04:</t>
    </r>
    <r>
      <rPr>
        <sz val="11"/>
        <color indexed="9"/>
        <rFont val="Calibri"/>
        <family val="2"/>
      </rPr>
      <t xml:space="preserve"> External lighting within the construction zone?</t>
    </r>
  </si>
  <si>
    <t>Synlig (1=ja)</t>
  </si>
  <si>
    <r>
      <rPr>
        <b/>
        <sz val="11"/>
        <color indexed="9"/>
        <rFont val="Calibri"/>
        <family val="2"/>
      </rPr>
      <t xml:space="preserve">Pol 05: </t>
    </r>
    <r>
      <rPr>
        <sz val="11"/>
        <color indexed="9"/>
        <rFont val="Calibri"/>
        <family val="2"/>
      </rPr>
      <t>Does the building have a need for heating, ventilation or air conditioning?</t>
    </r>
  </si>
  <si>
    <t>BREEAM-NOR v6.0</t>
  </si>
  <si>
    <t>Mat 07 Design for disassembly and adaptability</t>
  </si>
  <si>
    <t>Resource inventory</t>
  </si>
  <si>
    <t>Developed for Grønn Byggallianse (Norwegian Green Building Council) by Asplan Viak</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</si>
  <si>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t>
  </si>
  <si>
    <r>
      <rPr>
        <b/>
        <sz val="11"/>
        <color rgb="FFFFFFFF"/>
        <rFont val="Calibri"/>
        <family val="2"/>
      </rPr>
      <t>Ene 07:</t>
    </r>
    <r>
      <rPr>
        <sz val="11"/>
        <color indexed="9"/>
        <rFont val="Calibri"/>
        <family val="2"/>
      </rPr>
      <t xml:space="preserve"> Laboratory function/area and size cate</t>
    </r>
    <r>
      <rPr>
        <sz val="11"/>
        <color rgb="FFFFFFFF"/>
        <rFont val="Calibri"/>
        <family val="2"/>
      </rPr>
      <t>gory:</t>
    </r>
  </si>
  <si>
    <r>
      <rPr>
        <b/>
        <sz val="11"/>
        <color rgb="FFFFFFFF"/>
        <rFont val="Calibri"/>
        <family val="2"/>
      </rPr>
      <t xml:space="preserve">Pol 02: </t>
    </r>
    <r>
      <rPr>
        <sz val="11"/>
        <color indexed="9"/>
        <rFont val="Calibri"/>
        <family val="2"/>
      </rPr>
      <t>Heating and hot water is supplied by:</t>
    </r>
  </si>
  <si>
    <t>Pre-requisite: statutory obligations fulfilled</t>
  </si>
  <si>
    <t>Ene 01Tx</t>
  </si>
  <si>
    <t>Wat 01Tx</t>
  </si>
  <si>
    <t>Wst 01TX</t>
  </si>
  <si>
    <t>Wst 01Tx</t>
  </si>
  <si>
    <t>EU taxonomy requirement: criterion 1</t>
  </si>
  <si>
    <t>Mat 06d</t>
  </si>
  <si>
    <t>Exemplary level and innovation</t>
  </si>
  <si>
    <t>EXEMPLARY LEVEL AND INNOVATION</t>
  </si>
  <si>
    <t>Assessment Reference Identifier</t>
  </si>
  <si>
    <t>Assessor comments/notes:</t>
  </si>
  <si>
    <t>Total BREEAM innovation credits achieved</t>
  </si>
  <si>
    <t>Credits achieved</t>
  </si>
  <si>
    <t>Credits available</t>
  </si>
  <si>
    <t>Compliant?</t>
  </si>
  <si>
    <t>Assessment Criteria</t>
  </si>
  <si>
    <t>Minimum standards applicable</t>
  </si>
  <si>
    <t>No. of BREEAM innovation credits available</t>
  </si>
  <si>
    <t>Total BREEAM credits achieved</t>
  </si>
  <si>
    <t>Noise attenuation</t>
  </si>
  <si>
    <t>Shell &amp; Core option?</t>
  </si>
  <si>
    <t>All criteria relevant to the building type and function apply.</t>
  </si>
  <si>
    <t>High</t>
  </si>
  <si>
    <t>Low</t>
  </si>
  <si>
    <t>kWh/m2yr</t>
  </si>
  <si>
    <t>Energy consumption - hot water</t>
  </si>
  <si>
    <t>Energy consumption - ventilation heating</t>
  </si>
  <si>
    <t>Energy consumption - space heating</t>
  </si>
  <si>
    <t>mg/kWh</t>
  </si>
  <si>
    <t>Dry NOx emission level - water heating</t>
  </si>
  <si>
    <t>Dry NOx emission level - ventilation heating</t>
  </si>
  <si>
    <t>Dry NOx emission level - space heating</t>
  </si>
  <si>
    <t>kW</t>
  </si>
  <si>
    <t>Cooling/Heating capacity of the system</t>
  </si>
  <si>
    <t>kg CO2 e/kW cooling capacity</t>
  </si>
  <si>
    <t>Direct Effect Life Cycle CO2 equivalent emissions (DELC CO2 e) of refrigerants</t>
  </si>
  <si>
    <t>Key Performance Indicator</t>
  </si>
  <si>
    <t>Ozone Depleting Potential (ODP) of zero.</t>
  </si>
  <si>
    <t>Impact of refrigerant: criterion 3</t>
  </si>
  <si>
    <t>Impact of refrigerant: criterion 1, 2</t>
  </si>
  <si>
    <t>nei her er spesiell, ikke kipier rader herfra</t>
  </si>
  <si>
    <t>Impacts of refrigerants</t>
  </si>
  <si>
    <t>Select %</t>
  </si>
  <si>
    <t>Percentage</t>
  </si>
  <si>
    <t>Påvirker ikke valg</t>
  </si>
  <si>
    <t>Amount of construction waste sorted into separate key waste groups</t>
  </si>
  <si>
    <t>Waste generated per 100m2  (m3 or tonnes)</t>
  </si>
  <si>
    <t>At least 90% (by weight)</t>
  </si>
  <si>
    <t>At least 85% (by weight)</t>
  </si>
  <si>
    <t>At least 75% (by weight)</t>
  </si>
  <si>
    <t>Under 75% (by weight)/Unknown</t>
  </si>
  <si>
    <t>shell core OK 240519</t>
  </si>
  <si>
    <t>Percentage of available responsible sourcing points achieved</t>
  </si>
  <si>
    <t>All timber is legally harvested and legally traded</t>
  </si>
  <si>
    <t>kg CO2 e/m2yr</t>
  </si>
  <si>
    <t>KPI: Climate gas emissions from new materials for the project</t>
  </si>
  <si>
    <t>KPI: Climate gas emissions from new materials for the reference building</t>
  </si>
  <si>
    <t>Assessment Criteria - Reduction of green house gas emissions</t>
  </si>
  <si>
    <t>Percentage of BREEAM Mat 01 calculator points achieved (%)</t>
  </si>
  <si>
    <t>The mandatory requirements identified in the Mat 01 calculator have been met</t>
  </si>
  <si>
    <t>The LCA includes mandatory building elements indicated in the Mat 01 calculator (where present)</t>
  </si>
  <si>
    <t>The project uses a life cycle assessment (LCA) tool to measure the life cycle environmental impact of the building</t>
  </si>
  <si>
    <t>At least four of the products are from the five product groups as defined in NS 3451 Table of Building Elements</t>
  </si>
  <si>
    <t>Number of products in table 32 satisfies marks 1-6 in ECO product and/or the EU Ecolabel/Nordic Ecolabel criteria</t>
  </si>
  <si>
    <t>Assessment Criteria - Performance requirement for building products</t>
  </si>
  <si>
    <t>Number of EPD's collected for level three product groups in the NS 3451 (Bygningsdelstabellen), part 3 - 6</t>
  </si>
  <si>
    <t>Nuber of EPD's  collected for different building products, from product groups listed in Table 32</t>
  </si>
  <si>
    <t>Assessment Criteria - Environmental Product Declarations (EPD)</t>
  </si>
  <si>
    <t>Assessment Criteria - Absence of environmental toxins</t>
  </si>
  <si>
    <t>Life cycle impacts</t>
  </si>
  <si>
    <t>Flow control device to each sanitary area/facility</t>
  </si>
  <si>
    <t>Leak detection on building's mains water supply</t>
  </si>
  <si>
    <t>Existing BMS connection</t>
  </si>
  <si>
    <t>Pulsed output on all relevant water meters</t>
  </si>
  <si>
    <t>Metering/monitoring equipment on supply to plant/building areas</t>
  </si>
  <si>
    <t>Water meter on the mains water supply to the building(s)</t>
  </si>
  <si>
    <t>person</t>
  </si>
  <si>
    <t>m3/person/yr</t>
  </si>
  <si>
    <t>L/person/day</t>
  </si>
  <si>
    <t>Water demand met via greywater/rainwater sources</t>
  </si>
  <si>
    <t>Water Consumption from building micro-components</t>
  </si>
  <si>
    <t>Please select the calculation procedure used</t>
  </si>
  <si>
    <t>Alternative approach</t>
  </si>
  <si>
    <t>Standard approach</t>
  </si>
  <si>
    <t>Proximity to amenities</t>
  </si>
  <si>
    <t>Type 7</t>
  </si>
  <si>
    <t>Type 6</t>
  </si>
  <si>
    <t>Type 5</t>
  </si>
  <si>
    <t>Type 4</t>
  </si>
  <si>
    <t>Type 3</t>
  </si>
  <si>
    <t>Type 2</t>
  </si>
  <si>
    <t>Type 1</t>
  </si>
  <si>
    <t>Significant majority contributors compliant with energy efficient equipment requirements?</t>
  </si>
  <si>
    <t>F: Kitchen and catering facilities</t>
  </si>
  <si>
    <t>Significant majority contributor</t>
  </si>
  <si>
    <t>Present</t>
  </si>
  <si>
    <t>The energy efficient measures specified do not compromise the defined performance criteria</t>
  </si>
  <si>
    <t>Assessment Criteria - Best practice energy efficient measures</t>
  </si>
  <si>
    <t>Design specification criteria</t>
  </si>
  <si>
    <t>Assessment Criteria - Design Specification</t>
  </si>
  <si>
    <t>Criterion 16 within the issue Hea 02 (Risk assessment) has been achieved  (sourced from issue Hea 02)</t>
  </si>
  <si>
    <t>Assessment Criteria - Pre-Requisite</t>
  </si>
  <si>
    <t>Antar ingen påvirkning</t>
  </si>
  <si>
    <t>Energy Efficient Laboratory Systems</t>
  </si>
  <si>
    <t>Indirect operational greenhouse gas emissions</t>
  </si>
  <si>
    <t>External lighting</t>
  </si>
  <si>
    <t>poeng uten shell core</t>
  </si>
  <si>
    <t>Energy monitoring</t>
  </si>
  <si>
    <t>Calculated actual delivered energy demand</t>
  </si>
  <si>
    <t>Calculated delivered energy demand to achieve an energy label C</t>
  </si>
  <si>
    <t>Energy efficiency</t>
  </si>
  <si>
    <t>B</t>
  </si>
  <si>
    <t>C</t>
  </si>
  <si>
    <t>Appointment of a suitably qualified acoustician</t>
  </si>
  <si>
    <t>Acoustic performance</t>
  </si>
  <si>
    <t>PMV</t>
  </si>
  <si>
    <t>Predicted mean vote (PMV)</t>
  </si>
  <si>
    <t>%</t>
  </si>
  <si>
    <t>Predicted percentage dissatisfied (PPD)</t>
  </si>
  <si>
    <t>Thermal comfort</t>
  </si>
  <si>
    <t xml:space="preserve">Total volatile organic compound (TVOC) concentration </t>
  </si>
  <si>
    <t>Concentration levels of formaldehyde</t>
  </si>
  <si>
    <t>VOC</t>
  </si>
  <si>
    <t>Minimising sources of air pollution: criterion 5</t>
  </si>
  <si>
    <t>Ventilation - the building has been designed to minimise the concentration and recirculation of pollutants in the building</t>
  </si>
  <si>
    <t>credits achived uten shell core</t>
  </si>
  <si>
    <t>Indoor air quality</t>
  </si>
  <si>
    <t>Artificial lighting</t>
  </si>
  <si>
    <t>Glare control</t>
  </si>
  <si>
    <t>Yes - 2 credits</t>
  </si>
  <si>
    <t>Yes - 1 credit</t>
  </si>
  <si>
    <t>Visual comfort</t>
  </si>
  <si>
    <t>Post-occupancy evaluation (POE)</t>
  </si>
  <si>
    <t>Option</t>
  </si>
  <si>
    <t>Assessment criteria</t>
  </si>
  <si>
    <t>Issue</t>
  </si>
  <si>
    <t>Shell and core assessments</t>
  </si>
  <si>
    <t>Indicative BREEAM rating</t>
  </si>
  <si>
    <t>"-" = KPI not applicable to building being assessed.</t>
  </si>
  <si>
    <t>"INA" = Indicator Not Assessed. This will be the case where either the data required for the KPI is not gathered/measured by the building's project team or not assessed/quantified in BREEAM for a particular building type or assessment stage e.g. energy consumption for construction process at the design stage of assessment.</t>
  </si>
  <si>
    <t>13: The total volatile organic compound (TVOC) concentration is measured post construction (but pre-occupancy) over 8 hours. Formaldehyde concentration level is measured post construction (but pre-occupancy) averaged over 30 minutes. Both KPI's are measured in accordance with ISO standards. At the design stage of assessment no data is available for this KPI as they are both measured once the building has been constructed (but pre-occupancy) for the purpose of post construction assessment.</t>
  </si>
  <si>
    <t>12a: Predicted Mean Vote (PMV) The PMV is an index that predicts the mean votes of a large group of persons on the seven-point thermal sensation scale based on the heat balance of the human body. Thermal balance is obtained when the internal heat production in the body is equal to the loss of heat to the environment.</t>
  </si>
  <si>
    <t>12: The reported impact covers the Predicted percentage dissatisfied (PPD). This is an index that establishes a quantitative prediction of the percentage of thermally dissatisfied people who feel too cool or too warm. For the purposes of ISO 7730, thermally dissatisfied people are those who will feel hot, warm, cool or cold.</t>
  </si>
  <si>
    <t>11: Environmental Product Declarations (EPDs) developed and verified according to EN 15804, EN ISO 14025 or ISO 21930.</t>
  </si>
  <si>
    <t>10: The reported impact covers the proportion of the key building elements present and assessed by BREEAM that are responsibly sourced, where responsibly sourced is defined as follows; where at least 80% of the materials that make-up an element achieve certification in accordance with one of the responsible sourcing schemes defined in Mat 03.</t>
  </si>
  <si>
    <t>9: The reported impact covers non-hazardous waste generated. Where assessed and reported at the design stage of assessment this KPI is based on the target as required in assessment criterion 1.</t>
  </si>
  <si>
    <t>8: The reported impact is net water consumption i.e. accounts for any water recycling/rainwater collection used to off-set a potable site demand. This KPI is not assessed/reported at the design stage of assessment/certification.</t>
  </si>
  <si>
    <t>7: The reported impact includes net water consumption from the micro-components utilised by building occupants for sanitary purposes. The impact accounts for  water recycling/rainwater collection, where used for permissible non-potable water demands.</t>
  </si>
  <si>
    <t>6: The reported impact covers emissions from either one or a combination of space heating, cooling and hot water heating (refer to Pol02 Assessment Issue for scope of emissions)</t>
  </si>
  <si>
    <t>5: The reported impact covers the construction materials that make-up the main building elements (over a 60 year study period). The LCA includes at least the mandatory building elements indicated in the 'Materials assessment scope' section of the BREEAM International Mat 01 calculator (where present in the building). The mandatory requirements identified in the 'Materials assessment tool, method and data' section of the BREEAM International Mat 01 calculator have been met.</t>
  </si>
  <si>
    <t>4: The reported impact covers transport movements and impacts resulting from delivery of the majority construction materials to the site and construction waste from the site. Transport of materials from the factory gate to the building site, including any transport, intermediate storage and distribution.Materials used for major building elements, (i.e. those defined as mandatory in the BREEAM International Mat 01 Calculator tool: walls, roof, floors, windows), including insulation materials. This KPI is not assessed/reported at the design stage of assessment/certification.</t>
  </si>
  <si>
    <t>3: The reported impact includes energy consumption from construction plant, equipment and site accommodation. This KPI is not assessed/reported at the design stage of assessment/certification.</t>
  </si>
  <si>
    <t>2: The reported impact includes technologies that produce energy (on-site and/or near-site) as defined by Directive 2009/28/EC of the European Parliament and of the Council of 23 April 2009 on the promotion of the use of energy from renewable sources and amending and subsequently repealing Directives 2001/77/EC and 2003/30/EC.</t>
  </si>
  <si>
    <t>1: Modelled using approved building energy software compliant with the BREEAM definition. Approved Energy Software are software approved according to the specification in NS 3031:2014.</t>
  </si>
  <si>
    <t>Notes</t>
  </si>
  <si>
    <t>mill NOK</t>
  </si>
  <si>
    <t>Modelled</t>
  </si>
  <si>
    <t>Capital cost for the building (investeringskostnad), mill NOK</t>
  </si>
  <si>
    <t>Capital cost</t>
  </si>
  <si>
    <t>m3/10% project value</t>
  </si>
  <si>
    <t>Use of freshwater resource (intensity) - site processes</t>
  </si>
  <si>
    <t>m3</t>
  </si>
  <si>
    <t>Use of freshwater resource (net water consumption, i.e. consumption minus any recycled water) - site processes</t>
  </si>
  <si>
    <t>µg/m3</t>
  </si>
  <si>
    <t>Measured</t>
  </si>
  <si>
    <t>Total volatile organic compound concentration</t>
  </si>
  <si>
    <t>Use</t>
  </si>
  <si>
    <t>Formaldehyde concentration level</t>
  </si>
  <si>
    <t>Indoor Air Quality</t>
  </si>
  <si>
    <t>KgCO2eq /km</t>
  </si>
  <si>
    <t>Greenhouse gas emissions (intensity) - waste transport from site</t>
  </si>
  <si>
    <t>Greenhouse gas emissions (intensity) - materials transport to site</t>
  </si>
  <si>
    <t>12a</t>
  </si>
  <si>
    <t>KgCO2eq</t>
  </si>
  <si>
    <t>Greenhouse gas emissions (total) - waste transport from site</t>
  </si>
  <si>
    <t>Greenhouse gas emissions (total) - materials transport to site</t>
  </si>
  <si>
    <t>KgCO2eq /10% project value (ref capital cost Man 02)</t>
  </si>
  <si>
    <t xml:space="preserve"> Greenhouse gas emissions (intensity) - construction process</t>
  </si>
  <si>
    <t>Greenhouse gas emissions (total) - construction process</t>
  </si>
  <si>
    <t>Number of products satisfies ECO product/EU Ecolabel/Nordic Ecolabel criteria</t>
  </si>
  <si>
    <t>Number of EPD's collected for level three product groups in the NS 3451</t>
  </si>
  <si>
    <t>Nuber of EPD's  collected for different building products</t>
  </si>
  <si>
    <t>Litres/km</t>
  </si>
  <si>
    <t xml:space="preserve">Energy consumption (intensity) - waste transport from site </t>
  </si>
  <si>
    <t>Materials responsibly sourced</t>
  </si>
  <si>
    <t xml:space="preserve">Energy consumption (intensity) - materials transport to site </t>
  </si>
  <si>
    <t>Sourcing of materials</t>
  </si>
  <si>
    <t>Litres of fuel</t>
  </si>
  <si>
    <t>Energy consumption (total) - waste transport from site</t>
  </si>
  <si>
    <t>Energy consumption (total) - materials transport to site</t>
  </si>
  <si>
    <t>km</t>
  </si>
  <si>
    <t>Distance (total) - waste transport from site</t>
  </si>
  <si>
    <t>Distance (total) - materials transport to site</t>
  </si>
  <si>
    <t>Construction waste generated</t>
  </si>
  <si>
    <t>kWh/10% project value</t>
  </si>
  <si>
    <t>Energy consumption (intensity) - construction process</t>
  </si>
  <si>
    <t>Construction waste and recovery</t>
  </si>
  <si>
    <t>kWh</t>
  </si>
  <si>
    <t>Energy consumption (total) - construction process</t>
  </si>
  <si>
    <t>Construction process</t>
  </si>
  <si>
    <t>m3/yr</t>
  </si>
  <si>
    <t>Building operation</t>
  </si>
  <si>
    <t xml:space="preserve">Use of freshwater resource </t>
  </si>
  <si>
    <t>kg/yr</t>
  </si>
  <si>
    <t>Emissions to outdoor air, soil and water</t>
  </si>
  <si>
    <t>Direct GHG emissions - Refrigerants</t>
  </si>
  <si>
    <t>KgCO2eq /10% project value</t>
  </si>
  <si>
    <t>A BREEAM-NOR AP has been appointed (construction)</t>
  </si>
  <si>
    <t>Cradle-to-grave</t>
  </si>
  <si>
    <t>Reduction (in %) of climate gas emissions compared to a reference building</t>
  </si>
  <si>
    <t>kgCO2eq/yr</t>
  </si>
  <si>
    <t>kgCO2eq/m2yr</t>
  </si>
  <si>
    <t>Climate gas emissions from new materials for the project</t>
  </si>
  <si>
    <t>Climate gas emissions from new materials for the reference building</t>
  </si>
  <si>
    <t>INA</t>
  </si>
  <si>
    <t>Greenhouse Gas Emissions</t>
  </si>
  <si>
    <t>Assessment Criteria - Environmental management</t>
  </si>
  <si>
    <t>kWh/yr</t>
  </si>
  <si>
    <t>Energy production</t>
  </si>
  <si>
    <t>All</t>
  </si>
  <si>
    <t>Assessment Criteria - Pre-requisite</t>
  </si>
  <si>
    <t>Units</t>
  </si>
  <si>
    <t>Intensity</t>
  </si>
  <si>
    <t>Measure-ment</t>
  </si>
  <si>
    <t>Life cycle stage</t>
  </si>
  <si>
    <t>Note</t>
  </si>
  <si>
    <t>Building Performance by Key Environmental Performance Indicator</t>
  </si>
  <si>
    <t>Capital cost, mill NOK</t>
  </si>
  <si>
    <t>It is demonstrated that the component level LCC has been used to influence building and systems design</t>
  </si>
  <si>
    <t>A component level LCC options appraisal has been developed by the end of Technical Design Stage</t>
  </si>
  <si>
    <t>It is demonstrated that the LCC plan has been used to influence building and systems design</t>
  </si>
  <si>
    <t>An outline, entire asset elemental LCC plan has been carried out at the Concept Design stage</t>
  </si>
  <si>
    <t>Life cycle cost and service life planning</t>
  </si>
  <si>
    <t>e.g. Plan indicates vehicle parking within 1m of north façade and the provision of barriers to protect  façade.</t>
  </si>
  <si>
    <t>e.g. 1 and 2c</t>
  </si>
  <si>
    <t>e.g. See identifier 1</t>
  </si>
  <si>
    <t>e.g. Plan indicates location of water meter in plant room located in south-west corner of the building.</t>
  </si>
  <si>
    <t>e.g. Project A, First floor plan, rev05, 1/10/10. Supplied by F Fitzgerald (23/3/11)</t>
  </si>
  <si>
    <t>Assessor's supporting notes/information</t>
  </si>
  <si>
    <t>Issue criteria No. and/or compliance note</t>
  </si>
  <si>
    <t>Assessment issue</t>
  </si>
  <si>
    <t>Assessment Evidence Reference</t>
  </si>
  <si>
    <t>Identifier</t>
  </si>
  <si>
    <t>Project brief and design</t>
  </si>
  <si>
    <t>for å bruke til å regne score</t>
  </si>
  <si>
    <t>AC</t>
  </si>
  <si>
    <t>Emnde</t>
  </si>
  <si>
    <t>Celle være hvit?</t>
  </si>
  <si>
    <t>Alt 3</t>
  </si>
  <si>
    <t>Alt 2</t>
  </si>
  <si>
    <t>Alt 1</t>
  </si>
  <si>
    <t>Diverse info</t>
  </si>
  <si>
    <t>i dropdown</t>
  </si>
  <si>
    <t>valg</t>
  </si>
  <si>
    <t>Alternativ etter justering</t>
  </si>
  <si>
    <t>Alternativ org</t>
  </si>
  <si>
    <t>celler v-x: velg hva det skal stå i dropdown tekst (eks Alt 2: N/A)</t>
  </si>
  <si>
    <t>veller o-q: velg N/A eller (100&amp;, 50%)</t>
  </si>
  <si>
    <t>Options</t>
  </si>
  <si>
    <t>Minimum standards verifier</t>
  </si>
  <si>
    <t>Shell only options</t>
  </si>
  <si>
    <t>Credit numbers</t>
  </si>
  <si>
    <t>Drop-down %</t>
  </si>
  <si>
    <t>Cap parking capacity</t>
  </si>
  <si>
    <t>Statements</t>
  </si>
  <si>
    <t>KPI</t>
  </si>
  <si>
    <t>Outstanding level</t>
  </si>
  <si>
    <t>Pass 
(level 1)</t>
  </si>
  <si>
    <t>Good
(level 2)</t>
  </si>
  <si>
    <t>VG
(level 3)</t>
  </si>
  <si>
    <t>Exc
Level 4)</t>
  </si>
  <si>
    <t>Outs
(level 5</t>
  </si>
  <si>
    <t>Level 
achieved</t>
  </si>
  <si>
    <t xml:space="preserve">Design (interim) </t>
  </si>
  <si>
    <t>Excellent level</t>
  </si>
  <si>
    <t>Note: For  assessments of healthcare buildings, construction site management criterion number 9 (EMS) must be achieved to award any credits for this assessment issue.</t>
  </si>
  <si>
    <r>
      <t>KgCO</t>
    </r>
    <r>
      <rPr>
        <vertAlign val="subscript"/>
        <sz val="11"/>
        <color indexed="8"/>
        <rFont val="Calibri"/>
        <family val="2"/>
      </rPr>
      <t>2</t>
    </r>
    <r>
      <rPr>
        <sz val="11"/>
        <color theme="1"/>
        <rFont val="Calibri"/>
        <family val="2"/>
        <scheme val="minor"/>
      </rPr>
      <t>eq /10% project value</t>
    </r>
  </si>
  <si>
    <t>Very Good level</t>
  </si>
  <si>
    <t>Man02</t>
  </si>
  <si>
    <t>Note: Compliance with the criteria and award of this credit is a minimum standard for achieving the BREEAM Good rating and above.</t>
  </si>
  <si>
    <r>
      <t>KgCO</t>
    </r>
    <r>
      <rPr>
        <vertAlign val="subscript"/>
        <sz val="11"/>
        <color indexed="8"/>
        <rFont val="Calibri"/>
        <family val="2"/>
      </rPr>
      <t>2</t>
    </r>
    <r>
      <rPr>
        <sz val="11"/>
        <color theme="1"/>
        <rFont val="Calibri"/>
        <family val="2"/>
        <scheme val="minor"/>
      </rPr>
      <t>eq /km</t>
    </r>
  </si>
  <si>
    <t>Good level</t>
  </si>
  <si>
    <t xml:space="preserve">Instruction: Please provide details of the BREEAM Accredited Professional in the project team  section of the Assessment Details page. </t>
  </si>
  <si>
    <t>Error</t>
  </si>
  <si>
    <t>Note: Although the number of BREEAM credits achieved meets the minimum number required for the  Excellent rating level, the percentage improvement for the Building Emission Rate (BER) has not met the minimum level required for Excellent.</t>
  </si>
  <si>
    <t>Missing data</t>
  </si>
  <si>
    <t>Note: Although the percentage improvement for the Building Emission Rate (BER) has met the minimum level required for the Excellent rating, the number of BREEAM credits achieved does not meet the minimum required for the Excellent level.</t>
  </si>
  <si>
    <t>Note: Although the number of BREEAM credits achieved meets the minimum number required for the Outstanding rating level, the percentage improvement for the Building Emission Rate (BER) has not met the minimum level required for Outstanding.</t>
  </si>
  <si>
    <t>Target</t>
  </si>
  <si>
    <t>Note: Although the percentage improvement for the Building Emission Rate (BER) has met the minimum level required for the Outstanding rating the number of BREEAM credits achieved does not meet the minimum required for the Outstanding rating level.</t>
  </si>
  <si>
    <t>Note: Although the EPRnc achieved exceeds the benchmark level required to award 15 credits, the building has not achieved the 100% improvement on the TER, i.e.it is not a zero net CO2 emissions building, required to award all 15 BREEAM credits for Ene01.</t>
  </si>
  <si>
    <t>Note: Although the individual EPRnc performance levels for both non-domestic and domestic building areas achieves 15 credits, the building as a whole has not achieved the 100% improvement on the TER, i.e.it is not a zero net CO2 emissions building, required to award a total of 15 BREEAM credits for Ene01.</t>
  </si>
  <si>
    <t>Instruction: You have stated the building is not compliant, but awarded credits, please rectify.</t>
  </si>
  <si>
    <t>Note: This credit is not applicable to prison buildings.</t>
  </si>
  <si>
    <t>Note: This credit does not apply to industrial buildings with no office space.</t>
  </si>
  <si>
    <t>Note: You have stated in the building and project details tab that the assessed building has no office or laboratory space or fume cupboards, therefore this issue is not applicable to the assessment.</t>
  </si>
  <si>
    <t>Instruction: If the thermal modelling undertaken has not resulted in a TOR value, then insert "INA" (Indicator Not Assessed) in the relevant cell</t>
  </si>
  <si>
    <t>Note: You have stated in the building and project details tab that the assessed building is an industrial building with no office space, therefore this issue does not require assessment.</t>
  </si>
  <si>
    <t>Note: Compliance with this criteria is a minimum standard for achieving any BREEAM rating level (it is not necessary to achieve the credit to comply with the minimum standards).</t>
  </si>
  <si>
    <t>Note: where the assessed development does not have external site areas this issue does not apply. In such instances, the issue will be filtered out of the assessment scope.</t>
  </si>
  <si>
    <t>Note: where the assessed development has no risk from natural hazards (other than flooding) this issue does not apply. In such instances, the issue will be filtered out of the assessment scope.</t>
  </si>
  <si>
    <t>Note: the first credit within the BREEAM issue Hea 03 Thermal comfort has not been achieved, therefore the free cooling credit is not achievable.</t>
  </si>
  <si>
    <t>Instruction: If no energy generation from LZC, please state zero in the relevant KPI cell.</t>
  </si>
  <si>
    <t>Instruction: Please confirm the energy source for the specified LZC system</t>
  </si>
  <si>
    <t xml:space="preserve">Total net Water Consumption </t>
  </si>
  <si>
    <t>Note: The sixth credit for commissioning in issue Man01 must be achieved in order to award the first credit for Ene05.</t>
  </si>
  <si>
    <t>Default building occupancy</t>
  </si>
  <si>
    <t>Option 2: -50%</t>
  </si>
  <si>
    <t>Note: The first Ene05 credit must be achieved before the third credit can be awarded.</t>
  </si>
  <si>
    <t>Note: You have stated in the building and project details tab that the assessed building does not have any commercial/industrial refrigeration and storage systems, therefore this issue is not applicable to the assessment.</t>
  </si>
  <si>
    <t>Note: You have stated in the building and project details tab that the assessed building does not have building user transportation systems (lifts and/or escalators), therefore this issue is not applicable to the assessment.</t>
  </si>
  <si>
    <t>Note: The first Ene06 credit must be achieved before this credit can be awarded.</t>
  </si>
  <si>
    <t>Note: This issue is only applicable to Bespoke assessments.</t>
  </si>
  <si>
    <t>27a</t>
  </si>
  <si>
    <t>Note: Compliance with the laboratory fume cupboards and containment areas criteria 23 and 24 in issue Hea 02 Indoor Air Quality is required to award the first credit in this issue.</t>
  </si>
  <si>
    <t>27b</t>
  </si>
  <si>
    <t>Note: You have stated in the building and project details tab that the assessed building does not have any fume cupboards, therefore this credit is not applicable to the assessment.</t>
  </si>
  <si>
    <t>kpi_28u</t>
  </si>
  <si>
    <t>Tra 1</t>
  </si>
  <si>
    <t>Accessibility index, lik eller større enn</t>
  </si>
  <si>
    <t>Note: This criteria is not applicable to the building type you have selected.</t>
  </si>
  <si>
    <t>kpi_29u</t>
  </si>
  <si>
    <t>Type</t>
  </si>
  <si>
    <t>under 0,5</t>
  </si>
  <si>
    <t>&gt;30</t>
  </si>
  <si>
    <t>Note: The design specification criteria must be achieved in order to achieve any of the available credits for best practice energy measure in laboratories.</t>
  </si>
  <si>
    <t>29a</t>
  </si>
  <si>
    <t xml:space="preserve">Instruction: If residential areas is the only 'significant majority' contributor then please confirm whether the equipment is compliant with criteria E1 - E3 or criterion E4. Where E4, only one credit is available. </t>
  </si>
  <si>
    <t>Error: please change "Yes" to "No" if function area/equipment not present.</t>
  </si>
  <si>
    <t>Instruction: You have confirmed compliance but not stated which function areas/equipment are present and/or which make-up the significant majority, please confirm as appropriate or withhold the available credits.</t>
  </si>
  <si>
    <t>Note:  This issue is not applicable to the building type and/or sub-building type selected in the Assessment Details page.</t>
  </si>
  <si>
    <t>Note: A credit for a dedicated bus service is only available where the building has not achieved any credits for it public transport accessibility index (refer to the technical guide for further detail).</t>
  </si>
  <si>
    <t>33a</t>
  </si>
  <si>
    <t>Instruction: the building type category must be defined for both BREEAM issues Tra01 and Tra03 to calculate the total number of credits available for the transport section and therefore issue contribution to overall score.</t>
  </si>
  <si>
    <t>33b</t>
  </si>
  <si>
    <t>Note: This issue is not applicable to assessments of prison buildings.</t>
  </si>
  <si>
    <t>Instruction: If the building is non-compliant please award zero credits.</t>
  </si>
  <si>
    <t>34a</t>
  </si>
  <si>
    <t>Instruction: If the building is compliant then award the appropriate number of BREEAM credits in the relevant cell.</t>
  </si>
  <si>
    <t xml:space="preserve">Instruction: Please select the building type category (below) to define the number of credits available. </t>
  </si>
  <si>
    <t>See note</t>
  </si>
  <si>
    <t>Note: The credit available for cyclist facilities cannot be awarded if the building does not have the requisite number of cycle storage spaces</t>
  </si>
  <si>
    <t>Instruction: If selecting shell only option 4 then you must change the relevant assessment criteria "compliant" option from "yes" to "no".</t>
  </si>
  <si>
    <t>Note: This issue is not applicable for the building type category you have defined (in issue Tra03)</t>
  </si>
  <si>
    <t>Instruction: The building type defined here is based on that selected above for issue Tra03 (or if assessing a healthcare building, Tra 01 and Tra03). If you have not selected a type from Tra03 (and Tra01 where applicable) then you will need to do so before assessing this issue.</t>
  </si>
  <si>
    <t>Note: You have stated in the building and project details tab that the assessed building does not have either internal or external planting and/or soft landscaping or a vehicle wash system, therefore this issue is not applicable to the assessment.</t>
  </si>
  <si>
    <t>Note: Where a vehicle wash system is specified/installed, compliance with the 'minimising risk of contamination' criteria in assessment issue Hea 04 is required in order to award the available credit for compliant water efficient equipment.</t>
  </si>
  <si>
    <t>Instruction: Please delete the number of points from the cell if the element is not assessed/present or less than 80% of element is responsibly sourced.</t>
  </si>
  <si>
    <t>If the building is a shell and core/speculative development and you wish to make use of the BREEAM evidence options for such project types, then select the appropriate option from the drop down list (see Scheme Document for definition of each option).</t>
  </si>
  <si>
    <t>Note: An Insulation Index the same as or greater than two is required to achieve this credit.</t>
  </si>
  <si>
    <t>Note: at least 80% of the Insulating materials must be responsibly sourced to achieve this credit.</t>
  </si>
  <si>
    <t>Note: At the design stage of assessment this will be a target benchmark or estimation, if/where reported in the SWMP. Where data not available enter "INA", i.e. Indicator Not Assessed, in the relevant cell.</t>
  </si>
  <si>
    <t>Note: At the design stage of assessment this figure is estimated based on the target benchmark reported above.</t>
  </si>
  <si>
    <t xml:space="preserve">Instruction: For the post-construction stage review/assessment the data entered will be the actual construction waste volume/tonnes, as sourced from the SWMP summary datasheets or equivalent monitoring records/report  </t>
  </si>
  <si>
    <t>Note: At the design stage of assessment the percentages will most likely be based on targets, confirmed using  documentation that describes the intended source of the recycled/secondary aggregates and that the required amount (to achieve the quoted percentages) can be provided.</t>
  </si>
  <si>
    <t>Instruction: if the specification of the additional operational waste facility/facilities is not applicable due to the absence or lack of a consistent volume of the appropriate waste stream(s) then select "N/A".</t>
  </si>
  <si>
    <t>Note: This assessment issue is applicable to office buildings only.</t>
  </si>
  <si>
    <t>Note: If none of the additional criteria apply, as confirmed by the Suitably Qualified Ecologist, the credits are awarded on the basis of compliance with the mandatory criteria.</t>
  </si>
  <si>
    <t>Instruction: For speculative buildings, if the building is designed to be fully naturally ventilated and therefore no 'refrigerant using' building services or systems will be specified for the fit out, then confirm "no" accordingly. Alternatively, or if not known, state "yes". Where stating yes, the assessment is then relying on one of the shell only options to commit the future tenant to either, not specify refrigerants or, specify refrigerants and refrigerant containing plant compliant to the level required for the credits sought.</t>
  </si>
  <si>
    <t>Note: You have stated in the building projects and details tab that the assessed building is an industrial unit with no office areas and an untreated (not cooled or heated) operational area, as such this issue is not applicable.</t>
  </si>
  <si>
    <t>Instruction: If the NOx level for water heating is not known/reported then please insert the letters "INA" in the relevant cell. If, in accordance with the relevant compliance note in the technical guide, the water heating benchmark is not applicable to the assessed building, please insert the letters "N/A" in the cell, or alternatively enter the NOx emission level if it is known.</t>
  </si>
  <si>
    <t>Instruction: If the building meets the definition of a 'highly insulated building' and the NOx emission level is low enough to claim more than one BREEAM credit, then select the "N/A" option from the drop-down list against the option for defining the building as a 'highly insulated building'. The reporting tool will then award the credits on the basis of the NOx emission level entered. If you select "yes" from the drop-down list against the option for defining the building as a 'highly insulated building' then only a single credit can be awarded, in accordance with the compliance note 'Highly insulated building'.</t>
  </si>
  <si>
    <t>Instruction: If there are there no noise-sensitive areas/buildings within 800m radius of the development then no shell and core option is required i.e. select/leave the 'N/A' option.</t>
  </si>
  <si>
    <t>Instruction: Please reference the BREEAM Innovation application reference numbers alongside other applicable evidential references in the 'Assessment References' worksheet.</t>
  </si>
  <si>
    <t>Note: The  maximum number of BREEAM credits that can be awarded for innovation is capped at 10.</t>
  </si>
  <si>
    <t>Information not available at design stage</t>
  </si>
  <si>
    <t>Indicator Not Applicable</t>
  </si>
  <si>
    <t>Indicator Not Assessed</t>
  </si>
  <si>
    <t>Instruction: Invalid option selection, please re-try</t>
  </si>
  <si>
    <t>Assessment Issue Not Applicable</t>
  </si>
  <si>
    <t>Flood Risk Assessment</t>
  </si>
  <si>
    <t xml:space="preserve">Flood Risk Assessment and ground level of the building and access </t>
  </si>
  <si>
    <t>Instruction: You have awarded more credits than are available for this issue, please amend.</t>
  </si>
  <si>
    <t>Note: The data required for this assessment issue is sourced from the separate BREEAM Pol 01 calculator.</t>
  </si>
  <si>
    <t>Note: The energy consumption for heating or heating and cooling (where cooling specified) is sourced from the approved software's Building Regulations Output Document  (technical data sheet). This information is used to report the KPI for total NOx emissions, it is not required to award the available BREEAM credits (insert "INA" if not known).</t>
  </si>
  <si>
    <t>Instruction: If the GWP of the specified refrigerants is 10 or less then two credits are awarded. For the purpose of reporting key building impacts the DELC calculation and cooling capacity of the system is still required (calculated using the separate Pol01 calculator), alternatively state "INA", i.e. Indicator Not Assessed, in the relevant cells.</t>
  </si>
  <si>
    <t>Instruction: If the total Direct Effect Life Cycle CO2eq. emissions from the system have not been calculated state "INA", i.e. Indicator Not Assessed, in the relevant cells.</t>
  </si>
  <si>
    <t>Note: Selecting shell  and core  option 2 for any of the criteria will result in only half the achieved credits being awarded regardless of the shell and core options selected for the other criteria.</t>
  </si>
  <si>
    <t>Note: Selecting shell  and core option 4 for any of the criteria will result in zero credits being awarded regardless of the shell and core options selected for the other criteria.</t>
  </si>
  <si>
    <t>See instruction</t>
  </si>
  <si>
    <t>Note: You have stated that the cycle storage spaces are compliant but entered no figure or zero in the box above for the number of compliant cycle storage spaces provided, please clarify.</t>
  </si>
  <si>
    <t>Note: you have stated that cyclist facilities are compliant but not defined the cyclist facilities provided, please clarify.</t>
  </si>
  <si>
    <t>Instruction: Please insert the relevant number of credits achieved in the appropriate cell (as indicated).</t>
  </si>
  <si>
    <t>Note: Data for the Ene01 Calculator for non-domestic buildings is sourced from the Building Regulations Output Document from the approved software (in the technical data sheet in the 'Energy and CO2 emissions summary' table). This data must be verified using BREEAM's Ene01 Compliance Checker website (hyperlink above) before entering in to the Ene01 Calculator opposite.</t>
  </si>
  <si>
    <t>Note: The relevant data for the domestic building areas is sourced from the SAP Datasheet from the approved software. This data must first be entered in to the 'Ene01 Supplementary Calculator for Multi-Residential Buildings Using SAP' to convert to the outputs required for the purposes of the BREEAM assessment. Once converted by the supplementary calculator the relevant data should be entered in to the boxes opposite.</t>
  </si>
  <si>
    <t>Note: Where both SBEM (Non-Domestic) and SAP (Domestic) outputs are used, the total credits achieved is determined by area weighting the credits achieved for the domestic and non-domestic performance of the building. The area weighted totals are then added together and round down to the nearest whole credit. The same method of area weighting is applied to the percentage improvement on the building's Target Emission Rate (except rounding is to two decimal places). The area weighted credits  and percentage improvement are the totals used to determine compliance with the Ene01 minimum standards.</t>
  </si>
  <si>
    <t>Instruction: If the building is designed to be 'carbon negative' then you should  enter 100% in the box opposite. If the percentage is less than 100% then the building is not defined as 'carbon negative'.</t>
  </si>
  <si>
    <t>SBEM only</t>
  </si>
  <si>
    <t>SAP only</t>
  </si>
  <si>
    <t>SBEM and SAP</t>
  </si>
  <si>
    <t>Note: To achieve the second credit for appointing a BREEAM Accredited professional the first credit for a BREEAM AP appointment must first be achieved. The third credit for appointing a BREEAM AP can be awarded independently of the first two credits.</t>
  </si>
  <si>
    <t>To achieve the credit available for compliance with criteria 19 &amp; 20 (commissioning of buiding services) the building must comply with and achieve the first commissioning credit for criteria 16-18.</t>
  </si>
  <si>
    <t>Neste runde</t>
  </si>
  <si>
    <t>Note: To achieve the second credit available for LCC the first credit must also be achieved.</t>
  </si>
  <si>
    <t>Ta en sjekk slik at det er plese select på alle rullegardiner på assessment details</t>
  </si>
  <si>
    <t>Note: To achieve the third credit available for LCC both the first and second credit must be achieved.</t>
  </si>
  <si>
    <t>sjekk alle rullegardiner</t>
  </si>
  <si>
    <t>Note: To award the second credit the first credit must also be achieved.</t>
  </si>
  <si>
    <t>på alle poeng som rundes ned sjekk mod - tilsvarende ene 07</t>
  </si>
  <si>
    <t>Note: Hea02 criterion 2 (indoor air quality plan) must be complied with in order to achieve the available credit for VOC's compliance.</t>
  </si>
  <si>
    <t>Note: the change in ecological value is sourced from BREEAM's LE03/LE04 calculator</t>
  </si>
  <si>
    <t>Instruction: If the building has not specified mechanical cooling then insert zero in the 'NOx emission level - cooling' box. If cooling is, or will be specified then enter the NOx emissions level for the system. If heating and cooling is provided by the same system then pro-rata the overall NOx emissions according to modelled heating/cooling demand in the building and enter the relevant values in each box.</t>
  </si>
  <si>
    <t>Note: Credits for this issue are determined on the basis of NOx emissions from space and water heating systems. However, where cooling is specified information on the performance of the cooling system is required for the purposes of reporting and benchmarking.</t>
  </si>
  <si>
    <t>Note: Please ensure you reference the unique ID number provided by the online BREEAM Ene01 Compliance Checker in the Assessment References section of your report.</t>
  </si>
  <si>
    <t>Note: BREEAM's online Ene01 Compliance Checker must be used to verify that the relevant information from the Technical Data Sheet in the BRUKL Output Document is accurate.</t>
  </si>
  <si>
    <t>Note: Buildings in Greater London - Transport for London hosts a Planning Information Database that allows users to search for a specific London location by street name, co-ordinates or postcode and then calculate the Accessibility Index (AI) for that location. 
The Total AI is confirmed for the Point of Interest (POI) within the Summary Report, which can be downloaded and used as evidence of compliance for the assessed building. Go to: www.webptals.org.uk</t>
  </si>
  <si>
    <t>Note: The risk assessment criterion must be achieved in order to achieve this credit.</t>
  </si>
  <si>
    <t>gå over conditioan lformatin pre req. Legg til please select</t>
  </si>
  <si>
    <t>Instruction: Please insert the relevant number of credits achieved in cell G176.</t>
  </si>
  <si>
    <t>gå over alle pre rezuiste - hvis neio skal ikke mørklegge kommentarfelt</t>
  </si>
  <si>
    <t>Note: at least 80% of the material must be responsibly sourced to achieve this credit.</t>
  </si>
  <si>
    <t>ta en sjekk pre requiste - og om de m være oppfylt for å få poeng for resten</t>
  </si>
  <si>
    <t>KPI 2 - 17 må ha _INA hvis de ikke er aktuelle</t>
  </si>
  <si>
    <t>hør med anders om det skal være lov å ikke fylle ut koi 2-19 hvis man ikke vet - skal man da fremdeles få poeng?</t>
  </si>
  <si>
    <t>hvis tid ta bort enheter etter grå celler kpi 2-19</t>
  </si>
  <si>
    <t>reporting energy consumption pol 02 - ta med denne under ene 01 eller i pol 02? Hva hvis man ikek rapporterer?</t>
  </si>
  <si>
    <t>tra 4 - for eks retail . Skal det da være 2 poeng tilgjengelig eller forsvinner da poeng for tra 4?</t>
  </si>
  <si>
    <t>Assessment Criteria - Elemental life cycle cost (LCC) and capital cost reporting</t>
  </si>
  <si>
    <t>Assessment Criteria - Component level life option appraisal</t>
  </si>
  <si>
    <t>Third party certification system (see Definitions) covering their main operations.</t>
  </si>
  <si>
    <t>Assessment Criteria - BREEAM-NOR AP and BREEAM performance targets</t>
  </si>
  <si>
    <t>Assessment Criteria - Responsible construction practices</t>
  </si>
  <si>
    <t>Assessment Criteria - Reduction of greenhouse gas emissions from activities associated with the construction site</t>
  </si>
  <si>
    <t>Calculate greenhouse gas emissions and plan for reduction of energy consumption from activities on the construction site</t>
  </si>
  <si>
    <t>Calculate greenhouse gas emissions and plan for reduction associated with the transport of masses and waste</t>
  </si>
  <si>
    <t>Document measured energy consumption from construction site and compared with the plan</t>
  </si>
  <si>
    <t>Document greenhouse gas emissions from transport of masses and waste and compared with the plan</t>
  </si>
  <si>
    <t>Key Performance Indicators: Energy consumption from activities on the construction site</t>
  </si>
  <si>
    <r>
      <rPr>
        <b/>
        <sz val="11"/>
        <color theme="1"/>
        <rFont val="Calibri"/>
        <family val="2"/>
        <scheme val="minor"/>
      </rPr>
      <t xml:space="preserve">Plan: </t>
    </r>
    <r>
      <rPr>
        <sz val="11"/>
        <color theme="1"/>
        <rFont val="Calibri"/>
        <family val="2"/>
        <scheme val="minor"/>
      </rPr>
      <t>Energy consumption (liter of fuel) - construction process</t>
    </r>
  </si>
  <si>
    <r>
      <rPr>
        <b/>
        <sz val="11"/>
        <color theme="1"/>
        <rFont val="Calibri"/>
        <family val="2"/>
        <scheme val="minor"/>
      </rPr>
      <t xml:space="preserve">Measured: </t>
    </r>
    <r>
      <rPr>
        <sz val="11"/>
        <color theme="1"/>
        <rFont val="Calibri"/>
        <family val="2"/>
        <scheme val="minor"/>
      </rPr>
      <t>Energy consumption (liter of fuel) - construction process</t>
    </r>
  </si>
  <si>
    <r>
      <rPr>
        <b/>
        <sz val="11"/>
        <color theme="1"/>
        <rFont val="Calibri"/>
        <family val="2"/>
        <scheme val="minor"/>
      </rPr>
      <t xml:space="preserve">Energy consumption plan: </t>
    </r>
    <r>
      <rPr>
        <sz val="11"/>
        <color theme="1"/>
        <rFont val="Calibri"/>
        <family val="2"/>
        <scheme val="minor"/>
      </rPr>
      <t>Greenhouse gas emissions (total) - construction process</t>
    </r>
  </si>
  <si>
    <r>
      <rPr>
        <b/>
        <sz val="11"/>
        <color theme="1"/>
        <rFont val="Calibri"/>
        <family val="2"/>
        <scheme val="minor"/>
      </rPr>
      <t xml:space="preserve">Measured energy consumption: </t>
    </r>
    <r>
      <rPr>
        <sz val="11"/>
        <color theme="1"/>
        <rFont val="Calibri"/>
        <family val="2"/>
        <scheme val="minor"/>
      </rPr>
      <t>Greenhouse gas emissions (total) - construction process</t>
    </r>
  </si>
  <si>
    <r>
      <rPr>
        <b/>
        <sz val="11"/>
        <color theme="1"/>
        <rFont val="Calibri"/>
        <family val="2"/>
        <scheme val="minor"/>
      </rPr>
      <t xml:space="preserve">Reduction: </t>
    </r>
    <r>
      <rPr>
        <sz val="11"/>
        <color theme="1"/>
        <rFont val="Calibri"/>
        <family val="2"/>
        <scheme val="minor"/>
      </rPr>
      <t>Greenhouse gas emissions (total) - construction process</t>
    </r>
  </si>
  <si>
    <r>
      <rPr>
        <b/>
        <sz val="11"/>
        <color theme="1"/>
        <rFont val="Calibri"/>
        <family val="2"/>
        <scheme val="minor"/>
      </rPr>
      <t xml:space="preserve">Plan: </t>
    </r>
    <r>
      <rPr>
        <sz val="11"/>
        <color theme="1"/>
        <rFont val="Calibri"/>
        <family val="2"/>
        <scheme val="minor"/>
      </rPr>
      <t>Greenhouse gas emissions - transport of masses</t>
    </r>
  </si>
  <si>
    <r>
      <rPr>
        <b/>
        <sz val="11"/>
        <color theme="1"/>
        <rFont val="Calibri"/>
        <family val="2"/>
        <scheme val="minor"/>
      </rPr>
      <t xml:space="preserve">Plan: </t>
    </r>
    <r>
      <rPr>
        <sz val="11"/>
        <color theme="1"/>
        <rFont val="Calibri"/>
        <family val="2"/>
        <scheme val="minor"/>
      </rPr>
      <t>Greenhouse gas emissions - waste</t>
    </r>
  </si>
  <si>
    <r>
      <rPr>
        <b/>
        <sz val="11"/>
        <color theme="1"/>
        <rFont val="Calibri"/>
        <family val="2"/>
        <scheme val="minor"/>
      </rPr>
      <t>Measured values:</t>
    </r>
    <r>
      <rPr>
        <sz val="11"/>
        <color theme="1"/>
        <rFont val="Calibri"/>
        <family val="2"/>
        <scheme val="minor"/>
      </rPr>
      <t xml:space="preserve"> Greenhouse gas emissions - transport of masses</t>
    </r>
  </si>
  <si>
    <r>
      <rPr>
        <b/>
        <sz val="11"/>
        <color theme="1"/>
        <rFont val="Calibri"/>
        <family val="2"/>
        <scheme val="minor"/>
      </rPr>
      <t xml:space="preserve">Measured values: </t>
    </r>
    <r>
      <rPr>
        <sz val="11"/>
        <color theme="1"/>
        <rFont val="Calibri"/>
        <family val="2"/>
        <scheme val="minor"/>
      </rPr>
      <t>Greenhouse gas emissions - waste</t>
    </r>
  </si>
  <si>
    <r>
      <rPr>
        <b/>
        <sz val="11"/>
        <color theme="1"/>
        <rFont val="Calibri"/>
        <family val="2"/>
        <scheme val="minor"/>
      </rPr>
      <t>Reduction</t>
    </r>
    <r>
      <rPr>
        <sz val="11"/>
        <color theme="1"/>
        <rFont val="Calibri"/>
        <family val="2"/>
        <scheme val="minor"/>
      </rPr>
      <t>: Greenhouse gas emissions (total) - transport of masses and waste</t>
    </r>
  </si>
  <si>
    <t>Pre-requisite: A site-specific indoor air quality plan has been produced</t>
  </si>
  <si>
    <t>går ut andre hvis pre reeq nei</t>
  </si>
  <si>
    <t>NY</t>
  </si>
  <si>
    <t>Less than three</t>
  </si>
  <si>
    <t>Three</t>
  </si>
  <si>
    <t>Post-construction indoor air quality measurement</t>
  </si>
  <si>
    <t>C and B</t>
  </si>
  <si>
    <t>Safe and healthy surroundings</t>
  </si>
  <si>
    <t>Biophilic design: feasibility study and minimum design elements incorporated throughout the building</t>
  </si>
  <si>
    <t>Compliant criteria passive design</t>
  </si>
  <si>
    <t>Compliant low and zero carbon technologies</t>
  </si>
  <si>
    <t>Energy label&amp;colour: 3 credits</t>
  </si>
  <si>
    <t>Energy label&amp;colour: 0 credits</t>
  </si>
  <si>
    <t>Energy label&amp;colour: 1 credits</t>
  </si>
  <si>
    <t>Energy label&amp;colour: 2 credits</t>
  </si>
  <si>
    <t>FutureBuilt nZEB: 4 credits</t>
  </si>
  <si>
    <t>Energy performance</t>
  </si>
  <si>
    <t>Compliant criteria prediction of operational energy consumption</t>
  </si>
  <si>
    <t>Compliant criteria sub-metering of end-use categories</t>
  </si>
  <si>
    <t>Compliant criteria sub-metering of high energy loads and tenancy areas</t>
  </si>
  <si>
    <t>Compliant criteria sub-metering of energy consumption in residential buildings</t>
  </si>
  <si>
    <t>Design of energy efficient cold storage</t>
  </si>
  <si>
    <t>Only whole credits can be awarded in BREEAM. Thus, to achieve a credit for items with partial credits, the laboratory must comply with at least two of the items. In an instance where, for example, 3.5 credits are achieved, this figure would need to be rounded down to three credits.</t>
  </si>
  <si>
    <t>Best practice energy efficient measures</t>
  </si>
  <si>
    <t>Fume cupboard volume flow rates (further reduction)</t>
  </si>
  <si>
    <t>Grouping or isolation of high filtration or ventilation activities</t>
  </si>
  <si>
    <t xml:space="preserve">Energy recovery - heat </t>
  </si>
  <si>
    <t>Energy recovery - cooling</t>
  </si>
  <si>
    <t>Grouping of cooling loads</t>
  </si>
  <si>
    <t>Free cooling</t>
  </si>
  <si>
    <t>Load responsiveness</t>
  </si>
  <si>
    <t>Optimised customisation</t>
  </si>
  <si>
    <t>Room air change rates</t>
  </si>
  <si>
    <t>Fan power</t>
  </si>
  <si>
    <t>A: Domestic-scale appliances (individual and communal facilities)</t>
  </si>
  <si>
    <t>B: Health care</t>
  </si>
  <si>
    <t>C: Swimming pools</t>
  </si>
  <si>
    <t>Other significant unregulated energy loads (use Assessor comments/notes)</t>
  </si>
  <si>
    <t>D: Laundry facilities with commercial-sized appliances</t>
  </si>
  <si>
    <t>E: Data centres</t>
  </si>
  <si>
    <t>G: Snow melting installation</t>
  </si>
  <si>
    <t xml:space="preserve">H: IT-intensive operating areas </t>
  </si>
  <si>
    <t>Travel plan emissions evaluation: quantifiable figures for greenhouse gas emissions related to transport</t>
  </si>
  <si>
    <t>Prerequisite: Transport assessment and travel plan (criteria 3-5 in issue Tra 01)</t>
  </si>
  <si>
    <t>Accessibility Index</t>
  </si>
  <si>
    <t>AI &lt; 25 points</t>
  </si>
  <si>
    <t>AI ≥ 25 &amp; &lt; 40</t>
  </si>
  <si>
    <t>AI of ≥ 40 points</t>
  </si>
  <si>
    <t>Number of points achieved</t>
  </si>
  <si>
    <t>Improvement on baseline performance (%) (Wat 01 calculator)</t>
  </si>
  <si>
    <t>Reduction of water consumption</t>
  </si>
  <si>
    <t>Environmental impacts from construction products – Product requirements</t>
  </si>
  <si>
    <t>Pre-requisite: Early stage greenhouse gas calculation</t>
  </si>
  <si>
    <t>Calculated green house gas emissions from new materials in the building according to NS3720:2018</t>
  </si>
  <si>
    <t>Reduction (in %) of climate gas emissions from new materials compared to a reference value</t>
  </si>
  <si>
    <t>Crdits</t>
  </si>
  <si>
    <t>Assessment Criteria - Life cycle assessment (LCA) of the building</t>
  </si>
  <si>
    <t>EPDs valid according to requirements</t>
  </si>
  <si>
    <t>Products in Ecolabel: at least four “green” marks (one for GWP) and two “white” marks for remaining environmental indicators</t>
  </si>
  <si>
    <t>Product groups: 231/232 Insulation in outer walls, 233/234 Windows/glass facades, 235 External cladding, 246 Internal cladding, 251 Floors</t>
  </si>
  <si>
    <t>All timber and timber-based products used on the project is 'Legal' and 'Sustainable'</t>
  </si>
  <si>
    <t>Responsible sourcing of relevant materials: Points achieved from Mat 03 calculator</t>
  </si>
  <si>
    <r>
      <t>Ene 02:</t>
    </r>
    <r>
      <rPr>
        <sz val="11"/>
        <color rgb="FFFFFFFF"/>
        <rFont val="Calibri"/>
        <family val="2"/>
      </rPr>
      <t xml:space="preserve"> Sub-metering of high energy loads and tenancy areas. Is post-occupancy stage Ene 01 credits targeted?</t>
    </r>
  </si>
  <si>
    <r>
      <rPr>
        <b/>
        <sz val="11"/>
        <color indexed="9"/>
        <rFont val="Calibri"/>
        <family val="2"/>
      </rPr>
      <t xml:space="preserve">Hea 02, Hea 03: </t>
    </r>
    <r>
      <rPr>
        <sz val="11"/>
        <color indexed="9"/>
        <rFont val="Calibri"/>
        <family val="2"/>
      </rPr>
      <t>Does this industrial building have an office area or other occupied space?</t>
    </r>
  </si>
  <si>
    <t>Material efficiency</t>
  </si>
  <si>
    <t>Design for disassembly and adaptability</t>
  </si>
  <si>
    <t>Amount of waste generated in kg/m² (gross internal floor area)</t>
  </si>
  <si>
    <t>≤ 40 kg/m2</t>
  </si>
  <si>
    <t>≤ 25 kg/m2</t>
  </si>
  <si>
    <t>≤ 19 kg/m2</t>
  </si>
  <si>
    <t>&gt; 40 kg/m2 / Unknown</t>
  </si>
  <si>
    <t>Dedicated space or spaces for the segregation and storage of operational recyclable waste generated, according to requirements</t>
  </si>
  <si>
    <t>Compliant criteria 2 - 5 operational wate</t>
  </si>
  <si>
    <t>Established practise to properly separate recyclable, non-recyclable, and non-compostable household waste</t>
  </si>
  <si>
    <t>Alternative 1</t>
  </si>
  <si>
    <t>Alternative 2</t>
  </si>
  <si>
    <t>Speculative finishes</t>
  </si>
  <si>
    <t>Compliant criteria 1 - 4 speculative finishes</t>
  </si>
  <si>
    <t>Yes - site is compliant</t>
  </si>
  <si>
    <t>No - site is not compliant</t>
  </si>
  <si>
    <t>A Suitably Qualified Ecologist carreid out a survey and evaluation of biodiversity and eco system services</t>
  </si>
  <si>
    <t>Recommendations, collected data and evaluation are shared with the appropriate project team members to influence decisions</t>
  </si>
  <si>
    <t>1. Avoid and preserve</t>
  </si>
  <si>
    <t>2. Protect</t>
  </si>
  <si>
    <t>4. Restore</t>
  </si>
  <si>
    <t>3. Reduce/limit negative impact</t>
  </si>
  <si>
    <t>5. Compensate on/outside site</t>
  </si>
  <si>
    <t>6. Enhance on site/off site</t>
  </si>
  <si>
    <t>Pre-requisite: ecological risks and opportunities (Criteria 2–6 in LE 02)</t>
  </si>
  <si>
    <t>Planning and measures on-site</t>
  </si>
  <si>
    <t>No net loss</t>
  </si>
  <si>
    <t>Minimising Loss</t>
  </si>
  <si>
    <t>Pre-requisite: minimum of one credit in criterion 6 in LE 03</t>
  </si>
  <si>
    <t>Pre-requisite: confirm compliance monitored against all relevant national legislation relating to the ecology of the site</t>
  </si>
  <si>
    <t>One credit</t>
  </si>
  <si>
    <t>Two credits</t>
  </si>
  <si>
    <t>Three credits</t>
  </si>
  <si>
    <t>Zero credits</t>
  </si>
  <si>
    <t>Calculation of changes in biodiversity, credits achieved</t>
  </si>
  <si>
    <t>Long term ecology management and maintenance</t>
  </si>
  <si>
    <t>Pre-requisite: criterion 6 in LE 03 and criterion 3 and 4 in LE 04 must have been achieved</t>
  </si>
  <si>
    <t>Pre-requisite: confirm compliance monitored against all relevant national, EU and international standards relating to site ecology</t>
  </si>
  <si>
    <t>A section on Ecology and Biodiversity must be included as part of the FDV</t>
  </si>
  <si>
    <t>Measures must been implemented to manage and maintain ecology throughout the project</t>
  </si>
  <si>
    <t>A Landscape and Ecology Management Plan, or equivalent, must be developed covering the full lifespan of the project</t>
  </si>
  <si>
    <t xml:space="preserve">The developer or the building users must commit to using the landscape and management plan and update this </t>
  </si>
  <si>
    <t>LE 06-01 Criterion 7 requirements (Compliant criteria Hea 03, Ene 01, Wat 01, Mat 05, LE 07, LE 08)</t>
  </si>
  <si>
    <t>Awarded according to the risk level in table LE07-01</t>
  </si>
  <si>
    <t>Low risk (&lt;1:1000)</t>
  </si>
  <si>
    <t>Medium/High risk (≥1:1000)</t>
  </si>
  <si>
    <t>Compliant criteria 3 resilience against flood and storm surge</t>
  </si>
  <si>
    <t>Pre-requisite: a risk assessment for water run-off has been carried out by the end of step 2</t>
  </si>
  <si>
    <t>Pre-requisite: site is designed so that extreme precipitation is handled through safe and well-developed drainage and flood paths</t>
  </si>
  <si>
    <t>Pre-requisite: Handling of surface water run-off is in line with the results of the risk assessment</t>
  </si>
  <si>
    <t>Handling of 5 mm precipitation</t>
  </si>
  <si>
    <t>Compliant criteria 10 - 12 wider approach for surface water management</t>
  </si>
  <si>
    <t>Assessment Criteria - No refrigerants in the building</t>
  </si>
  <si>
    <t>No refrigerants in the building?</t>
  </si>
  <si>
    <t>No: refrigerants in building</t>
  </si>
  <si>
    <t>Yes: no refrigerants in building</t>
  </si>
  <si>
    <t>Pre-requisite – Impact of refrigerants</t>
  </si>
  <si>
    <t xml:space="preserve">Compliant criteria 6 - 7 leak detection </t>
  </si>
  <si>
    <t>Assessment Criteria - Impact of refrigerant</t>
  </si>
  <si>
    <t>Direct Effect Life Cycle CO2 equivalent emissions (DELC CO2 e) of refrigerants: ≤ 100 kg CO2 e/kW</t>
  </si>
  <si>
    <t>All refrigerants used have a global warming potential (GWP) ≤10</t>
  </si>
  <si>
    <t>Systems using refrigerants have a DELC of ≤1000kgCO₂-eq/kW cooling and heating capacity</t>
  </si>
  <si>
    <t>Non-combustion heating and hot water systems</t>
  </si>
  <si>
    <t>Emissions do not exceed the levels set in Table Pol 02-01 and Table Pol 02-02</t>
  </si>
  <si>
    <t xml:space="preserve">Yes: no external lighting pollution </t>
  </si>
  <si>
    <t xml:space="preserve">No: external lighting pollution </t>
  </si>
  <si>
    <t>Yes: no noise-sensitive areas</t>
  </si>
  <si>
    <t>No: noise-sensitive areas</t>
  </si>
  <si>
    <t>Yes - 3 credits</t>
  </si>
  <si>
    <t>Yes - 4 credits</t>
  </si>
  <si>
    <t>Yes - 5 credits</t>
  </si>
  <si>
    <t>Yes - 6 credits</t>
  </si>
  <si>
    <t>Yes - 7 credits</t>
  </si>
  <si>
    <t>Yes - 8 credits</t>
  </si>
  <si>
    <t>Yes - 9 credits</t>
  </si>
  <si>
    <t>Yes - 10 credits</t>
  </si>
  <si>
    <t>Key Performance Indicators</t>
  </si>
  <si>
    <t>Nedtrekksmeny med mulige alternativ</t>
  </si>
  <si>
    <t>Utførelsesentreprise NS 8405 og NS 8406</t>
  </si>
  <si>
    <t>Totalentreprise NS 8407 og NS 8417</t>
  </si>
  <si>
    <t>Samspillsentreprise, bruk NS 8407 med tillegg</t>
  </si>
  <si>
    <t>Offentlig Privat samarbeid (OPS)</t>
  </si>
  <si>
    <t>Underentreprise NS 8415, NS 8416 og NS 8417</t>
  </si>
  <si>
    <t>Utførelsesentreprise</t>
  </si>
  <si>
    <t>Totalentreprise</t>
  </si>
  <si>
    <t>Samspillsentreprise</t>
  </si>
  <si>
    <t>Underentreprise</t>
  </si>
  <si>
    <t xml:space="preserve">kgCO2eq/m2 (BTA)/yr </t>
  </si>
  <si>
    <t>Planned BREEAM-NOR rating</t>
  </si>
  <si>
    <t>Achieved BREEAM-NOR rating</t>
  </si>
  <si>
    <t>Step 2</t>
  </si>
  <si>
    <t>Step 3</t>
  </si>
  <si>
    <t>Step 4</t>
  </si>
  <si>
    <t>Step 5</t>
  </si>
  <si>
    <t>Step 6</t>
  </si>
  <si>
    <t>years</t>
  </si>
  <si>
    <t>Installed  building management system (BMS)?</t>
  </si>
  <si>
    <t>Predicted percentage dissatisfied (PPD) - future climate change</t>
  </si>
  <si>
    <t>Predicted mean vote (PMV) - future climate change</t>
  </si>
  <si>
    <t>Calculated net energy demand</t>
  </si>
  <si>
    <t>Calculated reduction of the building's net energy demand compared with the energy requirements of TEK 17</t>
  </si>
  <si>
    <t>Electricity</t>
  </si>
  <si>
    <t>Main energy source for baseload (valgt hovedenergiforsyningsløsning (grunnlast))</t>
  </si>
  <si>
    <t>CO2 eq/yr/m2</t>
  </si>
  <si>
    <t>mill NOK/year</t>
  </si>
  <si>
    <t>Red</t>
  </si>
  <si>
    <t>Orange</t>
  </si>
  <si>
    <t>Yellow</t>
  </si>
  <si>
    <t>Light green</t>
  </si>
  <si>
    <t>Dark green</t>
  </si>
  <si>
    <t>A</t>
  </si>
  <si>
    <t xml:space="preserve">Heating grade </t>
  </si>
  <si>
    <t xml:space="preserve">Energy grade </t>
  </si>
  <si>
    <t>Proportion of heat</t>
  </si>
  <si>
    <t>Greenhouse gas emissions - B6, calculated delivered energy</t>
  </si>
  <si>
    <r>
      <rPr>
        <b/>
        <sz val="11"/>
        <color theme="1"/>
        <rFont val="Calibri"/>
        <family val="2"/>
        <scheme val="minor"/>
      </rPr>
      <t>Reduction</t>
    </r>
    <r>
      <rPr>
        <sz val="11"/>
        <color theme="1"/>
        <rFont val="Calibri"/>
        <family val="2"/>
        <scheme val="minor"/>
      </rPr>
      <t>: Greenhouse gas emissions B8</t>
    </r>
  </si>
  <si>
    <t>Calculated Public Transport Accessibility Index (AI) score</t>
  </si>
  <si>
    <t>Measures for reduced transport needs</t>
  </si>
  <si>
    <t>Assessment option</t>
  </si>
  <si>
    <t>1a - Home office</t>
  </si>
  <si>
    <t>1b - Local community office</t>
  </si>
  <si>
    <t>2 - Existing amenities</t>
  </si>
  <si>
    <t>3 - Enhanced amenities</t>
  </si>
  <si>
    <t>4 - Consult with the local authority (LA)</t>
  </si>
  <si>
    <t>5 - Cycle storage</t>
  </si>
  <si>
    <t>6 - Cyclists’ facilities</t>
  </si>
  <si>
    <t>7 - Existing Accessibility Index</t>
  </si>
  <si>
    <t>8 - Improved Accessibility Index</t>
  </si>
  <si>
    <t>9 - Public transportation information system</t>
  </si>
  <si>
    <t>10 - The development is without parking</t>
  </si>
  <si>
    <t>11 - EV charging stations</t>
  </si>
  <si>
    <t>12 - Carpool</t>
  </si>
  <si>
    <t>13 - Site-specific improvement measure</t>
  </si>
  <si>
    <t>Key Performance Indicators - Climate gas emissions of the building</t>
  </si>
  <si>
    <t>Key Performance Indicators - Environmental indicators</t>
  </si>
  <si>
    <t>GWP (kg CO2-eq)</t>
  </si>
  <si>
    <t>Indicator 1</t>
  </si>
  <si>
    <t>Indicator 2</t>
  </si>
  <si>
    <t>Indicator 3</t>
  </si>
  <si>
    <t>Indicator 4</t>
  </si>
  <si>
    <t>Indicator 5</t>
  </si>
  <si>
    <t>Bundet energi (MJ)</t>
  </si>
  <si>
    <t>Percentage of available responsible sourcing points achieved, from Mat 03 calculator</t>
  </si>
  <si>
    <t>Key Performance Indicators - Mapping for component reuse</t>
  </si>
  <si>
    <t>Product group 1</t>
  </si>
  <si>
    <t>Product group 2</t>
  </si>
  <si>
    <t>Product group 3</t>
  </si>
  <si>
    <t>Product group 4</t>
  </si>
  <si>
    <t>Product group 5</t>
  </si>
  <si>
    <t>Key Performance Indicators - Reuse of external building components</t>
  </si>
  <si>
    <t>213 Grunnforsterking</t>
  </si>
  <si>
    <t>214 Støttekonstruksjoner</t>
  </si>
  <si>
    <t>215 Pelefundamentering</t>
  </si>
  <si>
    <t>216 Direkte fundamentering</t>
  </si>
  <si>
    <t>222 Søyler</t>
  </si>
  <si>
    <t>223 Bjelker</t>
  </si>
  <si>
    <t>224 Avstivende konstruksjoner</t>
  </si>
  <si>
    <t>226 Kledning og overflate</t>
  </si>
  <si>
    <t>231 Bærende yttervegger</t>
  </si>
  <si>
    <t>232 Ikke-bærende yttervegger</t>
  </si>
  <si>
    <t>233 Glassfasader</t>
  </si>
  <si>
    <t>234 Vinduer, dører, porter</t>
  </si>
  <si>
    <t>235 Utvendig kledning og overflate</t>
  </si>
  <si>
    <t>236 Innvendig overflate</t>
  </si>
  <si>
    <t>237 Solavskjerming</t>
  </si>
  <si>
    <t>241 Bærende innervegger</t>
  </si>
  <si>
    <t>242 Ikke-bærende innervegger</t>
  </si>
  <si>
    <t>243 Systemvegger, glassfelt</t>
  </si>
  <si>
    <t>244 Vinduer, dører, foldevegger</t>
  </si>
  <si>
    <t>245 Skjørt</t>
  </si>
  <si>
    <t>246 Kledning og overflate</t>
  </si>
  <si>
    <t>251 Frittbærende dekker</t>
  </si>
  <si>
    <t>252 Gulv på grunn</t>
  </si>
  <si>
    <t>253 Oppfôret gulv, påstøp</t>
  </si>
  <si>
    <t>254 Gulvsystemer</t>
  </si>
  <si>
    <t>255 Gulvoverflate</t>
  </si>
  <si>
    <t>257 Systemhimlinger</t>
  </si>
  <si>
    <t>261 Primærkonstruksjon</t>
  </si>
  <si>
    <t>262 Taktekking</t>
  </si>
  <si>
    <t>263 Glasstak, overlys, takluker</t>
  </si>
  <si>
    <t>266 Himling og innvendig overflate</t>
  </si>
  <si>
    <t>267 Prefabrikkerte takelementer</t>
  </si>
  <si>
    <t>281 Innvendige trapper</t>
  </si>
  <si>
    <t>282 Utvendige trapper</t>
  </si>
  <si>
    <t>283 Ramper</t>
  </si>
  <si>
    <t>284 Balkonger og verandaer</t>
  </si>
  <si>
    <t>285 Tribuner og amfier</t>
  </si>
  <si>
    <t>256 Himlinger</t>
  </si>
  <si>
    <t>Building component</t>
  </si>
  <si>
    <t>kg/m2 (BRA)</t>
  </si>
  <si>
    <t>tonn</t>
  </si>
  <si>
    <t>Construction waste (not incluided demolition waste)</t>
  </si>
  <si>
    <t>Demolition waste</t>
  </si>
  <si>
    <t>Number of sorted fractions</t>
  </si>
  <si>
    <t>Percentage sorted</t>
  </si>
  <si>
    <t>Construction waste and demolition waste: percentage ready for re-use or recycling of materials</t>
  </si>
  <si>
    <t>Projected quantity extraction of excavated masses</t>
  </si>
  <si>
    <t>Identify ecological possibilities and measures to meet the optimal ecological possibilities for the site</t>
  </si>
  <si>
    <t>L/sek</t>
  </si>
  <si>
    <t>d. Achieved a blue-green factor</t>
  </si>
  <si>
    <t>a. Only surface-based Sustainable Drainage Systems (SuDS)</t>
  </si>
  <si>
    <t xml:space="preserve">b. A closed watercourse within the site </t>
  </si>
  <si>
    <t>c. At least 70% of the development area</t>
  </si>
  <si>
    <t>Exemplary level credit: Carried out measure</t>
  </si>
  <si>
    <t>d.  FutureBuilt criteria</t>
  </si>
  <si>
    <t>c.  Surface water run-off a part of an irrigation system</t>
  </si>
  <si>
    <t>b.  Retention and infiltration solution</t>
  </si>
  <si>
    <t>a. Aamount of run-off water regulated by a surface water system</t>
  </si>
  <si>
    <t>flyttes til H7</t>
  </si>
  <si>
    <t>Building Performance</t>
  </si>
  <si>
    <t>0.1</t>
  </si>
  <si>
    <t>Planned completed (date): Step 2</t>
  </si>
  <si>
    <t>Planned completed (date): Step 3</t>
  </si>
  <si>
    <t>Planned completed (date): Step 4</t>
  </si>
  <si>
    <t>Planned completed (date): Step 5</t>
  </si>
  <si>
    <t>Planned completed (date): Step 6</t>
  </si>
  <si>
    <t>Plan: Energy consumption (electricity and heat) - construction process</t>
  </si>
  <si>
    <t>Plan: Energy consumption (liter of fuel) - construction process</t>
  </si>
  <si>
    <t>Measured: Energy consumption (electricity and heat) - construction process</t>
  </si>
  <si>
    <t>Measured: Energy consumption (liter of fuel) - construction process</t>
  </si>
  <si>
    <t>Energy consumption plan: Greenhouse gas emissions (total) - construction process</t>
  </si>
  <si>
    <t>Measured energy consumption: Greenhouse gas emissions (total) - construction process</t>
  </si>
  <si>
    <t>Reduction: Greenhouse gas emissions (total) - construction process</t>
  </si>
  <si>
    <t>Plan: Greenhouse gas emissions - transport of masses</t>
  </si>
  <si>
    <t>Plan: Greenhouse gas emissions - waste</t>
  </si>
  <si>
    <t>Measured values: Greenhouse gas emissions - transport of masses</t>
  </si>
  <si>
    <t>Measured values: Greenhouse gas emissions - waste</t>
  </si>
  <si>
    <t>Reduction: Greenhouse gas emissions (total) - transport of masses and waste</t>
  </si>
  <si>
    <t>endret tabell F253R253 for tax ene, wat og wst</t>
  </si>
  <si>
    <t>Show KPI</t>
  </si>
  <si>
    <t>fane</t>
  </si>
  <si>
    <t>poeng</t>
  </si>
  <si>
    <t>kpi</t>
  </si>
  <si>
    <t>felles</t>
  </si>
  <si>
    <t>kun sr</t>
  </si>
  <si>
    <t>filter vis KPI</t>
  </si>
  <si>
    <t>BREEAM ID*</t>
  </si>
  <si>
    <t>Client name*</t>
  </si>
  <si>
    <t>Assessor organisation*</t>
  </si>
  <si>
    <t>Assessor registration number*</t>
  </si>
  <si>
    <t>Building address: Street*</t>
  </si>
  <si>
    <t>Postcode*</t>
  </si>
  <si>
    <t>City/town*</t>
  </si>
  <si>
    <t>GNR</t>
  </si>
  <si>
    <t>BNR</t>
  </si>
  <si>
    <t>Building number</t>
  </si>
  <si>
    <t>Number of buildings</t>
  </si>
  <si>
    <t>Number of dwellings</t>
  </si>
  <si>
    <t>Specific sustainability measures in this assessment</t>
  </si>
  <si>
    <t>Planned completed (text and date )</t>
  </si>
  <si>
    <t>Unit</t>
  </si>
  <si>
    <t>Exemplary: % greenhouse gas emissions reported in criterion 11 are direct emission</t>
  </si>
  <si>
    <t>Noise class requirements, NS8175:2019 (category 1)</t>
  </si>
  <si>
    <t>Noise class requirements, NS8175:2019 (category 2)</t>
  </si>
  <si>
    <t>Reduction: Greenhouse gas emissions B6</t>
  </si>
  <si>
    <t>Central heating</t>
  </si>
  <si>
    <t>Biofuel</t>
  </si>
  <si>
    <t>Other energy fuel</t>
  </si>
  <si>
    <t>Specify under assessor comments/notes</t>
  </si>
  <si>
    <t>Key Performance Indicators - Climate gas emissions Reference value</t>
  </si>
  <si>
    <t>kg CO2 e/m2 BTA/yr</t>
  </si>
  <si>
    <t>Specify under comments/notes</t>
  </si>
  <si>
    <t>Acidification, AP (kg SO2 ekv)</t>
  </si>
  <si>
    <t>Photoc.ox., POCP (kg C2H4-ekv)</t>
  </si>
  <si>
    <t>Nuber of EPD's obtained for different construction products from the product groups specified in Table Mat 02-01</t>
  </si>
  <si>
    <t>Number of EPD's collected for level three product groups in the NS 3451, part 3 - 6, at least 25% of area, quantity or weight</t>
  </si>
  <si>
    <t>Number of products in table Mat 02-01 satisfies ECO product and/or the EU Ecolabel/Nordic Ecolabel criteria</t>
  </si>
  <si>
    <t>Percentage of proposed development footprint on previously developed land</t>
  </si>
  <si>
    <t>Capital cost reporting: Capital cost for the building (investeringskostnad)</t>
  </si>
  <si>
    <t>Capital cost reporting: period of analysis</t>
  </si>
  <si>
    <t>Net gain of biodiversity</t>
  </si>
  <si>
    <t>Volatile organic compound emissions (VOC) for appliances using biomass, solid fuel and wood pellets</t>
  </si>
  <si>
    <t>Particulate matter (PM10) for appliances using biomass, solid fuel and wood pellets</t>
  </si>
  <si>
    <t>mg/m3</t>
  </si>
  <si>
    <t>Key Performance Indicators - Phase norm</t>
  </si>
  <si>
    <t>Key Performance Indicators - Energy consumption from activities on the construction site</t>
  </si>
  <si>
    <t>Key Performance Indicators - Greenhouse gas emissions associated with the transport of masses and waste</t>
  </si>
  <si>
    <t>Key Performance Indicators - Indoor air quality</t>
  </si>
  <si>
    <t>Key Performance Indicators - Thermal comfort (PPD and PMV)</t>
  </si>
  <si>
    <t>Assessment Criteria - Suitably qualified acoustician</t>
  </si>
  <si>
    <t>Assessment Criteria - Sound class requirements</t>
  </si>
  <si>
    <t>Key Performance Indicators - Implemented measures for reduced transport needs</t>
  </si>
  <si>
    <t>Total Wat 01 BREEAM credits achieved</t>
  </si>
  <si>
    <t>Assessment Criteria - Standard approach data</t>
  </si>
  <si>
    <t>Assessment Criteria - Alternative approach data</t>
  </si>
  <si>
    <t>Assessment Criteria - Legal and sustainable timber</t>
  </si>
  <si>
    <t>Assessment Criteria - Enabling sustainable procurement</t>
  </si>
  <si>
    <t>Assessment Criteria - Responsible sourcing of relevant materials</t>
  </si>
  <si>
    <t>03b - Assessment Criteria - Sorting of waste (residential)</t>
  </si>
  <si>
    <t>3a - Assessment Criteria - Operational waste (non- residential and residental institutions only)</t>
  </si>
  <si>
    <t>Assessment Criteria - Previously developed land</t>
  </si>
  <si>
    <t>Assessment Criteria - Statutory obligations</t>
  </si>
  <si>
    <t>Assessment Criteria - Determining the ecological possibilities</t>
  </si>
  <si>
    <t>Assessment Criteria -  Ecological risks and opportunities</t>
  </si>
  <si>
    <t>Assessment Criteria - Managing negative impacts on ecology</t>
  </si>
  <si>
    <t>Exemplary level criteria - Significant net gain of biodiversity</t>
  </si>
  <si>
    <t>Assessment Criteria - Statutory obligations, planning and site implementation</t>
  </si>
  <si>
    <t>Assessment Criteria - Management and maintenance throughout the project</t>
  </si>
  <si>
    <t>Assessment Criteria - Landscape and ecology management plan</t>
  </si>
  <si>
    <t>Assessment Criteria - Risk assessment</t>
  </si>
  <si>
    <t>Exemplary level criteria - Wider respondse to climate change</t>
  </si>
  <si>
    <t>Assessment Criteria - Flood risk assessment</t>
  </si>
  <si>
    <t>Assessment Criteria - Resilience against flood and storm surge</t>
  </si>
  <si>
    <t xml:space="preserve">Assessment Criteria - Risk assessment and the “three step strategy” </t>
  </si>
  <si>
    <t>Exemplary level criteria - Wider approach for surface water management</t>
  </si>
  <si>
    <t>Assessment Criteria - Leak detection</t>
  </si>
  <si>
    <t>Husk også å få med at emner som har 0 poeng tilgjengelig skal gråes ut.</t>
  </si>
  <si>
    <t>Minimum requirement</t>
  </si>
  <si>
    <t>Considerate contruction: INSTA 800 and checklist A1: criterion 7-9</t>
  </si>
  <si>
    <t/>
  </si>
  <si>
    <t>Emissions from construction products: criterion 5</t>
  </si>
  <si>
    <t>Minimum req: absence of environmental toxins: criterion 1</t>
  </si>
  <si>
    <t>Waste sorting ≥70%: criterion 4</t>
  </si>
  <si>
    <t>Minimum req: agricultural area / forest: criterion 2</t>
  </si>
  <si>
    <t>Survey and evaluation: criterion 2-4</t>
  </si>
  <si>
    <t>Risk assessment: criterion 1-6</t>
  </si>
  <si>
    <t>Assessment Rating</t>
  </si>
  <si>
    <t>fiks gule celler under pre ass estimator</t>
  </si>
  <si>
    <t>Minimum req: agricultural area / forest (EU taxonomy requirement: criterion 2)</t>
  </si>
  <si>
    <t>Minimum req: absence of environmental toxins (EU taxonomy requirement: criterion 1)</t>
  </si>
  <si>
    <t>Survey and evaluation (EU taxonomy requirement: criterion 2-4)</t>
  </si>
  <si>
    <t>Risk assessment (EU taxonomy requirement: criterion 1-6)</t>
  </si>
  <si>
    <t>Design for disassembly and functional adaptability - recommendations (EU taxonomy requirement: criterion 2-3)</t>
  </si>
  <si>
    <t>Disassembly and functional adaptability - implementation (EU taxonomy requirement: criterion 4-6)</t>
  </si>
  <si>
    <t>Adaptation to EU taxonomy</t>
  </si>
  <si>
    <t>Emissions from construction products (EU taxonomy requirement: criterion 5)</t>
  </si>
  <si>
    <t>Considerate contruction: clean and tidy building process and checklist A1 (EU taxonomy requirement: criterion 7-9)</t>
  </si>
  <si>
    <t>Considerate contruction: INSTA 800 and checklist A1 (EU taxonomy requirement: criterion 7-9)</t>
  </si>
  <si>
    <t>Hea 01g</t>
  </si>
  <si>
    <t>Pre-requisite: daylight assessments</t>
  </si>
  <si>
    <t>Pre-requisite: flicker reduction and daylight calculations</t>
  </si>
  <si>
    <t>Inn 03 - Hea 02: Emissions from construction products</t>
  </si>
  <si>
    <t>Pre-requisite: limitation of light flicker and stroboscopic effect</t>
  </si>
  <si>
    <t>Hea 02: Emissions from construction products</t>
  </si>
  <si>
    <t>sjekk tabell som lager grav under asses rating</t>
  </si>
  <si>
    <t>sjekk at alle celler er låst</t>
  </si>
  <si>
    <t>sjekk alle mistekrav og NA /outstanding sov</t>
  </si>
  <si>
    <t>Assessment Criteria - Survey and evaluation (EU taxonomy requirement: criterion 2-4)</t>
  </si>
  <si>
    <t>sjekk minstekrav, blant annet feil i LE04</t>
  </si>
  <si>
    <t>Non-combustion system</t>
  </si>
  <si>
    <t>Combustion plant</t>
  </si>
  <si>
    <t>1 (innovation)</t>
  </si>
  <si>
    <t>Format resource inventory list</t>
  </si>
  <si>
    <t>Maximum run-off (L/sek) for property withput development</t>
  </si>
  <si>
    <t xml:space="preserve">Maximum run-off (L/sek) for developed property </t>
  </si>
  <si>
    <t>Maximum run-off (L/sek) for developed property in the future (RCP 8,5)</t>
  </si>
  <si>
    <t>Are the defined BREEAM performance target in the principal contractor's contract achieved?</t>
  </si>
  <si>
    <t>The reduction in NOK resulting from the chosen energy supply</t>
  </si>
  <si>
    <t>Mat 01-03 Reference values</t>
  </si>
  <si>
    <t>FutureBuilt ZERO</t>
  </si>
  <si>
    <t>Reference value is based on</t>
  </si>
  <si>
    <t>Greenhouse gas emissions - B6, delivered energy based on TEK 17 energy framework (reference)</t>
  </si>
  <si>
    <t>Exemplary level criteria - Reduction of direct greenhouse gas emissions from activities associated with the construction site</t>
  </si>
  <si>
    <t>% greenhouse gas emissions reported in criterion 11 are direct emission</t>
  </si>
  <si>
    <t>Exemplary level criteria - Highest requirements for view out</t>
  </si>
  <si>
    <t>Highest requirements for view out</t>
  </si>
  <si>
    <t>Three of the product types must meet the emission limits and requirements listed in Table Hea 02-02</t>
  </si>
  <si>
    <t>Exemplary level criteria - Minimising emissions from construction products</t>
  </si>
  <si>
    <t xml:space="preserve">Extensive biophilic design: Exemplary level design elements incorporated throughout the building </t>
  </si>
  <si>
    <t>Exemplary level criteria - Extensive biophilic design</t>
  </si>
  <si>
    <t>Exemplary level criteria - Energy management in post-occupancy stage and Plus house</t>
  </si>
  <si>
    <t>Compliant criteria energy management in post-occupancy stage</t>
  </si>
  <si>
    <t>Compliant FutureBuilt criteria for Plus House</t>
  </si>
  <si>
    <r>
      <t xml:space="preserve">Exemplary level criteria: </t>
    </r>
    <r>
      <rPr>
        <b/>
        <i/>
        <sz val="11"/>
        <color theme="1"/>
        <rFont val="Calibri"/>
        <family val="2"/>
      </rPr>
      <t>≥ 65% Improvement</t>
    </r>
  </si>
  <si>
    <t>Total Wat 01 BREEAM Exemplary level criteria achieved</t>
  </si>
  <si>
    <t>Exemplary level criteria - FutureBuilt criteria set for circular buildings</t>
  </si>
  <si>
    <t>Exemplary level criteria - Very low amounts of waste</t>
  </si>
  <si>
    <t>The amount of construction waste generated, excluding demolition and excavation waste, is less than or equal to 19 kg/m²</t>
  </si>
  <si>
    <t>Exemplary level criteria - Wider sustainability of the site</t>
  </si>
  <si>
    <t>Wider sustainability of the site (criteria 7 - 9)</t>
  </si>
  <si>
    <t>Significant net gain of biodiversity (criteria 6)</t>
  </si>
  <si>
    <t>Compliant criteria outdoor spaces (private or semiprivate)</t>
  </si>
  <si>
    <t>sjekk alle</t>
  </si>
  <si>
    <t>Emissions from construction products: product types meet the emission limits and requirements listed in Table Hea02-1 (EU taxonomy requirement: criterion 5)</t>
  </si>
  <si>
    <t>Pre-requisite: Absence of environmental toxins (EU taxonomy requirements: criterion 1)</t>
  </si>
  <si>
    <t>Site is not defined as agricultural land or arable land as regulated in the Land Act or forest as stipulated in national legislation (EU taxonomy requirements: agricultural area / forest: criterion 2)</t>
  </si>
  <si>
    <t>The ecologist’s survey and evaluation determines the site’s ecological baseline (EU taxonomy requirements: Survey and evaluation: criterion 2-4)</t>
  </si>
  <si>
    <t>Compliant criteria 1-6 risk assessment (EU taxonomy requirements: Risk assessment criterion 1-6)</t>
  </si>
  <si>
    <t>Tax</t>
  </si>
  <si>
    <t>Reduction of energy use and carbon emissions A minimum of six credits, including achievement of criterion 1–4 Passive design.</t>
  </si>
  <si>
    <t>Water consumption A minimum of three credits</t>
  </si>
  <si>
    <t xml:space="preserve">Designing for durability and resilience Criteria 3-5 </t>
  </si>
  <si>
    <t>Flooding and storm surge A minimum of one credit</t>
  </si>
  <si>
    <t xml:space="preserve">Local surface water handling Two credits </t>
  </si>
  <si>
    <t>noen som gjenstår</t>
  </si>
  <si>
    <t>0.2</t>
  </si>
  <si>
    <t>endret ene 01.  Adaptation to EU taxonomy (criterion 12) til Adaptation to EU taxonomy. Både under poeng og tax tabell</t>
  </si>
  <si>
    <t>la inn under tabell tax at hvis poeng høyere enn krav, så sort</t>
  </si>
  <si>
    <t>fikset tekst mat 07 (2-3 og 4-6)</t>
  </si>
  <si>
    <t>fikset - tatt bort tax le 03</t>
  </si>
  <si>
    <t>Fikset, celle Z91, 92, z 94 under poeng. 
2.	I manualen står det på både Ene 07 og Ene 08 at gjeldende vurderingskriterier er «Ikke tilgjengelig» om man har et uinnredet bygg. Men i pre-analysen er det mulig å velge både Ene 07 og Ene 08 selv om man har valgt prosjekt-type «New Construction (shell and core). You fix?</t>
  </si>
  <si>
    <t>H16 assessment details. Bytta ADIND_option02 uder poeng med ADIND_option02n</t>
  </si>
  <si>
    <t>N60 poeng - hea 06 short term 1 poeng. U 60 poeng er filter</t>
  </si>
  <si>
    <t>legg inn rad på LE03 - pre req under pre ass estimatro og pae availabe fo ropy</t>
  </si>
  <si>
    <t>Ene 087 indiustri er tilgjengelig</t>
  </si>
  <si>
    <t>lagt til ene 07 på industri. Både unde poeng og juster filter under aa details</t>
  </si>
  <si>
    <t>Mat 05 6-8</t>
  </si>
  <si>
    <t>grønn er format ok</t>
  </si>
  <si>
    <t>Optional KPI: Contract type (This KPI is used to map contract type)</t>
  </si>
  <si>
    <t>Share of energy consumption is unregulated?</t>
  </si>
  <si>
    <t>fractions</t>
  </si>
  <si>
    <t>Key Performance Indicators - Use of freshwater resource</t>
  </si>
  <si>
    <t>persons</t>
  </si>
  <si>
    <t>kg CO2 eq/yr/m2</t>
  </si>
  <si>
    <t>Reduced net energy measured against nationally defined nZEB</t>
  </si>
  <si>
    <t>Energy consumption - cooling</t>
  </si>
  <si>
    <r>
      <rPr>
        <b/>
        <sz val="11"/>
        <color theme="1"/>
        <rFont val="Calibri"/>
        <family val="2"/>
        <scheme val="minor"/>
      </rPr>
      <t xml:space="preserve">Plan: </t>
    </r>
    <r>
      <rPr>
        <sz val="11"/>
        <color theme="1"/>
        <rFont val="Calibri"/>
        <family val="2"/>
        <scheme val="minor"/>
      </rPr>
      <t>Electricity consumption (machinery, equipment and heat) - construction process</t>
    </r>
  </si>
  <si>
    <r>
      <rPr>
        <b/>
        <sz val="11"/>
        <color theme="1"/>
        <rFont val="Calibri"/>
        <family val="2"/>
        <scheme val="minor"/>
      </rPr>
      <t xml:space="preserve">Measured: </t>
    </r>
    <r>
      <rPr>
        <sz val="11"/>
        <color theme="1"/>
        <rFont val="Calibri"/>
        <family val="2"/>
        <scheme val="minor"/>
      </rPr>
      <t>Electricity consumption (machinery, equipment and heat) - construction process</t>
    </r>
  </si>
  <si>
    <t>ALLE KOLONNER NEDOVER MÅ SJEKKES - meye er basert på gammel manual</t>
  </si>
  <si>
    <t>Greenhouse gas emissions - B8, operational transport in building - without measures in criterion 3</t>
  </si>
  <si>
    <t>Greenhouse gas emissions - B8, operational transport in building - including measures in criterion 3</t>
  </si>
  <si>
    <t>fiks poeng hea 01 control glare og internal esxternal light</t>
  </si>
  <si>
    <t>fiks hea 02 ikke er avengig av pre req mat 05</t>
  </si>
  <si>
    <t>Assessment Criteria - Unregulated energy consuming loads</t>
  </si>
  <si>
    <t xml:space="preserve">Design for future thermal comfort – Criterion 5–8 </t>
  </si>
  <si>
    <t>Measures for surface-based water management: Carried out measure 1</t>
  </si>
  <si>
    <t>Measures for surface-based water management: Carried out measure 2</t>
  </si>
  <si>
    <t>Fikse Hea 02 excelent til very good, ref mail fra Una</t>
  </si>
  <si>
    <t>1.0</t>
  </si>
  <si>
    <t>skjules</t>
  </si>
  <si>
    <r>
      <rPr>
        <b/>
        <sz val="11"/>
        <color theme="1"/>
        <rFont val="Calibri"/>
        <family val="2"/>
        <scheme val="minor"/>
      </rPr>
      <t xml:space="preserve">Disclaimer </t>
    </r>
    <r>
      <rPr>
        <sz val="11"/>
        <color theme="1"/>
        <rFont val="Calibri"/>
        <family val="2"/>
        <scheme val="minor"/>
      </rPr>
      <t xml:space="preserve">
Thank you for downloading and using the BREEAM-NOR Versjon 6.0. New Construction Assessor’s report tool. 
If you are using the Assessor’s report tool for the first time please take a few moments to read the following: 
The Assessor’s report tool is the property of Grønn Byggallianse (NGBC) and BRE Global Ltd and is made publicly available for information purposes only. Its use for testing, assessment, certification or approval is not permitted. The results presented are indicative only of a building's potential performance and are based on a simplified, informal assessment and unverified commitments. The results do not represent a formal certified BREEAM-NOR assessment or rating and must not be communicated or presented as a BREEAM-NOR rating. NGBC/BRE Group Ltd. accepts no responsibility for any actions taken as a result of information presented or interpreted by the BREEAM-NOR  Assessor’s report tool. </t>
    </r>
  </si>
  <si>
    <r>
      <rPr>
        <b/>
        <sz val="11"/>
        <color theme="1"/>
        <rFont val="Calibri"/>
        <family val="2"/>
        <scheme val="minor"/>
      </rPr>
      <t>Starting the Assessor’s report tool</t>
    </r>
    <r>
      <rPr>
        <sz val="11"/>
        <color theme="1"/>
        <rFont val="Calibri"/>
        <family val="2"/>
        <scheme val="minor"/>
      </rPr>
      <t xml:space="preserve">
You have downloaded and opened the template version of the BREEAM-NOR v6.0 Assessor’s report tool. The template version must always be used to start a new assessment of a building. 
To begin the Assessor’s report of a building you must first define a few characteristics of the building requiring assessment in the Assessment Details worksheet. This information ensures the Assessor’s report tool selects the correct number of BREEAM-NOR issues and credits for the building. </t>
    </r>
  </si>
  <si>
    <t>BREEAM-NOR v6.0 New Construction Assessor’s report tool: Assessment Details</t>
  </si>
  <si>
    <t>BREEAM-NOR v6.0 New Construction - Assessor’s report tool</t>
  </si>
  <si>
    <t>Note: If you are starting a new Assessor’s report please ensure you are using the latest template version of the BREEAM-NOR v6.0 Assessor’s report tool and not a version used for an existing/previous Assessor’s report tool.</t>
  </si>
  <si>
    <t>This Assessor’s report tool is the property of NGBC and BRE Group Ltd. and is made publicly available for information purposes only. Its use for testing, assessment, certification or approval is not permitted. The results presented are indicative only of a building's potential performance which is based on a simplified, informal assessment and unverified commitments. The results do not represent a formal certified BREEAM-NOR assessment or rating and must not be communicated as such. NGBC/BRE Group Ltd. accepts no responsibility for any actions taken as a result of information presented or interpreted by the BREEAM-NOR Assessor’s report tool. To carry out a formal BREEAM-NOR assessment contact a licensed BREEAM-NOR Assessor organisation. A list of licensed BREEAM-NOR Assessors is available from the www.byggalliansen.no and Green Book Live website: www.greenbooklive.com</t>
  </si>
  <si>
    <t>BREEAM-NOR v6.0 New Construction - Assessor’s report tool: Assessment Issue Scoring</t>
  </si>
  <si>
    <t>BREEAM-NOR v6.0 New Construction Assessor’s report tool: Key Performance Indicators</t>
  </si>
  <si>
    <t>BREEAM-NOR v6.0 New Construction Assessor’s report tool: Rating</t>
  </si>
  <si>
    <t>BREEAM-NOR v6.0 New Construction - Assessor’s report tool: Assessment References</t>
  </si>
  <si>
    <t>BREEAM-NOR v6.0 New Construction - Assessor’s report tool: Version Control</t>
  </si>
  <si>
    <t>Description of changes/additions made to the BREEAM Assessor’s report tool</t>
  </si>
  <si>
    <t>Test version Assessor’s report tool</t>
  </si>
  <si>
    <t>Updated test version Assessor’s report tool</t>
  </si>
  <si>
    <t>Initial Release Version of BREEAM-NOR v0.6 New Construction Assessor’s report tool</t>
  </si>
  <si>
    <t>legg til yes no under adaptio to eu tax</t>
  </si>
  <si>
    <t>oppdater tabell poeng</t>
  </si>
  <si>
    <t>fiks kobling mot krav taksonomi</t>
  </si>
  <si>
    <t>I dag filtreres kriteriene for control of glare from sunlight og internal and external lighting levels, zoning and control ut for en rekke bygningskategorier. Dette skal kun filtreres ut for bygningskategori residential.</t>
  </si>
  <si>
    <t>rette opp under fane poeng</t>
  </si>
  <si>
    <r>
      <t xml:space="preserve">Poengoppnåelse i Hea 02 er avhengig av at prosjektene har gjennomført forkravet, som inkluderer kriterier for </t>
    </r>
    <r>
      <rPr>
        <i/>
        <sz val="11"/>
        <color theme="1"/>
        <rFont val="Calibri"/>
        <family val="2"/>
      </rPr>
      <t xml:space="preserve">Control plan and moisture measurements </t>
    </r>
    <r>
      <rPr>
        <sz val="11"/>
        <color theme="1"/>
        <rFont val="Calibri"/>
        <family val="2"/>
      </rPr>
      <t>(uten poengoppnåelse)</t>
    </r>
    <r>
      <rPr>
        <i/>
        <sz val="11"/>
        <color theme="1"/>
        <rFont val="Calibri"/>
        <family val="2"/>
      </rPr>
      <t xml:space="preserve">. </t>
    </r>
    <r>
      <rPr>
        <sz val="11"/>
        <color theme="1"/>
        <rFont val="Calibri"/>
        <family val="2"/>
      </rPr>
      <t xml:space="preserve">I Construction phase progression er det koblet feil, slik at det det er kriteriet </t>
    </r>
    <r>
      <rPr>
        <i/>
        <sz val="11"/>
        <color theme="1"/>
        <rFont val="Calibri"/>
        <family val="2"/>
      </rPr>
      <t xml:space="preserve">Construction under cover </t>
    </r>
    <r>
      <rPr>
        <sz val="11"/>
        <color theme="1"/>
        <rFont val="Calibri"/>
        <family val="2"/>
      </rPr>
      <t>som er knyttet til forkravet. Initial target og design phase har riktig kriterium.</t>
    </r>
  </si>
  <si>
    <t>fane poeng: AK281 rettet til 35 og ikke 36</t>
  </si>
  <si>
    <t>EU taxonomy requirements skal ikke filtreres ut for bygningskategori Residential. Kriteriet gjelder alle bygningskategorier</t>
  </si>
  <si>
    <t>Fane poeng, H254 - la til Yes/nop</t>
  </si>
  <si>
    <t>Waste sorting, reuse, and recycling</t>
  </si>
  <si>
    <t>endret BD, BF og BJ i rad 158 poeng</t>
  </si>
  <si>
    <t>endret rad 251 BD til BK poeng</t>
  </si>
  <si>
    <t>endret navn til ready for reuse &gt;70%”</t>
  </si>
  <si>
    <t>Mat 05 og Hea 02</t>
  </si>
  <si>
    <t>Sammenhengen mellom forkravet i Hea 02 og Mat 05 skurrer:</t>
  </si>
  <si>
    <t>endret i fane poeng: ai48:ak50 - lagt til =0 i OR</t>
  </si>
  <si>
    <t>Bespoke V1.6</t>
  </si>
  <si>
    <r>
      <t xml:space="preserve">Når det hakes av for «yes» under pre-requisite skal prosjektet kunne få poeng. Det er ikke nødvendig å registrere poenget for </t>
    </r>
    <r>
      <rPr>
        <i/>
        <sz val="12"/>
        <color theme="1"/>
        <rFont val="Calibri"/>
        <family val="2"/>
        <scheme val="minor"/>
      </rPr>
      <t>Control Plan and moisture measurements</t>
    </r>
    <r>
      <rPr>
        <sz val="12"/>
        <color theme="1"/>
        <rFont val="Calibri"/>
        <family val="2"/>
        <scheme val="minor"/>
      </rPr>
      <t xml:space="preserve"> i Mat 05.</t>
    </r>
  </si>
  <si>
    <t>KUN PREANALYSE</t>
  </si>
  <si>
    <t>KUN SR tool</t>
  </si>
  <si>
    <t>Omsorgsboliger skal kunne oppnå 2 poeng for Inclusive design</t>
  </si>
  <si>
    <t>Ene 01Tx2</t>
  </si>
  <si>
    <t>Waste sorting, reuse and recycling (EU taxonomy requirement: criterion 4, ready for reuse &gt;70%)</t>
  </si>
  <si>
    <t>EU taxonomy requirement: criterion 4, ready for reuse &gt;70%</t>
  </si>
  <si>
    <t>endre Total contribution to overall building score MAt 07, E898 til =Mat07_cont</t>
  </si>
  <si>
    <t>ta bort misntekrav mat 07</t>
  </si>
  <si>
    <t>Endre til Considerate contruction: clean and tidy building process and checklist A1 (EU taxonomy requirement: criterion 5-6)</t>
  </si>
  <si>
    <t>Considerate contruction: clean and tidy building process and checklist A1 (EU taxonomy requirement: criterion 5-6)</t>
  </si>
  <si>
    <t>Wat 03: WC facilities are only provided within the residential areas?</t>
  </si>
  <si>
    <t>WC facilities are only provided within the residential areas</t>
  </si>
  <si>
    <t>Staff WC etc. outside the residential areas</t>
  </si>
  <si>
    <t>lat til Wat 03: WC facilities are only provided within the residential areas? Under ass details og U118 U119 poeng</t>
  </si>
  <si>
    <t>assessment details</t>
  </si>
  <si>
    <t>R22 R23 endre til</t>
  </si>
  <si>
    <t>1.1</t>
  </si>
  <si>
    <r>
      <rPr>
        <b/>
        <sz val="11"/>
        <color rgb="FF000000"/>
        <rFont val="Calibri"/>
        <family val="2"/>
      </rPr>
      <t xml:space="preserve">Ene 01: </t>
    </r>
    <r>
      <rPr>
        <sz val="11"/>
        <color rgb="FF000000"/>
        <rFont val="Calibri"/>
        <family val="2"/>
      </rPr>
      <t xml:space="preserve">Updated adaptation to EU taxonomy
</t>
    </r>
    <r>
      <rPr>
        <b/>
        <sz val="11"/>
        <color rgb="FF000000"/>
        <rFont val="Calibri"/>
        <family val="2"/>
      </rPr>
      <t>Hea 01:</t>
    </r>
    <r>
      <rPr>
        <sz val="11"/>
        <color rgb="FF000000"/>
        <rFont val="Calibri"/>
        <family val="2"/>
      </rPr>
      <t xml:space="preserve"> Control of glare from sunlight og internal and external lighting levels, zoning and control not available for residential
</t>
    </r>
    <r>
      <rPr>
        <b/>
        <sz val="11"/>
        <color rgb="FF000000"/>
        <rFont val="Calibri"/>
        <family val="2"/>
      </rPr>
      <t>Hea 02</t>
    </r>
    <r>
      <rPr>
        <sz val="11"/>
        <color rgb="FF000000"/>
        <rFont val="Calibri"/>
        <family val="2"/>
      </rPr>
      <t xml:space="preserve">: Corrected calculation for construction phase
</t>
    </r>
    <r>
      <rPr>
        <b/>
        <sz val="11"/>
        <color rgb="FF000000"/>
        <rFont val="Calibri"/>
        <family val="2"/>
      </rPr>
      <t xml:space="preserve">Wat 01: </t>
    </r>
    <r>
      <rPr>
        <sz val="11"/>
        <color rgb="FF000000"/>
        <rFont val="Calibri"/>
        <family val="2"/>
      </rPr>
      <t xml:space="preserve">EU taxonomy available for residential
</t>
    </r>
    <r>
      <rPr>
        <b/>
        <sz val="11"/>
        <color rgb="FF000000"/>
        <rFont val="Calibri"/>
        <family val="2"/>
      </rPr>
      <t>Wst 01:</t>
    </r>
    <r>
      <rPr>
        <sz val="11"/>
        <color rgb="FF000000"/>
        <rFont val="Calibri"/>
        <family val="2"/>
      </rPr>
      <t xml:space="preserve"> Updated calculations</t>
    </r>
  </si>
  <si>
    <t>Lagt til dagslys - mulig å få 2 eller 3 poeng</t>
  </si>
  <si>
    <t>kun SR</t>
  </si>
  <si>
    <t>Man 01Tx</t>
  </si>
  <si>
    <t>EU taxonomy requirements: criterion 3</t>
  </si>
  <si>
    <t>Climate gas calculation for whole building life cycle</t>
  </si>
  <si>
    <t>Fra 02.02.24</t>
  </si>
  <si>
    <t xml:space="preserve">•	Vi må skille taksonomioppnåelse og poengoppnåelse i Man 01 "climate gas calculation for whole building life cycle". Det vil si samme løsning som i Ene 01, slikt at det først er en linje for poengoppnåelse kalt «Climate gas calculation for the whole building life cycle» og under en linje for «EU taxonomy requirements: criterion 3» som er en ja/nei-celle for taksonomioppnåelse.
</t>
  </si>
  <si>
    <t>Delt opp Man 1, endret navn under poeng</t>
  </si>
  <si>
    <t>Tatt bort tax poeng man 01</t>
  </si>
  <si>
    <t>Lagt til rad 248 under poeng</t>
  </si>
  <si>
    <t>oppdatert summarty poeng</t>
  </si>
  <si>
    <t>Considerate contruction: clean and tidy building process and checklist A1: criterion 5-6</t>
  </si>
  <si>
    <t>EU taxonomy requirements: criterion 9 and 10</t>
  </si>
  <si>
    <t>EU taxonomy requirements: criterion 2</t>
  </si>
  <si>
    <t>Design stage</t>
  </si>
  <si>
    <t>Post-construction stage</t>
  </si>
  <si>
    <t>Climate gas calculation for whole building life cycle. Early phase (step 3)</t>
  </si>
  <si>
    <t>Climate gas calculation for whole building life cycle.  Post-construction</t>
  </si>
  <si>
    <t>Reference value (building including basement)</t>
  </si>
  <si>
    <t>Transport of materials to the construction site</t>
  </si>
  <si>
    <t>Future replacements</t>
  </si>
  <si>
    <t>Reduction from reference value: Greenhouse gas emissions</t>
  </si>
  <si>
    <t>Assessment Criteria - Early stage greenhouse gas calculation</t>
  </si>
  <si>
    <t>«building life cycle stage» erstattes med "Assessment stage" og får en nedtrekksmeny med alternativene "Design stage" og "Post-construction stage"</t>
  </si>
  <si>
    <t>KPI-fanen skal ikke være låst</t>
  </si>
  <si>
    <r>
      <t>·</t>
    </r>
    <r>
      <rPr>
        <sz val="7"/>
        <color rgb="FF242424"/>
        <rFont val="Times New Roman"/>
        <family val="1"/>
      </rPr>
      <t xml:space="preserve">         </t>
    </r>
    <r>
      <rPr>
        <sz val="11"/>
        <color rgb="FF242424"/>
        <rFont val="Calibri"/>
        <family val="2"/>
        <scheme val="minor"/>
      </rPr>
      <t>Skjult spørsmålet – alltid synlig</t>
    </r>
  </si>
  <si>
    <t xml:space="preserve">Referansen til stadiene kan fjernes i KPI både i Man 01 og Mat 01. </t>
  </si>
  <si>
    <t>Wst 03b (bygningskategori residential må låses opp for å gi poeng</t>
  </si>
  <si>
    <t>Her skal det stå "Early stage greenhouse gas calculation:</t>
  </si>
  <si>
    <t>Minimum req: mapping for component reuse - criterion 1 (EU taxonomy requirement: criterion 1)</t>
  </si>
  <si>
    <r>
      <t> </t>
    </r>
    <r>
      <rPr>
        <b/>
        <sz val="11"/>
        <color theme="1"/>
        <rFont val="Calibri"/>
        <family val="2"/>
        <scheme val="minor"/>
      </rPr>
      <t>Oppdatere taksonomi-listen under Assessment rating:</t>
    </r>
  </si>
  <si>
    <r>
      <t>·</t>
    </r>
    <r>
      <rPr>
        <sz val="7"/>
        <color theme="1"/>
        <rFont val="Times New Roman"/>
        <family val="1"/>
      </rPr>
      <t xml:space="preserve">         </t>
    </r>
    <r>
      <rPr>
        <sz val="11"/>
        <color theme="1"/>
        <rFont val="Calibri"/>
        <family val="2"/>
        <scheme val="minor"/>
      </rPr>
      <t>Man 01: kun kriterium 3</t>
    </r>
  </si>
  <si>
    <r>
      <t>·</t>
    </r>
    <r>
      <rPr>
        <sz val="7"/>
        <color theme="1"/>
        <rFont val="Times New Roman"/>
        <family val="1"/>
      </rPr>
      <t xml:space="preserve">         </t>
    </r>
    <r>
      <rPr>
        <sz val="11"/>
        <color theme="1"/>
        <rFont val="Calibri"/>
        <family val="2"/>
        <scheme val="minor"/>
      </rPr>
      <t>Man 03: det skal stå 5-6 på den første</t>
    </r>
  </si>
  <si>
    <r>
      <t>·</t>
    </r>
    <r>
      <rPr>
        <sz val="7"/>
        <color theme="1"/>
        <rFont val="Times New Roman"/>
        <family val="1"/>
      </rPr>
      <t xml:space="preserve">         </t>
    </r>
    <r>
      <rPr>
        <sz val="11"/>
        <color theme="1"/>
        <rFont val="Calibri"/>
        <family val="2"/>
        <scheme val="minor"/>
      </rPr>
      <t>Ene 01: den øverste skal det stå «Energy performance: criterion 9 and 10» – må også oppdateres i assessment issue scoring</t>
    </r>
  </si>
  <si>
    <r>
      <t>·</t>
    </r>
    <r>
      <rPr>
        <sz val="7"/>
        <color theme="1"/>
        <rFont val="Times New Roman"/>
        <family val="1"/>
      </rPr>
      <t xml:space="preserve">         </t>
    </r>
    <r>
      <rPr>
        <sz val="11"/>
        <color theme="1"/>
        <rFont val="Calibri"/>
        <family val="2"/>
        <scheme val="minor"/>
      </rPr>
      <t>Wat 01: kun kriterium 2</t>
    </r>
  </si>
  <si>
    <r>
      <t>·</t>
    </r>
    <r>
      <rPr>
        <sz val="7"/>
        <color theme="1"/>
        <rFont val="Times New Roman"/>
        <family val="1"/>
      </rPr>
      <t xml:space="preserve">         </t>
    </r>
    <r>
      <rPr>
        <sz val="11"/>
        <color theme="1"/>
        <rFont val="Calibri"/>
        <family val="2"/>
        <scheme val="minor"/>
      </rPr>
      <t>Mat 06: kun kriterium 1 – her må taksonomioppnåelsen flyttes fra poenggivningen til minstekravet</t>
    </r>
  </si>
  <si>
    <r>
      <t>o</t>
    </r>
    <r>
      <rPr>
        <sz val="7"/>
        <color theme="1"/>
        <rFont val="Times New Roman"/>
        <family val="1"/>
      </rPr>
      <t xml:space="preserve">   </t>
    </r>
    <r>
      <rPr>
        <sz val="11"/>
        <color theme="1"/>
        <rFont val="Calibri"/>
        <family val="2"/>
        <scheme val="minor"/>
      </rPr>
      <t>Mapping for component reuse and implementation</t>
    </r>
  </si>
  <si>
    <r>
      <t>o</t>
    </r>
    <r>
      <rPr>
        <sz val="7"/>
        <color theme="1"/>
        <rFont val="Times New Roman"/>
        <family val="1"/>
      </rPr>
      <t xml:space="preserve">   </t>
    </r>
    <r>
      <rPr>
        <sz val="11"/>
        <color theme="1"/>
        <rFont val="Calibri"/>
        <family val="2"/>
        <scheme val="minor"/>
      </rPr>
      <t>Minimum req: mapping for component reuse - criterion 1 (EU taxonomy requirement: criterion 1)</t>
    </r>
  </si>
  <si>
    <r>
      <t>o</t>
    </r>
    <r>
      <rPr>
        <sz val="7"/>
        <color theme="1"/>
        <rFont val="Times New Roman"/>
        <family val="1"/>
      </rPr>
      <t xml:space="preserve">   </t>
    </r>
    <r>
      <rPr>
        <sz val="11"/>
        <color theme="1"/>
        <rFont val="Calibri"/>
        <family val="2"/>
        <scheme val="minor"/>
      </rPr>
      <t>Mapping for component reuse and implementation: criterion 1</t>
    </r>
  </si>
  <si>
    <t>Mapping for component reuse and implementation: criterion 1</t>
  </si>
  <si>
    <t>Design for disassembly and functional adaptability - recommendations: criterion 2-3</t>
  </si>
  <si>
    <t>Disassembly and functional adaptability - implementation: criterion 4-6</t>
  </si>
  <si>
    <t>s og c</t>
  </si>
  <si>
    <t>1.2</t>
  </si>
  <si>
    <r>
      <t xml:space="preserve">Added project type: Major Refurbishment
</t>
    </r>
    <r>
      <rPr>
        <b/>
        <sz val="11"/>
        <color rgb="FF000000"/>
        <rFont val="Calibri"/>
        <family val="2"/>
      </rPr>
      <t xml:space="preserve">Man 01: </t>
    </r>
    <r>
      <rPr>
        <sz val="11"/>
        <color rgb="FF000000"/>
        <rFont val="Calibri"/>
        <family val="2"/>
      </rPr>
      <t xml:space="preserve">Updated EU taxonomy (EU taxonomy requirements: criterion 3)
</t>
    </r>
    <r>
      <rPr>
        <b/>
        <sz val="11"/>
        <color rgb="FF000000"/>
        <rFont val="Calibri"/>
        <family val="2"/>
      </rPr>
      <t xml:space="preserve">Mat 06: </t>
    </r>
    <r>
      <rPr>
        <sz val="11"/>
        <color rgb="FF000000"/>
        <rFont val="Calibri"/>
        <family val="2"/>
      </rPr>
      <t>Updated EU taxonomy (Mapping for component reuse and implementation: criterion 1)</t>
    </r>
  </si>
  <si>
    <t>Climate gas calculation for whole building life cycle. Post-construction</t>
  </si>
  <si>
    <t>Production of materials (not including ground and foundations (21) or other electric power installations (49))</t>
  </si>
  <si>
    <r>
      <rPr>
        <b/>
        <sz val="11"/>
        <color theme="1"/>
        <rFont val="Calibri"/>
        <family val="2"/>
        <scheme val="minor"/>
      </rPr>
      <t>Reduction from reference value</t>
    </r>
    <r>
      <rPr>
        <sz val="11"/>
        <color theme="1"/>
        <rFont val="Calibri"/>
        <family val="2"/>
        <scheme val="minor"/>
      </rPr>
      <t>: Greenhouse gas emissions</t>
    </r>
  </si>
  <si>
    <t>EU taxonomy requirements: criterion 12</t>
  </si>
  <si>
    <t>Outstanding ≥85%</t>
  </si>
  <si>
    <t>Excellent ≥70%</t>
  </si>
  <si>
    <t>Very Good ≥55%</t>
  </si>
  <si>
    <t>Good ≥45%</t>
  </si>
  <si>
    <t>Pass ≥30%</t>
  </si>
  <si>
    <t>Unclassified &lt;30%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</si>
</sst>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F800]dddd\,\ mmmm\ dd\,\ yyyy"/>
    <numFmt numFmtId="166" formatCode="0.0"/>
  </numFmts>
  <fonts count="129" x14ac:knownFonts="1">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2"/>
      <color indexed="8"/>
      <name val="Calibri"/>
      <family val="2"/>
    </font>
    <font>
      <sz val="11"/>
      <color indexed="57"/>
      <name val="Calibri"/>
      <family val="2"/>
    </font>
    <font>
      <i/>
      <sz val="11"/>
      <color indexed="23"/>
      <name val="Calibri"/>
      <family val="2"/>
    </font>
    <font>
      <b/>
      <sz val="11"/>
      <color indexed="10"/>
      <name val="Calibri"/>
      <family val="2"/>
    </font>
    <font>
      <sz val="12"/>
      <color indexed="9"/>
      <name val="Calibri"/>
      <family val="2"/>
    </font>
    <font>
      <sz val="12"/>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b/>
      <sz val="14"/>
      <color rgb="FF406564"/>
      <name val="Calibri"/>
      <family val="2"/>
      <scheme val="minor"/>
    </font>
    <font>
      <b/>
      <sz val="11"/>
      <name val="Calibri"/>
      <family val="2"/>
      <scheme val="minor"/>
    </font>
    <font>
      <i/>
      <sz val="11"/>
      <color theme="1" tint="0.499984740745262"/>
      <name val="Calibri"/>
      <family val="2"/>
      <scheme val="minor"/>
    </font>
    <font>
      <b/>
      <sz val="11"/>
      <color theme="0"/>
      <name val="Calibri"/>
      <family val="2"/>
    </font>
    <font>
      <i/>
      <sz val="11"/>
      <color indexed="9"/>
      <name val="Calibri"/>
      <family val="2"/>
    </font>
    <font>
      <b/>
      <sz val="11"/>
      <color rgb="FF406564"/>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sz val="10"/>
      <color rgb="FF006100"/>
      <name val="Calibri Light"/>
      <family val="2"/>
    </font>
    <font>
      <sz val="9"/>
      <color theme="1"/>
      <name val="Calibri"/>
      <family val="2"/>
      <scheme val="minor"/>
    </font>
    <font>
      <b/>
      <sz val="9"/>
      <color theme="1"/>
      <name val="Calibri"/>
      <family val="2"/>
      <scheme val="minor"/>
    </font>
    <font>
      <sz val="11"/>
      <color theme="1"/>
      <name val="Calibri"/>
      <family val="2"/>
      <scheme val="minor"/>
    </font>
    <font>
      <b/>
      <sz val="14"/>
      <color indexed="9"/>
      <name val="Calibri"/>
      <family val="2"/>
    </font>
    <font>
      <sz val="11"/>
      <color indexed="9"/>
      <name val="Calibri"/>
      <family val="2"/>
    </font>
    <font>
      <b/>
      <sz val="11"/>
      <color indexed="10"/>
      <name val="Calibri"/>
      <family val="2"/>
    </font>
    <font>
      <b/>
      <sz val="11"/>
      <color rgb="FFFF0000"/>
      <name val="Calibri"/>
      <family val="2"/>
      <scheme val="minor"/>
    </font>
    <font>
      <b/>
      <sz val="14"/>
      <color rgb="FF3D6864"/>
      <name val="Calibri"/>
      <family val="2"/>
      <scheme val="minor"/>
    </font>
    <font>
      <b/>
      <sz val="12"/>
      <color indexed="8"/>
      <name val="Calibri"/>
      <family val="2"/>
    </font>
    <font>
      <sz val="12"/>
      <color indexed="8"/>
      <name val="Calibri"/>
      <family val="2"/>
    </font>
    <font>
      <b/>
      <sz val="12"/>
      <color indexed="9"/>
      <name val="Calibri"/>
      <family val="2"/>
    </font>
    <font>
      <sz val="12"/>
      <color indexed="9"/>
      <name val="Calibri"/>
      <family val="2"/>
    </font>
    <font>
      <sz val="12"/>
      <color rgb="FF3D6864"/>
      <name val="Calibri"/>
      <family val="2"/>
    </font>
    <font>
      <sz val="11"/>
      <color rgb="FF3D6864"/>
      <name val="Calibri"/>
      <family val="2"/>
      <scheme val="minor"/>
    </font>
    <font>
      <sz val="12"/>
      <color theme="1"/>
      <name val="Calibri"/>
      <family val="2"/>
      <scheme val="minor"/>
    </font>
    <font>
      <sz val="12"/>
      <name val="Calibri"/>
      <family val="2"/>
    </font>
    <font>
      <b/>
      <sz val="12"/>
      <color rgb="FF3D6864"/>
      <name val="Calibri"/>
      <family val="2"/>
    </font>
    <font>
      <sz val="12"/>
      <color rgb="FF406564"/>
      <name val="Calibri"/>
      <family val="2"/>
    </font>
    <font>
      <sz val="11"/>
      <name val="Calibri"/>
      <family val="2"/>
      <scheme val="minor"/>
    </font>
    <font>
      <sz val="11"/>
      <color theme="1"/>
      <name val="Calibri"/>
      <family val="2"/>
    </font>
    <font>
      <sz val="12"/>
      <color theme="1"/>
      <name val="Calibri"/>
      <family val="2"/>
    </font>
    <font>
      <sz val="9"/>
      <color indexed="8"/>
      <name val="Calibri"/>
      <family val="2"/>
    </font>
    <font>
      <sz val="9"/>
      <color theme="1"/>
      <name val="Calibri"/>
      <family val="2"/>
    </font>
    <font>
      <sz val="8"/>
      <color indexed="8"/>
      <name val="Calibri"/>
      <family val="2"/>
    </font>
    <font>
      <sz val="11"/>
      <color rgb="FF406564"/>
      <name val="Calibri"/>
      <family val="2"/>
      <scheme val="minor"/>
    </font>
    <font>
      <sz val="11"/>
      <color rgb="FFFF0000"/>
      <name val="Calibri"/>
      <family val="2"/>
    </font>
    <font>
      <b/>
      <sz val="14"/>
      <color theme="0"/>
      <name val="Calibri"/>
      <family val="2"/>
    </font>
    <font>
      <sz val="9"/>
      <color indexed="81"/>
      <name val="Tahoma"/>
      <family val="2"/>
    </font>
    <font>
      <sz val="11"/>
      <color theme="1"/>
      <name val="Calibri"/>
      <family val="2"/>
      <scheme val="minor"/>
    </font>
    <font>
      <b/>
      <sz val="16"/>
      <color theme="0"/>
      <name val="Calibri"/>
      <family val="2"/>
      <scheme val="minor"/>
    </font>
    <font>
      <sz val="11"/>
      <name val="Calibri"/>
      <family val="2"/>
    </font>
    <font>
      <b/>
      <sz val="11"/>
      <color rgb="FFFF0000"/>
      <name val="Calibri"/>
      <family val="2"/>
      <scheme val="minor"/>
    </font>
    <font>
      <b/>
      <sz val="11"/>
      <color theme="1"/>
      <name val="Calibri"/>
      <family val="2"/>
      <scheme val="minor"/>
    </font>
    <font>
      <b/>
      <sz val="16"/>
      <color theme="0"/>
      <name val="Calibri"/>
      <family val="2"/>
    </font>
    <font>
      <b/>
      <sz val="11"/>
      <color theme="0"/>
      <name val="Calibri"/>
      <family val="2"/>
      <scheme val="minor"/>
    </font>
    <font>
      <sz val="18"/>
      <color theme="0"/>
      <name val="Calibri"/>
      <family val="2"/>
      <scheme val="minor"/>
    </font>
    <font>
      <sz val="9"/>
      <name val="Calibri"/>
      <family val="2"/>
      <scheme val="minor"/>
    </font>
    <font>
      <sz val="12"/>
      <color rgb="FFFF0000"/>
      <name val="Calibri"/>
      <family val="2"/>
    </font>
    <font>
      <sz val="11"/>
      <color rgb="FF00B050"/>
      <name val="Calibri"/>
      <family val="2"/>
      <scheme val="minor"/>
    </font>
    <font>
      <sz val="11"/>
      <color rgb="FFFFFFFF"/>
      <name val="Calibri"/>
      <family val="2"/>
    </font>
    <font>
      <sz val="14"/>
      <color theme="0"/>
      <name val="Calibri"/>
      <family val="2"/>
      <scheme val="minor"/>
    </font>
    <font>
      <b/>
      <sz val="8"/>
      <color theme="0" tint="-0.34998626667073579"/>
      <name val="Calibri"/>
      <family val="2"/>
      <scheme val="minor"/>
    </font>
    <font>
      <b/>
      <sz val="10"/>
      <color rgb="FF006100"/>
      <name val="Calibri Light"/>
      <family val="2"/>
    </font>
    <font>
      <b/>
      <sz val="10"/>
      <color rgb="FFFF0000"/>
      <name val="Calibri Light"/>
      <family val="2"/>
    </font>
    <font>
      <b/>
      <sz val="8"/>
      <name val="Calibri"/>
      <family val="2"/>
      <scheme val="minor"/>
    </font>
    <font>
      <sz val="11"/>
      <color theme="0" tint="-0.14999847407452621"/>
      <name val="Calibri"/>
      <family val="2"/>
      <scheme val="minor"/>
    </font>
    <font>
      <b/>
      <sz val="11"/>
      <color theme="0" tint="-0.14999847407452621"/>
      <name val="Calibri"/>
      <family val="2"/>
      <scheme val="minor"/>
    </font>
    <font>
      <b/>
      <sz val="9"/>
      <color indexed="81"/>
      <name val="Tahoma"/>
      <family val="2"/>
    </font>
    <font>
      <b/>
      <sz val="11"/>
      <color rgb="FFFFFFFF"/>
      <name val="Calibri"/>
      <family val="2"/>
    </font>
    <font>
      <b/>
      <sz val="14"/>
      <color rgb="FFFF0000"/>
      <name val="Calibri"/>
      <family val="2"/>
    </font>
    <font>
      <sz val="9"/>
      <color rgb="FF00B050"/>
      <name val="Calibri"/>
      <family val="2"/>
      <scheme val="minor"/>
    </font>
    <font>
      <b/>
      <sz val="9"/>
      <color rgb="FF00B050"/>
      <name val="Calibri"/>
      <family val="2"/>
      <scheme val="minor"/>
    </font>
    <font>
      <sz val="11"/>
      <color rgb="FF56B146"/>
      <name val="Calibri"/>
      <family val="2"/>
      <scheme val="minor"/>
    </font>
    <font>
      <sz val="11"/>
      <color rgb="FF000000"/>
      <name val="Calibri"/>
      <family val="2"/>
    </font>
    <font>
      <sz val="11"/>
      <color indexed="23"/>
      <name val="Calibri"/>
      <family val="2"/>
    </font>
    <font>
      <b/>
      <sz val="11"/>
      <color indexed="8"/>
      <name val="Calibri"/>
      <family val="2"/>
    </font>
    <font>
      <sz val="11"/>
      <color rgb="FF3D6864"/>
      <name val="Calibri"/>
      <family val="2"/>
    </font>
    <font>
      <b/>
      <i/>
      <sz val="11"/>
      <color theme="1"/>
      <name val="Calibri"/>
      <family val="2"/>
      <scheme val="minor"/>
    </font>
    <font>
      <b/>
      <sz val="11"/>
      <color rgb="FF3D6864"/>
      <name val="Calibri"/>
      <family val="2"/>
    </font>
    <font>
      <b/>
      <i/>
      <sz val="11"/>
      <color theme="1"/>
      <name val="Calibri"/>
      <family val="2"/>
    </font>
    <font>
      <b/>
      <sz val="11"/>
      <color rgb="FFFF0000"/>
      <name val="Calibri"/>
      <family val="2"/>
    </font>
    <font>
      <sz val="8"/>
      <color indexed="81"/>
      <name val="Tahoma"/>
      <family val="2"/>
    </font>
    <font>
      <sz val="11"/>
      <color rgb="FF006100"/>
      <name val="Calibri"/>
      <family val="2"/>
      <scheme val="minor"/>
    </font>
    <font>
      <vertAlign val="subscript"/>
      <sz val="11"/>
      <color indexed="8"/>
      <name val="Calibri"/>
      <family val="2"/>
    </font>
    <font>
      <sz val="14"/>
      <color rgb="FFFF0000"/>
      <name val="Calibri"/>
      <family val="2"/>
      <scheme val="minor"/>
    </font>
    <font>
      <sz val="11"/>
      <color theme="0"/>
      <name val="Calibri"/>
      <family val="2"/>
    </font>
    <font>
      <b/>
      <u/>
      <sz val="11"/>
      <color theme="1"/>
      <name val="Calibri"/>
      <family val="2"/>
    </font>
    <font>
      <i/>
      <sz val="12"/>
      <color theme="1"/>
      <name val="Calibri"/>
      <family val="2"/>
      <scheme val="minor"/>
    </font>
    <font>
      <b/>
      <sz val="11"/>
      <color rgb="FF000000"/>
      <name val="Calibri"/>
      <family val="2"/>
    </font>
    <font>
      <sz val="11"/>
      <color rgb="FF242424"/>
      <name val="Calibri"/>
      <family val="2"/>
      <scheme val="minor"/>
    </font>
    <font>
      <sz val="10"/>
      <color rgb="FF242424"/>
      <name val="Symbol"/>
      <family val="1"/>
      <charset val="2"/>
    </font>
    <font>
      <sz val="7"/>
      <color rgb="FF242424"/>
      <name val="Times New Roman"/>
      <family val="1"/>
    </font>
    <font>
      <sz val="11"/>
      <color theme="1"/>
      <name val="Symbol"/>
      <family val="1"/>
      <charset val="2"/>
    </font>
    <font>
      <sz val="7"/>
      <color theme="1"/>
      <name val="Times New Roman"/>
      <family val="1"/>
    </font>
    <font>
      <sz val="11"/>
      <color theme="1"/>
      <name val="Courier New"/>
      <family val="3"/>
    </font>
    <font>
      <sz val="13"/>
      <color rgb="FF2F5496"/>
      <name val="Calibri Light"/>
      <family val="2"/>
    </font>
  </fonts>
  <fills count="32">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indexed="10"/>
        <bgColor indexed="64"/>
      </patternFill>
    </fill>
    <fill>
      <patternFill patternType="solid">
        <fgColor indexed="43"/>
        <bgColor indexed="64"/>
      </patternFill>
    </fill>
    <fill>
      <patternFill patternType="solid">
        <fgColor rgb="FFFF00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9.9978637043366805E-2"/>
        <bgColor indexed="64"/>
      </patternFill>
    </fill>
  </fills>
  <borders count="18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style="medium">
        <color rgb="FF3D6864"/>
      </left>
      <right style="thin">
        <color theme="0"/>
      </right>
      <top style="thin">
        <color theme="0"/>
      </top>
      <bottom style="thin">
        <color theme="0"/>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medium">
        <color indexed="64"/>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indexed="64"/>
      </left>
      <right/>
      <top style="thin">
        <color theme="0"/>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style="thin">
        <color rgb="FF3D6864"/>
      </right>
      <top/>
      <bottom/>
      <diagonal/>
    </border>
    <border>
      <left style="thin">
        <color rgb="FF3D6864"/>
      </left>
      <right/>
      <top/>
      <bottom/>
      <diagonal/>
    </border>
    <border>
      <left style="medium">
        <color rgb="FF3D6864"/>
      </left>
      <right/>
      <top style="thin">
        <color indexed="64"/>
      </top>
      <bottom style="medium">
        <color rgb="FF3D68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3D6864"/>
      </left>
      <right style="medium">
        <color rgb="FF3D6864"/>
      </right>
      <top/>
      <bottom/>
      <diagonal/>
    </border>
    <border>
      <left style="medium">
        <color rgb="FF3D6864"/>
      </left>
      <right style="medium">
        <color rgb="FF3D6864"/>
      </right>
      <top style="thin">
        <color indexed="64"/>
      </top>
      <bottom style="medium">
        <color rgb="FF3D6864"/>
      </bottom>
      <diagonal/>
    </border>
    <border>
      <left style="medium">
        <color rgb="FF3D6864"/>
      </left>
      <right style="medium">
        <color rgb="FF3D6864"/>
      </right>
      <top style="thin">
        <color indexed="64"/>
      </top>
      <bottom/>
      <diagonal/>
    </border>
    <border>
      <left style="thin">
        <color theme="0"/>
      </left>
      <right style="thin">
        <color theme="0"/>
      </right>
      <top style="thin">
        <color theme="0"/>
      </top>
      <bottom/>
      <diagonal/>
    </border>
    <border>
      <left style="thin">
        <color theme="0"/>
      </left>
      <right style="medium">
        <color rgb="FF3D6864"/>
      </right>
      <top style="thin">
        <color theme="0"/>
      </top>
      <bottom/>
      <diagonal/>
    </border>
    <border>
      <left style="thin">
        <color indexed="64"/>
      </left>
      <right style="medium">
        <color rgb="FF3D6864"/>
      </right>
      <top style="thin">
        <color theme="0"/>
      </top>
      <bottom style="thin">
        <color indexed="64"/>
      </bottom>
      <diagonal/>
    </border>
    <border>
      <left style="medium">
        <color rgb="FF3D6864"/>
      </left>
      <right style="thin">
        <color theme="0"/>
      </right>
      <top style="thin">
        <color indexed="64"/>
      </top>
      <bottom style="thin">
        <color indexed="64"/>
      </bottom>
      <diagonal/>
    </border>
    <border>
      <left style="medium">
        <color rgb="FF3D6864"/>
      </left>
      <right style="thin">
        <color theme="0"/>
      </right>
      <top style="thin">
        <color theme="0"/>
      </top>
      <bottom style="thin">
        <color indexed="64"/>
      </bottom>
      <diagonal/>
    </border>
    <border>
      <left style="medium">
        <color rgb="FF3D6864"/>
      </left>
      <right style="thin">
        <color rgb="FF3D6864"/>
      </right>
      <top style="thin">
        <color theme="0"/>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style="thin">
        <color indexed="64"/>
      </left>
      <right/>
      <top style="medium">
        <color indexed="64"/>
      </top>
      <bottom/>
      <diagonal/>
    </border>
    <border>
      <left/>
      <right style="thin">
        <color theme="0"/>
      </right>
      <top style="thin">
        <color indexed="64"/>
      </top>
      <bottom style="thin">
        <color theme="0"/>
      </bottom>
      <diagonal/>
    </border>
    <border>
      <left/>
      <right/>
      <top/>
      <bottom style="thin">
        <color theme="0" tint="-0.249977111117893"/>
      </bottom>
      <diagonal/>
    </border>
    <border>
      <left style="medium">
        <color indexed="64"/>
      </left>
      <right style="medium">
        <color indexed="64"/>
      </right>
      <top style="thin">
        <color indexed="64"/>
      </top>
      <bottom/>
      <diagonal/>
    </border>
    <border>
      <left style="thin">
        <color indexed="64"/>
      </left>
      <right style="medium">
        <color rgb="FF3D6864"/>
      </right>
      <top/>
      <bottom style="thin">
        <color indexed="64"/>
      </bottom>
      <diagonal/>
    </border>
    <border>
      <left/>
      <right style="thin">
        <color theme="1"/>
      </right>
      <top style="thin">
        <color indexed="64"/>
      </top>
      <bottom style="thin">
        <color theme="0"/>
      </bottom>
      <diagonal/>
    </border>
    <border>
      <left/>
      <right style="thin">
        <color theme="1"/>
      </right>
      <top style="thin">
        <color theme="0"/>
      </top>
      <bottom style="thin">
        <color theme="0"/>
      </bottom>
      <diagonal/>
    </border>
    <border>
      <left/>
      <right/>
      <top style="thin">
        <color theme="0"/>
      </top>
      <bottom/>
      <diagonal/>
    </border>
    <border>
      <left/>
      <right style="thin">
        <color indexed="64"/>
      </right>
      <top style="thin">
        <color theme="0"/>
      </top>
      <bottom/>
      <diagonal/>
    </border>
    <border>
      <left/>
      <right style="thin">
        <color theme="0"/>
      </right>
      <top style="thin">
        <color theme="0"/>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theme="0"/>
      </bottom>
      <diagonal/>
    </border>
    <border>
      <left style="medium">
        <color rgb="FF3D6864"/>
      </left>
      <right style="medium">
        <color rgb="FF3D6864"/>
      </right>
      <top/>
      <bottom style="medium">
        <color rgb="FF3D6864"/>
      </bottom>
      <diagonal/>
    </border>
    <border>
      <left style="medium">
        <color rgb="FF3D6864"/>
      </left>
      <right style="medium">
        <color rgb="FF3D6864"/>
      </right>
      <top style="thin">
        <color theme="0"/>
      </top>
      <bottom style="medium">
        <color rgb="FF3D6864"/>
      </bottom>
      <diagonal/>
    </border>
    <border>
      <left style="medium">
        <color rgb="FF3D6864"/>
      </left>
      <right style="medium">
        <color rgb="FF3D6864"/>
      </right>
      <top style="thin">
        <color theme="0"/>
      </top>
      <bottom style="thin">
        <color theme="0"/>
      </bottom>
      <diagonal/>
    </border>
    <border>
      <left style="medium">
        <color rgb="FF3D6864"/>
      </left>
      <right style="medium">
        <color rgb="FF3D6864"/>
      </right>
      <top style="medium">
        <color rgb="FF3D6864"/>
      </top>
      <bottom/>
      <diagonal/>
    </border>
    <border>
      <left style="medium">
        <color rgb="FF3D6864"/>
      </left>
      <right style="medium">
        <color rgb="FF3D6864"/>
      </right>
      <top style="medium">
        <color rgb="FF3D6864"/>
      </top>
      <bottom style="thin">
        <color theme="0"/>
      </bottom>
      <diagonal/>
    </border>
    <border>
      <left/>
      <right style="thin">
        <color indexed="64"/>
      </right>
      <top style="medium">
        <color indexed="64"/>
      </top>
      <bottom style="medium">
        <color indexed="64"/>
      </bottom>
      <diagonal/>
    </border>
    <border>
      <left style="medium">
        <color rgb="FF3D6864"/>
      </left>
      <right style="medium">
        <color rgb="FF3D6864"/>
      </right>
      <top style="medium">
        <color rgb="FF3D6864"/>
      </top>
      <bottom style="medium">
        <color rgb="FF3D6864"/>
      </bottom>
      <diagonal/>
    </border>
    <border>
      <left style="medium">
        <color rgb="FF3D6864"/>
      </left>
      <right style="medium">
        <color rgb="FF3D6864"/>
      </right>
      <top style="thin">
        <color theme="0"/>
      </top>
      <bottom/>
      <diagonal/>
    </border>
    <border>
      <left/>
      <right/>
      <top/>
      <bottom style="thin">
        <color rgb="FF3D6864"/>
      </bottom>
      <diagonal/>
    </border>
    <border>
      <left style="medium">
        <color rgb="FF3D6864"/>
      </left>
      <right style="medium">
        <color rgb="FF3D6864"/>
      </right>
      <top style="medium">
        <color rgb="FF3D6864"/>
      </top>
      <bottom style="thin">
        <color indexed="64"/>
      </bottom>
      <diagonal/>
    </border>
    <border>
      <left/>
      <right style="medium">
        <color indexed="64"/>
      </right>
      <top style="thin">
        <color indexed="64"/>
      </top>
      <bottom style="thin">
        <color indexed="64"/>
      </bottom>
      <diagonal/>
    </border>
    <border>
      <left/>
      <right/>
      <top style="medium">
        <color rgb="FF3D6864"/>
      </top>
      <bottom style="thin">
        <color indexed="64"/>
      </bottom>
      <diagonal/>
    </border>
    <border>
      <left style="thin">
        <color rgb="FF3D6864"/>
      </left>
      <right style="thin">
        <color rgb="FF3D6864"/>
      </right>
      <top/>
      <bottom style="thin">
        <color theme="0"/>
      </bottom>
      <diagonal/>
    </border>
    <border>
      <left style="medium">
        <color rgb="FF3D6864"/>
      </left>
      <right style="thin">
        <color indexed="64"/>
      </right>
      <top style="thin">
        <color indexed="64"/>
      </top>
      <bottom/>
      <diagonal/>
    </border>
    <border>
      <left style="thin">
        <color theme="0"/>
      </left>
      <right/>
      <top style="thin">
        <color indexed="64"/>
      </top>
      <bottom style="thin">
        <color theme="0"/>
      </bottom>
      <diagonal/>
    </border>
    <border>
      <left/>
      <right/>
      <top style="medium">
        <color rgb="FF3D6864"/>
      </top>
      <bottom/>
      <diagonal/>
    </border>
    <border>
      <left style="thin">
        <color theme="0"/>
      </left>
      <right/>
      <top/>
      <bottom/>
      <diagonal/>
    </border>
    <border>
      <left style="thin">
        <color theme="0"/>
      </left>
      <right style="thin">
        <color theme="0"/>
      </right>
      <top/>
      <bottom/>
      <diagonal/>
    </border>
    <border>
      <left/>
      <right/>
      <top/>
      <bottom style="medium">
        <color rgb="FF3D6864"/>
      </bottom>
      <diagonal/>
    </border>
    <border>
      <left/>
      <right style="thin">
        <color rgb="FF3D6864"/>
      </right>
      <top/>
      <bottom style="thin">
        <color rgb="FF3D6864"/>
      </bottom>
      <diagonal/>
    </border>
    <border>
      <left style="thin">
        <color rgb="FF3D6864"/>
      </left>
      <right style="thin">
        <color rgb="FF3D6864"/>
      </right>
      <top style="thin">
        <color theme="0"/>
      </top>
      <bottom style="thin">
        <color rgb="FF3D6864"/>
      </bottom>
      <diagonal/>
    </border>
    <border>
      <left/>
      <right style="thin">
        <color rgb="FF3D6864"/>
      </right>
      <top/>
      <bottom style="thin">
        <color indexed="64"/>
      </bottom>
      <diagonal/>
    </border>
    <border>
      <left style="thin">
        <color rgb="FF3D6864"/>
      </left>
      <right style="thin">
        <color rgb="FF3D6864"/>
      </right>
      <top style="thin">
        <color theme="0"/>
      </top>
      <bottom style="thin">
        <color theme="0"/>
      </bottom>
      <diagonal/>
    </border>
    <border>
      <left/>
      <right style="thin">
        <color rgb="FF3D6864"/>
      </right>
      <top style="thin">
        <color rgb="FF3D6864"/>
      </top>
      <bottom style="thin">
        <color indexed="64"/>
      </bottom>
      <diagonal/>
    </border>
    <border>
      <left style="thin">
        <color rgb="FF3D6864"/>
      </left>
      <right style="thin">
        <color rgb="FF3D6864"/>
      </right>
      <top style="thin">
        <color rgb="FF3D6864"/>
      </top>
      <bottom style="thin">
        <color theme="0"/>
      </bottom>
      <diagonal/>
    </border>
    <border>
      <left/>
      <right style="medium">
        <color indexed="64"/>
      </right>
      <top style="thin">
        <color indexed="64"/>
      </top>
      <bottom/>
      <diagonal/>
    </border>
    <border>
      <left/>
      <right style="medium">
        <color rgb="FF3D6864"/>
      </right>
      <top style="thin">
        <color theme="0"/>
      </top>
      <bottom style="thin">
        <color theme="0"/>
      </bottom>
      <diagonal/>
    </border>
    <border>
      <left style="medium">
        <color rgb="FF3D6864"/>
      </left>
      <right style="thin">
        <color theme="0"/>
      </right>
      <top/>
      <bottom style="thin">
        <color rgb="FF3D6864"/>
      </bottom>
      <diagonal/>
    </border>
    <border>
      <left style="thin">
        <color theme="0"/>
      </left>
      <right/>
      <top/>
      <bottom style="thin">
        <color rgb="FF3D6864"/>
      </bottom>
      <diagonal/>
    </border>
    <border>
      <left style="medium">
        <color rgb="FF3D6864"/>
      </left>
      <right/>
      <top style="thin">
        <color indexed="64"/>
      </top>
      <bottom style="thin">
        <color indexed="64"/>
      </bottom>
      <diagonal/>
    </border>
  </borders>
  <cellStyleXfs count="6">
    <xf numFmtId="0" fontId="0" fillId="0" borderId="0"/>
    <xf numFmtId="0" fontId="2" fillId="0" borderId="0"/>
    <xf numFmtId="9" fontId="6" fillId="0" borderId="0" applyFont="0" applyFill="0" applyBorder="0" applyAlignment="0" applyProtection="0"/>
    <xf numFmtId="0" fontId="52" fillId="17" borderId="0" applyNumberFormat="0" applyBorder="0" applyAlignment="0" applyProtection="0"/>
    <xf numFmtId="9" fontId="1" fillId="0" borderId="0" applyFont="0" applyFill="0" applyBorder="0" applyAlignment="0" applyProtection="0"/>
    <xf numFmtId="0" fontId="115" fillId="17" borderId="0" applyNumberFormat="0" applyBorder="0" applyAlignment="0" applyProtection="0"/>
  </cellStyleXfs>
  <cellXfs count="1622">
    <xf numFmtId="0" fontId="0" fillId="0" borderId="0" xfId="0"/>
    <xf numFmtId="0" fontId="0" fillId="2" borderId="0" xfId="0" applyFill="1" applyProtection="1">
      <protection hidden="1"/>
    </xf>
    <xf numFmtId="0" fontId="9" fillId="2" borderId="0" xfId="0" applyFont="1" applyFill="1" applyProtection="1">
      <protection hidden="1"/>
    </xf>
    <xf numFmtId="0" fontId="11" fillId="2" borderId="0" xfId="0" applyFont="1" applyFill="1" applyProtection="1">
      <protection hidden="1"/>
    </xf>
    <xf numFmtId="0" fontId="12" fillId="2" borderId="0" xfId="0" applyFont="1" applyFill="1" applyAlignment="1" applyProtection="1">
      <alignment horizontal="center" wrapText="1"/>
      <protection hidden="1"/>
    </xf>
    <xf numFmtId="0" fontId="0" fillId="2" borderId="1" xfId="0" applyFill="1" applyBorder="1" applyProtection="1">
      <protection hidden="1"/>
    </xf>
    <xf numFmtId="0" fontId="0" fillId="2" borderId="0" xfId="0" applyFill="1" applyAlignment="1" applyProtection="1">
      <alignment wrapText="1"/>
      <protection hidden="1"/>
    </xf>
    <xf numFmtId="0" fontId="9" fillId="2" borderId="0" xfId="0" applyFont="1" applyFill="1" applyAlignment="1" applyProtection="1">
      <alignment vertical="top" wrapText="1"/>
      <protection hidden="1"/>
    </xf>
    <xf numFmtId="0" fontId="0" fillId="2" borderId="0" xfId="0" applyFill="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7" fillId="2" borderId="0" xfId="0" applyFont="1" applyFill="1" applyProtection="1">
      <protection hidden="1"/>
    </xf>
    <xf numFmtId="0" fontId="17" fillId="2" borderId="0" xfId="0" applyFont="1" applyFill="1" applyAlignment="1" applyProtection="1">
      <alignment vertical="top" wrapText="1"/>
      <protection hidden="1"/>
    </xf>
    <xf numFmtId="0" fontId="17" fillId="2" borderId="0" xfId="0" applyFont="1" applyFill="1" applyAlignment="1" applyProtection="1">
      <alignment horizontal="left" vertical="top" wrapText="1"/>
      <protection hidden="1"/>
    </xf>
    <xf numFmtId="0" fontId="16" fillId="2" borderId="0" xfId="0" applyFont="1" applyFill="1" applyProtection="1">
      <protection hidden="1"/>
    </xf>
    <xf numFmtId="0" fontId="0" fillId="0" borderId="0" xfId="0" applyProtection="1">
      <protection hidden="1"/>
    </xf>
    <xf numFmtId="0" fontId="0" fillId="4" borderId="0" xfId="0" applyFill="1" applyProtection="1">
      <protection hidden="1"/>
    </xf>
    <xf numFmtId="0" fontId="23" fillId="2" borderId="0" xfId="0" applyFont="1" applyFill="1" applyProtection="1">
      <protection hidden="1"/>
    </xf>
    <xf numFmtId="0" fontId="1" fillId="4" borderId="0" xfId="0" applyFont="1" applyFill="1" applyProtection="1">
      <protection hidden="1"/>
    </xf>
    <xf numFmtId="0" fontId="11" fillId="2" borderId="0" xfId="0" applyFont="1" applyFill="1" applyAlignment="1" applyProtection="1">
      <alignment vertical="top" wrapText="1"/>
      <protection hidden="1"/>
    </xf>
    <xf numFmtId="0" fontId="4" fillId="2" borderId="0" xfId="0" applyFont="1" applyFill="1" applyAlignment="1" applyProtection="1">
      <alignment vertical="top" wrapText="1"/>
      <protection hidden="1"/>
    </xf>
    <xf numFmtId="0" fontId="0" fillId="4" borderId="0" xfId="0" applyFill="1"/>
    <xf numFmtId="0" fontId="9" fillId="8" borderId="2" xfId="0" applyFont="1" applyFill="1" applyBorder="1" applyProtection="1">
      <protection hidden="1"/>
    </xf>
    <xf numFmtId="0" fontId="16" fillId="2" borderId="0" xfId="0" applyFont="1" applyFill="1" applyAlignment="1" applyProtection="1">
      <alignment horizontal="left" vertical="top" wrapText="1"/>
      <protection hidden="1"/>
    </xf>
    <xf numFmtId="0" fontId="22" fillId="4" borderId="0" xfId="0" applyFont="1" applyFill="1" applyAlignment="1" applyProtection="1">
      <alignment horizontal="right"/>
      <protection hidden="1"/>
    </xf>
    <xf numFmtId="0" fontId="16" fillId="2" borderId="0" xfId="0" applyFont="1" applyFill="1" applyAlignment="1" applyProtection="1">
      <alignment vertical="top" wrapText="1"/>
      <protection hidden="1"/>
    </xf>
    <xf numFmtId="0" fontId="16" fillId="0" borderId="0" xfId="0" applyFont="1" applyAlignment="1" applyProtection="1">
      <alignment vertical="top" wrapText="1"/>
      <protection hidden="1"/>
    </xf>
    <xf numFmtId="0" fontId="22"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6" fillId="4" borderId="0" xfId="0" applyFont="1" applyFill="1" applyAlignment="1" applyProtection="1">
      <alignment vertical="top" wrapText="1"/>
      <protection hidden="1"/>
    </xf>
    <xf numFmtId="0" fontId="15" fillId="4" borderId="0" xfId="0" applyFont="1" applyFill="1" applyAlignment="1" applyProtection="1">
      <alignment horizontal="right" vertical="center"/>
      <protection hidden="1"/>
    </xf>
    <xf numFmtId="0" fontId="11" fillId="4" borderId="0" xfId="0" applyFont="1" applyFill="1" applyAlignment="1" applyProtection="1">
      <alignment vertical="top" wrapText="1"/>
      <protection hidden="1"/>
    </xf>
    <xf numFmtId="0" fontId="0" fillId="4" borderId="0" xfId="0" applyFill="1" applyAlignment="1" applyProtection="1">
      <alignment horizontal="left" vertical="top" wrapText="1"/>
      <protection hidden="1"/>
    </xf>
    <xf numFmtId="0" fontId="9" fillId="4" borderId="0" xfId="0" applyFont="1" applyFill="1" applyAlignment="1" applyProtection="1">
      <alignment horizontal="left" vertical="center" wrapText="1"/>
      <protection hidden="1"/>
    </xf>
    <xf numFmtId="0" fontId="32" fillId="2" borderId="0" xfId="0" applyFont="1" applyFill="1" applyProtection="1">
      <protection hidden="1"/>
    </xf>
    <xf numFmtId="0" fontId="0" fillId="2" borderId="0" xfId="0" applyFill="1" applyAlignment="1" applyProtection="1">
      <alignment vertical="top"/>
      <protection hidden="1"/>
    </xf>
    <xf numFmtId="0" fontId="32" fillId="2" borderId="0" xfId="0" applyFont="1" applyFill="1" applyAlignment="1" applyProtection="1">
      <alignment vertical="top" wrapText="1"/>
      <protection hidden="1"/>
    </xf>
    <xf numFmtId="0" fontId="22" fillId="6" borderId="31" xfId="0" applyFont="1" applyFill="1" applyBorder="1" applyProtection="1">
      <protection hidden="1"/>
    </xf>
    <xf numFmtId="0" fontId="25" fillId="4" borderId="7" xfId="0" applyFont="1" applyFill="1" applyBorder="1" applyAlignment="1" applyProtection="1">
      <alignment horizontal="center" vertical="center"/>
      <protection locked="0"/>
    </xf>
    <xf numFmtId="0" fontId="0" fillId="5" borderId="0" xfId="0" applyFill="1" applyAlignment="1" applyProtection="1">
      <alignment horizontal="center" vertical="center"/>
      <protection hidden="1"/>
    </xf>
    <xf numFmtId="0" fontId="0" fillId="2" borderId="0" xfId="0" applyFill="1" applyAlignment="1" applyProtection="1">
      <alignment horizontal="left"/>
      <protection hidden="1"/>
    </xf>
    <xf numFmtId="0" fontId="0" fillId="8" borderId="0" xfId="0" applyFill="1" applyProtection="1">
      <protection hidden="1"/>
    </xf>
    <xf numFmtId="0" fontId="7" fillId="3" borderId="27" xfId="0" applyFont="1" applyFill="1" applyBorder="1" applyAlignment="1" applyProtection="1">
      <alignment horizontal="right" vertical="center"/>
      <protection hidden="1"/>
    </xf>
    <xf numFmtId="0" fontId="7" fillId="3" borderId="27" xfId="0" applyFont="1" applyFill="1" applyBorder="1" applyAlignment="1" applyProtection="1">
      <alignment horizontal="right" vertical="center" wrapText="1"/>
      <protection hidden="1"/>
    </xf>
    <xf numFmtId="0" fontId="0" fillId="0" borderId="2" xfId="0" applyBorder="1"/>
    <xf numFmtId="0" fontId="0" fillId="12" borderId="2" xfId="0" applyFill="1" applyBorder="1"/>
    <xf numFmtId="0" fontId="0" fillId="0" borderId="5" xfId="0" applyBorder="1"/>
    <xf numFmtId="0" fontId="0" fillId="12" borderId="5" xfId="0" applyFill="1" applyBorder="1"/>
    <xf numFmtId="0" fontId="22" fillId="10" borderId="61" xfId="0" applyFont="1" applyFill="1" applyBorder="1"/>
    <xf numFmtId="0" fontId="0" fillId="0" borderId="3" xfId="0" applyBorder="1"/>
    <xf numFmtId="0" fontId="0" fillId="12" borderId="3" xfId="0" applyFill="1" applyBorder="1"/>
    <xf numFmtId="0" fontId="31" fillId="13" borderId="61" xfId="0" applyFont="1" applyFill="1" applyBorder="1"/>
    <xf numFmtId="0" fontId="22" fillId="10" borderId="49" xfId="0" applyFont="1" applyFill="1" applyBorder="1" applyAlignment="1" applyProtection="1">
      <alignment wrapText="1"/>
      <protection hidden="1"/>
    </xf>
    <xf numFmtId="0" fontId="0" fillId="8" borderId="60" xfId="0" applyFill="1" applyBorder="1"/>
    <xf numFmtId="0" fontId="22" fillId="10" borderId="10" xfId="0" applyFont="1" applyFill="1" applyBorder="1" applyAlignment="1" applyProtection="1">
      <alignment wrapText="1"/>
      <protection hidden="1"/>
    </xf>
    <xf numFmtId="0" fontId="22" fillId="6" borderId="0" xfId="0" applyFont="1" applyFill="1" applyProtection="1">
      <protection hidden="1"/>
    </xf>
    <xf numFmtId="0" fontId="0" fillId="8" borderId="61" xfId="0" applyFill="1" applyBorder="1"/>
    <xf numFmtId="0" fontId="1" fillId="5" borderId="49" xfId="0" applyFont="1" applyFill="1" applyBorder="1" applyAlignment="1" applyProtection="1">
      <alignment vertical="center"/>
      <protection hidden="1"/>
    </xf>
    <xf numFmtId="0" fontId="1" fillId="5" borderId="62" xfId="0" applyFont="1" applyFill="1" applyBorder="1" applyAlignment="1" applyProtection="1">
      <alignment horizontal="left" vertical="center"/>
      <protection hidden="1"/>
    </xf>
    <xf numFmtId="0" fontId="22" fillId="2" borderId="0" xfId="0" applyFont="1" applyFill="1" applyProtection="1">
      <protection hidden="1"/>
    </xf>
    <xf numFmtId="0" fontId="22" fillId="10" borderId="81" xfId="0" applyFont="1" applyFill="1" applyBorder="1"/>
    <xf numFmtId="0" fontId="0" fillId="8" borderId="62" xfId="0" applyFill="1" applyBorder="1"/>
    <xf numFmtId="0" fontId="0" fillId="8" borderId="2" xfId="0" applyFill="1" applyBorder="1"/>
    <xf numFmtId="0" fontId="0" fillId="8" borderId="0" xfId="0" applyFill="1"/>
    <xf numFmtId="0" fontId="0" fillId="0" borderId="15" xfId="0" applyBorder="1"/>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37" xfId="0" applyFill="1" applyBorder="1" applyAlignment="1" applyProtection="1">
      <alignment horizontal="center"/>
      <protection hidden="1"/>
    </xf>
    <xf numFmtId="0" fontId="0" fillId="2" borderId="52" xfId="0" applyFill="1" applyBorder="1" applyProtection="1">
      <protection hidden="1"/>
    </xf>
    <xf numFmtId="0" fontId="0" fillId="2" borderId="54" xfId="0" applyFill="1" applyBorder="1" applyProtection="1">
      <protection hidden="1"/>
    </xf>
    <xf numFmtId="0" fontId="0" fillId="2" borderId="55" xfId="0" applyFill="1" applyBorder="1" applyProtection="1">
      <protection hidden="1"/>
    </xf>
    <xf numFmtId="0" fontId="0" fillId="2" borderId="57" xfId="0" applyFill="1" applyBorder="1" applyProtection="1">
      <protection hidden="1"/>
    </xf>
    <xf numFmtId="0" fontId="22" fillId="6" borderId="95" xfId="0" applyFont="1" applyFill="1" applyBorder="1" applyProtection="1">
      <protection hidden="1"/>
    </xf>
    <xf numFmtId="0" fontId="25" fillId="5" borderId="31" xfId="0" applyFont="1" applyFill="1" applyBorder="1" applyAlignment="1" applyProtection="1">
      <alignment horizontal="center" vertical="center"/>
      <protection hidden="1"/>
    </xf>
    <xf numFmtId="0" fontId="3" fillId="4" borderId="2" xfId="0" applyFont="1" applyFill="1" applyBorder="1" applyProtection="1">
      <protection hidden="1"/>
    </xf>
    <xf numFmtId="0" fontId="25" fillId="4" borderId="2" xfId="0" applyFont="1" applyFill="1" applyBorder="1" applyAlignment="1" applyProtection="1">
      <alignment horizontal="left" vertical="center" wrapText="1"/>
      <protection locked="0"/>
    </xf>
    <xf numFmtId="0" fontId="25" fillId="4" borderId="4" xfId="0" applyFont="1" applyFill="1" applyBorder="1" applyAlignment="1" applyProtection="1">
      <alignment horizontal="left" vertical="center" wrapText="1"/>
      <protection locked="0"/>
    </xf>
    <xf numFmtId="0" fontId="0" fillId="4" borderId="0" xfId="0" applyFill="1" applyAlignment="1">
      <alignment wrapText="1"/>
    </xf>
    <xf numFmtId="0" fontId="25" fillId="4" borderId="40" xfId="0" applyFont="1" applyFill="1" applyBorder="1" applyAlignment="1" applyProtection="1">
      <alignment horizontal="center" vertical="center" wrapText="1"/>
      <protection locked="0"/>
    </xf>
    <xf numFmtId="0" fontId="1" fillId="5" borderId="51" xfId="0" applyFont="1" applyFill="1" applyBorder="1" applyAlignment="1" applyProtection="1">
      <alignment vertical="center"/>
      <protection hidden="1"/>
    </xf>
    <xf numFmtId="0" fontId="1" fillId="5" borderId="52" xfId="0" applyFont="1" applyFill="1" applyBorder="1" applyAlignment="1" applyProtection="1">
      <alignment vertical="center"/>
      <protection hidden="1"/>
    </xf>
    <xf numFmtId="0" fontId="1" fillId="5" borderId="56" xfId="0" applyFont="1" applyFill="1" applyBorder="1" applyAlignment="1" applyProtection="1">
      <alignment horizontal="left" vertical="center"/>
      <protection hidden="1"/>
    </xf>
    <xf numFmtId="0" fontId="1" fillId="5" borderId="57" xfId="0" applyFont="1" applyFill="1" applyBorder="1" applyAlignment="1" applyProtection="1">
      <alignment vertical="center"/>
      <protection hidden="1"/>
    </xf>
    <xf numFmtId="10" fontId="9" fillId="5" borderId="96" xfId="2" applyNumberFormat="1" applyFont="1" applyFill="1" applyBorder="1" applyAlignment="1" applyProtection="1">
      <alignment horizontal="left" vertical="center"/>
      <protection hidden="1"/>
    </xf>
    <xf numFmtId="0" fontId="31" fillId="0" borderId="0" xfId="0" applyFont="1" applyProtection="1">
      <protection hidden="1"/>
    </xf>
    <xf numFmtId="0" fontId="39" fillId="3" borderId="98" xfId="0" applyFont="1" applyFill="1" applyBorder="1" applyAlignment="1" applyProtection="1">
      <alignment horizontal="left" vertical="center"/>
      <protection hidden="1"/>
    </xf>
    <xf numFmtId="0" fontId="0" fillId="8" borderId="2" xfId="0" applyFill="1" applyBorder="1" applyProtection="1">
      <protection hidden="1"/>
    </xf>
    <xf numFmtId="0" fontId="13" fillId="0" borderId="0" xfId="0" applyFont="1" applyAlignment="1" applyProtection="1">
      <alignment vertical="center"/>
      <protection hidden="1"/>
    </xf>
    <xf numFmtId="0" fontId="0" fillId="2" borderId="0" xfId="0" applyFill="1"/>
    <xf numFmtId="0" fontId="29" fillId="2" borderId="0" xfId="0" applyFont="1" applyFill="1" applyAlignment="1">
      <alignment horizontal="left" vertical="center"/>
    </xf>
    <xf numFmtId="0" fontId="38" fillId="2" borderId="0" xfId="0" applyFont="1" applyFill="1" applyAlignment="1">
      <alignment horizontal="left" vertical="center"/>
    </xf>
    <xf numFmtId="0" fontId="11" fillId="2" borderId="1" xfId="0" applyFont="1" applyFill="1" applyBorder="1"/>
    <xf numFmtId="0" fontId="7" fillId="3" borderId="31" xfId="0" applyFont="1" applyFill="1" applyBorder="1" applyAlignment="1">
      <alignment horizontal="left" vertical="center"/>
    </xf>
    <xf numFmtId="0" fontId="7" fillId="3" borderId="39" xfId="0" applyFont="1" applyFill="1" applyBorder="1" applyAlignment="1">
      <alignment horizontal="left" vertical="center"/>
    </xf>
    <xf numFmtId="0" fontId="7" fillId="3" borderId="3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7" xfId="0" applyFont="1" applyFill="1" applyBorder="1" applyAlignment="1">
      <alignment horizontal="left" vertical="center"/>
    </xf>
    <xf numFmtId="0" fontId="7" fillId="3" borderId="41" xfId="0" applyFont="1" applyFill="1" applyBorder="1" applyAlignment="1">
      <alignment horizontal="left" vertical="center"/>
    </xf>
    <xf numFmtId="0" fontId="7" fillId="3" borderId="26" xfId="0" applyFont="1" applyFill="1" applyBorder="1" applyAlignment="1">
      <alignment horizontal="left" vertical="center"/>
    </xf>
    <xf numFmtId="0" fontId="7" fillId="3" borderId="28" xfId="0" applyFont="1" applyFill="1" applyBorder="1" applyAlignment="1">
      <alignment horizontal="left" vertical="center"/>
    </xf>
    <xf numFmtId="0" fontId="1" fillId="5" borderId="26" xfId="0" applyFont="1" applyFill="1" applyBorder="1" applyAlignment="1">
      <alignment vertical="center"/>
    </xf>
    <xf numFmtId="0" fontId="37" fillId="2" borderId="37" xfId="0" applyFont="1" applyFill="1" applyBorder="1"/>
    <xf numFmtId="0" fontId="40" fillId="2" borderId="93" xfId="0" applyFont="1" applyFill="1" applyBorder="1" applyAlignment="1">
      <alignment horizontal="left" vertical="top" wrapText="1"/>
    </xf>
    <xf numFmtId="0" fontId="28" fillId="2" borderId="0" xfId="0" applyFont="1" applyFill="1" applyAlignment="1">
      <alignment horizontal="left" wrapText="1"/>
    </xf>
    <xf numFmtId="0" fontId="28" fillId="2" borderId="94" xfId="0" applyFont="1" applyFill="1" applyBorder="1" applyAlignment="1">
      <alignment horizontal="left" wrapText="1"/>
    </xf>
    <xf numFmtId="0" fontId="28" fillId="2" borderId="94" xfId="0" applyFont="1" applyFill="1" applyBorder="1" applyAlignment="1">
      <alignment vertical="top" wrapText="1"/>
    </xf>
    <xf numFmtId="0" fontId="28" fillId="2" borderId="32" xfId="0" applyFont="1" applyFill="1" applyBorder="1" applyAlignment="1">
      <alignment horizontal="center" vertical="top" wrapText="1"/>
    </xf>
    <xf numFmtId="0" fontId="0" fillId="4" borderId="0" xfId="0" applyFill="1" applyAlignment="1">
      <alignment vertical="top" wrapText="1"/>
    </xf>
    <xf numFmtId="0" fontId="25" fillId="5" borderId="34" xfId="0" applyFont="1" applyFill="1" applyBorder="1" applyAlignment="1">
      <alignment horizontal="center" vertical="center"/>
    </xf>
    <xf numFmtId="164" fontId="25" fillId="5" borderId="24" xfId="0" applyNumberFormat="1" applyFont="1" applyFill="1" applyBorder="1" applyAlignment="1">
      <alignment horizontal="center" vertical="center"/>
    </xf>
    <xf numFmtId="0" fontId="0" fillId="5" borderId="24" xfId="0" applyFill="1" applyBorder="1" applyAlignment="1">
      <alignment vertical="center"/>
    </xf>
    <xf numFmtId="0" fontId="36" fillId="5" borderId="86" xfId="0" applyFont="1" applyFill="1" applyBorder="1" applyAlignment="1">
      <alignment horizontal="center" vertical="center"/>
    </xf>
    <xf numFmtId="164" fontId="36" fillId="5" borderId="85" xfId="0" applyNumberFormat="1" applyFont="1" applyFill="1" applyBorder="1" applyAlignment="1">
      <alignment horizontal="center" vertical="center"/>
    </xf>
    <xf numFmtId="0" fontId="0" fillId="5" borderId="26" xfId="0" applyFill="1" applyBorder="1" applyAlignment="1">
      <alignment horizontal="left" vertical="center"/>
    </xf>
    <xf numFmtId="0" fontId="25" fillId="5" borderId="26" xfId="0" applyFont="1" applyFill="1" applyBorder="1" applyAlignment="1">
      <alignment vertical="center"/>
    </xf>
    <xf numFmtId="0" fontId="0" fillId="5" borderId="26" xfId="0" applyFill="1" applyBorder="1" applyAlignment="1">
      <alignment vertical="center"/>
    </xf>
    <xf numFmtId="0" fontId="36" fillId="5" borderId="87" xfId="0" applyFont="1" applyFill="1" applyBorder="1" applyAlignment="1" applyProtection="1">
      <alignment horizontal="center" vertical="center"/>
      <protection locked="0"/>
    </xf>
    <xf numFmtId="0" fontId="0" fillId="4" borderId="0" xfId="0" applyFill="1" applyProtection="1">
      <protection locked="0"/>
    </xf>
    <xf numFmtId="0" fontId="0" fillId="4" borderId="0" xfId="0" applyFill="1" applyAlignment="1" applyProtection="1">
      <alignment wrapText="1"/>
      <protection locked="0"/>
    </xf>
    <xf numFmtId="0" fontId="25" fillId="5" borderId="90" xfId="0" applyFont="1" applyFill="1" applyBorder="1" applyAlignment="1" applyProtection="1">
      <alignment horizontal="left" vertical="center" wrapText="1"/>
      <protection locked="0"/>
    </xf>
    <xf numFmtId="0" fontId="25" fillId="5" borderId="91" xfId="0" applyFont="1" applyFill="1" applyBorder="1" applyAlignment="1" applyProtection="1">
      <alignment horizontal="center" vertical="center" wrapText="1"/>
      <protection locked="0"/>
    </xf>
    <xf numFmtId="0" fontId="25" fillId="5" borderId="90" xfId="0" applyFont="1" applyFill="1" applyBorder="1" applyAlignment="1" applyProtection="1">
      <alignment horizontal="center" vertical="center" wrapText="1"/>
      <protection locked="0"/>
    </xf>
    <xf numFmtId="0" fontId="31" fillId="0" borderId="0" xfId="0" applyFont="1"/>
    <xf numFmtId="0" fontId="22" fillId="10" borderId="49" xfId="0" applyFont="1" applyFill="1" applyBorder="1"/>
    <xf numFmtId="1" fontId="0" fillId="0" borderId="0" xfId="0" applyNumberFormat="1"/>
    <xf numFmtId="0" fontId="31" fillId="9" borderId="49" xfId="0" applyFont="1" applyFill="1" applyBorder="1" applyAlignment="1">
      <alignment horizontal="center"/>
    </xf>
    <xf numFmtId="0" fontId="0" fillId="0" borderId="0" xfId="0" applyAlignment="1">
      <alignment horizontal="right"/>
    </xf>
    <xf numFmtId="0" fontId="0" fillId="8" borderId="49" xfId="0" applyFill="1" applyBorder="1" applyAlignment="1">
      <alignment horizontal="center" vertical="center"/>
    </xf>
    <xf numFmtId="0" fontId="22" fillId="10" borderId="60" xfId="0" applyFont="1" applyFill="1" applyBorder="1"/>
    <xf numFmtId="0" fontId="22" fillId="10" borderId="69" xfId="0" applyFont="1" applyFill="1" applyBorder="1"/>
    <xf numFmtId="0" fontId="0" fillId="10" borderId="50" xfId="0" applyFill="1" applyBorder="1"/>
    <xf numFmtId="0" fontId="0" fillId="10" borderId="51" xfId="0" applyFill="1" applyBorder="1"/>
    <xf numFmtId="0" fontId="0" fillId="8" borderId="65" xfId="0" applyFill="1" applyBorder="1"/>
    <xf numFmtId="0" fontId="22" fillId="10" borderId="77" xfId="0" applyFont="1" applyFill="1" applyBorder="1"/>
    <xf numFmtId="0" fontId="22" fillId="10" borderId="78" xfId="0" applyFont="1" applyFill="1" applyBorder="1"/>
    <xf numFmtId="0" fontId="22" fillId="10" borderId="79" xfId="0" applyFont="1" applyFill="1" applyBorder="1"/>
    <xf numFmtId="0" fontId="22" fillId="10" borderId="62" xfId="0" applyFont="1" applyFill="1" applyBorder="1"/>
    <xf numFmtId="0" fontId="22" fillId="10" borderId="80" xfId="0" applyFont="1" applyFill="1" applyBorder="1"/>
    <xf numFmtId="0" fontId="22" fillId="10" borderId="63" xfId="0" applyFont="1" applyFill="1" applyBorder="1"/>
    <xf numFmtId="0" fontId="22" fillId="10" borderId="9" xfId="0" applyFont="1" applyFill="1" applyBorder="1"/>
    <xf numFmtId="0" fontId="22" fillId="10" borderId="55" xfId="0" applyFont="1" applyFill="1" applyBorder="1"/>
    <xf numFmtId="0" fontId="22" fillId="10" borderId="56" xfId="0" applyFont="1" applyFill="1" applyBorder="1"/>
    <xf numFmtId="0" fontId="0" fillId="10" borderId="57" xfId="0" applyFill="1" applyBorder="1"/>
    <xf numFmtId="0" fontId="22" fillId="10" borderId="96" xfId="0" applyFont="1" applyFill="1" applyBorder="1"/>
    <xf numFmtId="0" fontId="22" fillId="10" borderId="57" xfId="0" applyFont="1" applyFill="1" applyBorder="1"/>
    <xf numFmtId="0" fontId="0" fillId="0" borderId="58" xfId="0" applyBorder="1"/>
    <xf numFmtId="0" fontId="0" fillId="0" borderId="72" xfId="0" applyBorder="1"/>
    <xf numFmtId="0" fontId="0" fillId="0" borderId="53" xfId="0" applyBorder="1"/>
    <xf numFmtId="0" fontId="0" fillId="0" borderId="4" xfId="0" applyBorder="1"/>
    <xf numFmtId="0" fontId="0" fillId="0" borderId="66" xfId="0" applyBorder="1"/>
    <xf numFmtId="0" fontId="0" fillId="0" borderId="73" xfId="0" applyBorder="1"/>
    <xf numFmtId="10" fontId="0" fillId="12" borderId="0" xfId="0" applyNumberFormat="1" applyFill="1"/>
    <xf numFmtId="0" fontId="25" fillId="12" borderId="2" xfId="0" applyFont="1" applyFill="1" applyBorder="1" applyAlignment="1">
      <alignment horizontal="center" vertical="center"/>
    </xf>
    <xf numFmtId="1" fontId="0" fillId="12" borderId="50" xfId="0" applyNumberFormat="1" applyFill="1" applyBorder="1" applyAlignment="1">
      <alignment horizontal="right"/>
    </xf>
    <xf numFmtId="0" fontId="0" fillId="0" borderId="50" xfId="0" applyBorder="1" applyAlignment="1">
      <alignment horizontal="right"/>
    </xf>
    <xf numFmtId="0" fontId="0" fillId="0" borderId="51" xfId="0" applyBorder="1" applyAlignment="1">
      <alignment horizontal="right"/>
    </xf>
    <xf numFmtId="1" fontId="0" fillId="0" borderId="4" xfId="0" applyNumberFormat="1" applyBorder="1" applyAlignment="1">
      <alignment horizontal="right"/>
    </xf>
    <xf numFmtId="0" fontId="0" fillId="0" borderId="51" xfId="0" applyBorder="1"/>
    <xf numFmtId="0" fontId="0" fillId="0" borderId="52" xfId="0" applyBorder="1"/>
    <xf numFmtId="0" fontId="0" fillId="12" borderId="54" xfId="0" applyFill="1" applyBorder="1"/>
    <xf numFmtId="1" fontId="0" fillId="12" borderId="2" xfId="0" applyNumberFormat="1" applyFill="1" applyBorder="1" applyAlignment="1">
      <alignment horizontal="right"/>
    </xf>
    <xf numFmtId="0" fontId="0" fillId="0" borderId="53" xfId="0" applyBorder="1" applyAlignment="1">
      <alignment horizontal="right"/>
    </xf>
    <xf numFmtId="0" fontId="0" fillId="0" borderId="2" xfId="0" applyBorder="1" applyAlignment="1">
      <alignment horizontal="right"/>
    </xf>
    <xf numFmtId="1" fontId="0" fillId="0" borderId="4" xfId="0" applyNumberFormat="1" applyBorder="1"/>
    <xf numFmtId="0" fontId="0" fillId="0" borderId="54" xfId="0" applyBorder="1"/>
    <xf numFmtId="1" fontId="0" fillId="12" borderId="54" xfId="0" applyNumberFormat="1" applyFill="1" applyBorder="1" applyAlignment="1">
      <alignment horizontal="right"/>
    </xf>
    <xf numFmtId="0" fontId="0" fillId="0" borderId="4" xfId="0" applyBorder="1" applyAlignment="1">
      <alignment horizontal="right"/>
    </xf>
    <xf numFmtId="10" fontId="0" fillId="0" borderId="2" xfId="0" applyNumberFormat="1" applyBorder="1"/>
    <xf numFmtId="0" fontId="0" fillId="0" borderId="63" xfId="0" applyBorder="1"/>
    <xf numFmtId="0" fontId="0" fillId="0" borderId="55" xfId="0" applyBorder="1"/>
    <xf numFmtId="10" fontId="0" fillId="0" borderId="56" xfId="0" applyNumberFormat="1" applyBorder="1"/>
    <xf numFmtId="0" fontId="0" fillId="0" borderId="56" xfId="0" applyBorder="1"/>
    <xf numFmtId="0" fontId="0" fillId="0" borderId="75" xfId="0" applyBorder="1"/>
    <xf numFmtId="0" fontId="0" fillId="0" borderId="55" xfId="0" applyBorder="1" applyAlignment="1">
      <alignment horizontal="right"/>
    </xf>
    <xf numFmtId="0" fontId="0" fillId="0" borderId="57" xfId="0" applyBorder="1"/>
    <xf numFmtId="0" fontId="31" fillId="13" borderId="60" xfId="0" applyFont="1" applyFill="1" applyBorder="1"/>
    <xf numFmtId="0" fontId="31" fillId="13" borderId="69" xfId="0" applyFont="1" applyFill="1" applyBorder="1"/>
    <xf numFmtId="0" fontId="0" fillId="13" borderId="55" xfId="0" applyFill="1" applyBorder="1"/>
    <xf numFmtId="0" fontId="0" fillId="13" borderId="56" xfId="0" applyFill="1" applyBorder="1"/>
    <xf numFmtId="0" fontId="0" fillId="13" borderId="75" xfId="0" applyFill="1" applyBorder="1"/>
    <xf numFmtId="0" fontId="0" fillId="13" borderId="67" xfId="0" applyFill="1" applyBorder="1"/>
    <xf numFmtId="10" fontId="0" fillId="13" borderId="0" xfId="0" applyNumberFormat="1" applyFill="1"/>
    <xf numFmtId="10" fontId="0" fillId="0" borderId="0" xfId="0" applyNumberFormat="1"/>
    <xf numFmtId="0" fontId="0" fillId="9" borderId="50" xfId="0" applyFill="1" applyBorder="1"/>
    <xf numFmtId="0" fontId="0" fillId="9" borderId="51" xfId="0" applyFill="1" applyBorder="1"/>
    <xf numFmtId="0" fontId="0" fillId="0" borderId="68" xfId="0" applyBorder="1"/>
    <xf numFmtId="0" fontId="25" fillId="12" borderId="7" xfId="0" applyFont="1" applyFill="1" applyBorder="1" applyAlignment="1">
      <alignment horizontal="center" vertical="center"/>
    </xf>
    <xf numFmtId="0" fontId="0" fillId="12" borderId="50" xfId="0" applyFill="1" applyBorder="1"/>
    <xf numFmtId="0" fontId="0" fillId="12" borderId="51" xfId="0" applyFill="1" applyBorder="1"/>
    <xf numFmtId="0" fontId="0" fillId="12" borderId="52" xfId="0" applyFill="1" applyBorder="1"/>
    <xf numFmtId="0" fontId="0" fillId="0" borderId="50" xfId="0" applyBorder="1"/>
    <xf numFmtId="0" fontId="0" fillId="0" borderId="74" xfId="0" applyBorder="1"/>
    <xf numFmtId="0" fontId="0" fillId="8" borderId="53" xfId="0" applyFill="1" applyBorder="1"/>
    <xf numFmtId="0" fontId="41" fillId="0" borderId="0" xfId="0" applyFont="1"/>
    <xf numFmtId="0" fontId="0" fillId="0" borderId="56" xfId="0" applyBorder="1" applyAlignment="1">
      <alignment horizontal="right"/>
    </xf>
    <xf numFmtId="0" fontId="0" fillId="0" borderId="75" xfId="0" applyBorder="1" applyAlignment="1">
      <alignment horizontal="right"/>
    </xf>
    <xf numFmtId="0" fontId="31" fillId="13" borderId="49" xfId="0" applyFont="1" applyFill="1" applyBorder="1"/>
    <xf numFmtId="0" fontId="0" fillId="8" borderId="49" xfId="0" applyFill="1" applyBorder="1"/>
    <xf numFmtId="0" fontId="0" fillId="0" borderId="74" xfId="0" applyBorder="1" applyAlignment="1">
      <alignment horizontal="right"/>
    </xf>
    <xf numFmtId="0" fontId="0" fillId="0" borderId="82" xfId="0" applyBorder="1"/>
    <xf numFmtId="0" fontId="0" fillId="12" borderId="15" xfId="0" applyFill="1" applyBorder="1"/>
    <xf numFmtId="0" fontId="0" fillId="12" borderId="83" xfId="0" applyFill="1" applyBorder="1"/>
    <xf numFmtId="10" fontId="0" fillId="11" borderId="0" xfId="0" applyNumberFormat="1" applyFill="1"/>
    <xf numFmtId="0" fontId="0" fillId="9" borderId="65" xfId="0" applyFill="1" applyBorder="1"/>
    <xf numFmtId="0" fontId="0" fillId="9" borderId="76" xfId="0" applyFill="1" applyBorder="1"/>
    <xf numFmtId="0" fontId="0" fillId="0" borderId="7" xfId="0" applyBorder="1"/>
    <xf numFmtId="10" fontId="0" fillId="12" borderId="0" xfId="0" applyNumberFormat="1" applyFill="1" applyAlignment="1">
      <alignment horizontal="center"/>
    </xf>
    <xf numFmtId="0" fontId="0" fillId="0" borderId="67" xfId="0" applyBorder="1"/>
    <xf numFmtId="0" fontId="0" fillId="8" borderId="76" xfId="0" applyFill="1" applyBorder="1"/>
    <xf numFmtId="0" fontId="0" fillId="0" borderId="21" xfId="0" applyBorder="1"/>
    <xf numFmtId="9" fontId="0" fillId="0" borderId="22" xfId="0" applyNumberFormat="1" applyBorder="1"/>
    <xf numFmtId="0" fontId="0" fillId="0" borderId="22" xfId="0" applyBorder="1"/>
    <xf numFmtId="0" fontId="0" fillId="0" borderId="23" xfId="0" applyBorder="1"/>
    <xf numFmtId="0" fontId="0" fillId="0" borderId="16" xfId="0" applyBorder="1"/>
    <xf numFmtId="9" fontId="0" fillId="0" borderId="0" xfId="0" applyNumberFormat="1"/>
    <xf numFmtId="0" fontId="0" fillId="0" borderId="17" xfId="0" applyBorder="1"/>
    <xf numFmtId="0" fontId="22" fillId="10" borderId="0" xfId="0" applyFont="1" applyFill="1"/>
    <xf numFmtId="0" fontId="0" fillId="0" borderId="69" xfId="0" applyBorder="1"/>
    <xf numFmtId="0" fontId="0" fillId="0" borderId="70" xfId="0" applyBorder="1"/>
    <xf numFmtId="0" fontId="0" fillId="0" borderId="71" xfId="0" applyBorder="1"/>
    <xf numFmtId="0" fontId="0" fillId="0" borderId="49" xfId="0" applyBorder="1"/>
    <xf numFmtId="0" fontId="0" fillId="0" borderId="18" xfId="0" applyBorder="1"/>
    <xf numFmtId="9" fontId="0" fillId="0" borderId="19" xfId="0" applyNumberFormat="1" applyBorder="1"/>
    <xf numFmtId="0" fontId="0" fillId="0" borderId="19" xfId="0" applyBorder="1"/>
    <xf numFmtId="0" fontId="0" fillId="0" borderId="20" xfId="0" applyBorder="1"/>
    <xf numFmtId="0" fontId="0" fillId="10" borderId="0" xfId="0" applyFill="1"/>
    <xf numFmtId="0" fontId="0" fillId="2" borderId="0" xfId="0" applyFill="1" applyProtection="1">
      <protection locked="0" hidden="1"/>
    </xf>
    <xf numFmtId="0" fontId="0" fillId="2" borderId="0" xfId="0" applyFill="1" applyAlignment="1" applyProtection="1">
      <alignment wrapText="1"/>
      <protection locked="0" hidden="1"/>
    </xf>
    <xf numFmtId="0" fontId="12"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18" fillId="3" borderId="1" xfId="0" applyFont="1" applyFill="1" applyBorder="1" applyAlignment="1">
      <alignment vertical="top"/>
    </xf>
    <xf numFmtId="0" fontId="18" fillId="3" borderId="1" xfId="0" applyFont="1" applyFill="1" applyBorder="1" applyAlignment="1">
      <alignment vertical="top" wrapText="1"/>
    </xf>
    <xf numFmtId="0" fontId="28" fillId="2" borderId="108" xfId="0" applyFont="1" applyFill="1" applyBorder="1" applyAlignment="1">
      <alignment vertical="top" wrapText="1"/>
    </xf>
    <xf numFmtId="0" fontId="28" fillId="2" borderId="109" xfId="0" applyFont="1" applyFill="1" applyBorder="1" applyAlignment="1">
      <alignment horizontal="left" wrapText="1"/>
    </xf>
    <xf numFmtId="164" fontId="9" fillId="5" borderId="26" xfId="2" applyNumberFormat="1" applyFont="1" applyFill="1" applyBorder="1" applyAlignment="1" applyProtection="1">
      <alignment horizontal="left" vertical="center"/>
    </xf>
    <xf numFmtId="0" fontId="9" fillId="4" borderId="0" xfId="0" applyFont="1" applyFill="1" applyAlignment="1">
      <alignment horizontal="left" vertical="top" wrapText="1"/>
    </xf>
    <xf numFmtId="0" fontId="22" fillId="6" borderId="0" xfId="0" applyFont="1" applyFill="1" applyAlignment="1" applyProtection="1">
      <alignment horizontal="right"/>
      <protection hidden="1"/>
    </xf>
    <xf numFmtId="0" fontId="25" fillId="5" borderId="90" xfId="0" applyFont="1" applyFill="1" applyBorder="1" applyAlignment="1" applyProtection="1">
      <alignment horizontal="right" vertical="center"/>
      <protection hidden="1"/>
    </xf>
    <xf numFmtId="0" fontId="0" fillId="2" borderId="0" xfId="0" applyFill="1" applyAlignment="1" applyProtection="1">
      <alignment horizontal="right"/>
      <protection hidden="1"/>
    </xf>
    <xf numFmtId="0" fontId="0" fillId="2" borderId="0" xfId="0" applyFill="1" applyAlignment="1" applyProtection="1">
      <alignment horizontal="left" wrapText="1"/>
      <protection hidden="1"/>
    </xf>
    <xf numFmtId="0" fontId="25" fillId="4" borderId="6" xfId="0" applyFont="1" applyFill="1" applyBorder="1" applyAlignment="1" applyProtection="1">
      <alignment horizontal="left" vertical="center"/>
      <protection locked="0"/>
    </xf>
    <xf numFmtId="0" fontId="25" fillId="5" borderId="90" xfId="0" applyFont="1" applyFill="1" applyBorder="1" applyAlignment="1" applyProtection="1">
      <alignment horizontal="center" vertical="center"/>
      <protection locked="0"/>
    </xf>
    <xf numFmtId="0" fontId="28" fillId="2" borderId="1" xfId="0" applyFont="1" applyFill="1" applyBorder="1" applyAlignment="1">
      <alignment vertical="top" wrapText="1"/>
    </xf>
    <xf numFmtId="0" fontId="28" fillId="2" borderId="109" xfId="0" applyFont="1" applyFill="1" applyBorder="1" applyAlignment="1">
      <alignment horizontal="center" vertical="top" wrapText="1"/>
    </xf>
    <xf numFmtId="0" fontId="47" fillId="4" borderId="1" xfId="0" applyFont="1" applyFill="1" applyBorder="1" applyAlignment="1">
      <alignment horizontal="left"/>
    </xf>
    <xf numFmtId="0" fontId="45" fillId="4" borderId="0" xfId="0" applyFont="1" applyFill="1" applyAlignment="1" applyProtection="1">
      <alignment horizontal="left"/>
      <protection hidden="1"/>
    </xf>
    <xf numFmtId="0" fontId="23" fillId="0" borderId="2" xfId="0" applyFont="1" applyBorder="1"/>
    <xf numFmtId="0" fontId="23" fillId="0" borderId="5" xfId="0" applyFont="1" applyBorder="1"/>
    <xf numFmtId="1" fontId="0" fillId="12" borderId="51" xfId="0" applyNumberFormat="1" applyFill="1" applyBorder="1" applyAlignment="1">
      <alignment horizontal="right"/>
    </xf>
    <xf numFmtId="1" fontId="0" fillId="12" borderId="53" xfId="0" applyNumberFormat="1" applyFill="1" applyBorder="1" applyAlignment="1">
      <alignment horizontal="right"/>
    </xf>
    <xf numFmtId="1" fontId="0" fillId="12" borderId="53" xfId="0" applyNumberFormat="1" applyFill="1" applyBorder="1"/>
    <xf numFmtId="1" fontId="0" fillId="12" borderId="2" xfId="0" applyNumberFormat="1" applyFill="1" applyBorder="1"/>
    <xf numFmtId="1" fontId="0" fillId="12" borderId="54" xfId="0" applyNumberFormat="1" applyFill="1" applyBorder="1"/>
    <xf numFmtId="1" fontId="0" fillId="12" borderId="55" xfId="0" applyNumberFormat="1" applyFill="1" applyBorder="1"/>
    <xf numFmtId="1" fontId="0" fillId="12" borderId="56" xfId="0" applyNumberFormat="1" applyFill="1" applyBorder="1"/>
    <xf numFmtId="1" fontId="0" fillId="12" borderId="57" xfId="0" applyNumberFormat="1" applyFill="1" applyBorder="1"/>
    <xf numFmtId="1" fontId="0" fillId="12" borderId="50" xfId="0" applyNumberFormat="1" applyFill="1" applyBorder="1"/>
    <xf numFmtId="1" fontId="0" fillId="12" borderId="51" xfId="0" applyNumberFormat="1" applyFill="1" applyBorder="1"/>
    <xf numFmtId="1" fontId="0" fillId="12" borderId="52" xfId="0" applyNumberFormat="1" applyFill="1" applyBorder="1"/>
    <xf numFmtId="1" fontId="0" fillId="12" borderId="55" xfId="0" applyNumberFormat="1" applyFill="1" applyBorder="1" applyAlignment="1">
      <alignment horizontal="right"/>
    </xf>
    <xf numFmtId="1" fontId="0" fillId="12" borderId="56" xfId="0" applyNumberFormat="1" applyFill="1" applyBorder="1" applyAlignment="1">
      <alignment horizontal="right"/>
    </xf>
    <xf numFmtId="1" fontId="0" fillId="12" borderId="57" xfId="0" applyNumberFormat="1" applyFill="1" applyBorder="1" applyAlignment="1">
      <alignment horizontal="right"/>
    </xf>
    <xf numFmtId="1" fontId="23" fillId="12" borderId="2" xfId="0" applyNumberFormat="1" applyFont="1" applyFill="1" applyBorder="1" applyAlignment="1">
      <alignment horizontal="right"/>
    </xf>
    <xf numFmtId="1" fontId="23" fillId="12" borderId="53" xfId="0" applyNumberFormat="1" applyFont="1" applyFill="1" applyBorder="1"/>
    <xf numFmtId="1" fontId="23" fillId="12" borderId="2" xfId="0" applyNumberFormat="1" applyFont="1" applyFill="1" applyBorder="1"/>
    <xf numFmtId="1" fontId="23" fillId="12" borderId="54" xfId="0" applyNumberFormat="1" applyFont="1" applyFill="1" applyBorder="1"/>
    <xf numFmtId="1" fontId="23" fillId="12" borderId="51" xfId="0" applyNumberFormat="1" applyFont="1" applyFill="1" applyBorder="1"/>
    <xf numFmtId="0" fontId="0" fillId="12" borderId="112" xfId="0" applyFill="1" applyBorder="1"/>
    <xf numFmtId="0" fontId="0" fillId="12" borderId="81" xfId="0" applyFill="1" applyBorder="1"/>
    <xf numFmtId="0" fontId="0" fillId="12" borderId="113" xfId="0" applyFill="1" applyBorder="1"/>
    <xf numFmtId="0" fontId="0" fillId="12" borderId="53" xfId="0" applyFill="1" applyBorder="1"/>
    <xf numFmtId="0" fontId="22" fillId="6" borderId="42" xfId="0" applyFont="1" applyFill="1" applyBorder="1" applyAlignment="1">
      <alignment vertical="center"/>
    </xf>
    <xf numFmtId="0" fontId="22" fillId="6" borderId="42" xfId="0" applyFont="1" applyFill="1" applyBorder="1" applyAlignment="1" applyProtection="1">
      <alignment vertical="center"/>
      <protection locked="0"/>
    </xf>
    <xf numFmtId="0" fontId="22" fillId="6" borderId="45" xfId="0" applyFont="1" applyFill="1" applyBorder="1" applyAlignment="1" applyProtection="1">
      <alignment horizontal="left" vertical="center"/>
      <protection locked="0"/>
    </xf>
    <xf numFmtId="0" fontId="0" fillId="5" borderId="24" xfId="0" applyFill="1" applyBorder="1" applyAlignment="1">
      <alignment horizontal="left" vertical="center"/>
    </xf>
    <xf numFmtId="0" fontId="0" fillId="4" borderId="0" xfId="0" applyFill="1" applyAlignment="1" applyProtection="1">
      <alignment vertical="center" wrapText="1"/>
      <protection locked="0"/>
    </xf>
    <xf numFmtId="0" fontId="31" fillId="5" borderId="85" xfId="0" applyFont="1"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0" fontId="27" fillId="6" borderId="0" xfId="0" applyFont="1" applyFill="1" applyAlignment="1">
      <alignment horizontal="left" vertical="center"/>
    </xf>
    <xf numFmtId="0" fontId="22" fillId="6" borderId="42" xfId="0" applyFont="1" applyFill="1" applyBorder="1" applyAlignment="1" applyProtection="1">
      <alignment horizontal="left" vertical="center" wrapText="1"/>
      <protection locked="0"/>
    </xf>
    <xf numFmtId="0" fontId="22" fillId="6" borderId="36" xfId="0" applyFont="1" applyFill="1" applyBorder="1" applyAlignment="1" applyProtection="1">
      <alignment vertical="center"/>
      <protection locked="0"/>
    </xf>
    <xf numFmtId="0" fontId="22" fillId="6" borderId="45" xfId="0" applyFont="1" applyFill="1" applyBorder="1" applyAlignment="1" applyProtection="1">
      <alignment horizontal="left" vertical="center" wrapText="1"/>
      <protection locked="0"/>
    </xf>
    <xf numFmtId="0" fontId="22" fillId="6" borderId="1" xfId="0" applyFont="1" applyFill="1" applyBorder="1" applyAlignment="1" applyProtection="1">
      <alignment horizontal="left" vertical="center" wrapText="1"/>
      <protection locked="0"/>
    </xf>
    <xf numFmtId="0" fontId="22" fillId="6" borderId="1" xfId="0" applyFont="1" applyFill="1" applyBorder="1" applyAlignment="1" applyProtection="1">
      <alignment vertical="center" wrapText="1"/>
      <protection locked="0"/>
    </xf>
    <xf numFmtId="0" fontId="22" fillId="6" borderId="48" xfId="0" applyFont="1" applyFill="1" applyBorder="1" applyAlignment="1" applyProtection="1">
      <alignment vertical="center" wrapText="1"/>
      <protection locked="0"/>
    </xf>
    <xf numFmtId="0" fontId="0" fillId="2" borderId="0" xfId="0" applyFill="1" applyAlignment="1">
      <alignment horizontal="left" vertical="center" wrapText="1"/>
    </xf>
    <xf numFmtId="0" fontId="27" fillId="6" borderId="0" xfId="0" applyFont="1" applyFill="1" applyAlignment="1">
      <alignment horizontal="left" vertical="center" wrapText="1"/>
    </xf>
    <xf numFmtId="164" fontId="22" fillId="6" borderId="42" xfId="0" applyNumberFormat="1" applyFont="1" applyFill="1" applyBorder="1" applyAlignment="1">
      <alignment vertical="center"/>
    </xf>
    <xf numFmtId="0" fontId="22" fillId="6" borderId="46" xfId="0" applyFont="1" applyFill="1" applyBorder="1" applyAlignment="1" applyProtection="1">
      <alignment horizontal="left" vertical="center" wrapText="1"/>
      <protection locked="0"/>
    </xf>
    <xf numFmtId="0" fontId="22" fillId="6" borderId="42" xfId="0" applyFont="1" applyFill="1" applyBorder="1" applyAlignment="1" applyProtection="1">
      <alignment vertical="center" wrapText="1"/>
      <protection locked="0"/>
    </xf>
    <xf numFmtId="0" fontId="22" fillId="6" borderId="43" xfId="0" applyFont="1" applyFill="1" applyBorder="1" applyAlignment="1" applyProtection="1">
      <alignment vertical="center" wrapText="1"/>
      <protection locked="0"/>
    </xf>
    <xf numFmtId="0" fontId="0" fillId="5" borderId="24" xfId="0" applyFill="1" applyBorder="1" applyAlignment="1">
      <alignment horizontal="left" vertical="center" wrapText="1"/>
    </xf>
    <xf numFmtId="0" fontId="31" fillId="5" borderId="85" xfId="0" applyFont="1" applyFill="1" applyBorder="1" applyAlignment="1">
      <alignment horizontal="left" vertical="center" wrapText="1"/>
    </xf>
    <xf numFmtId="0" fontId="0" fillId="0" borderId="2" xfId="0" applyBorder="1" applyProtection="1">
      <protection hidden="1"/>
    </xf>
    <xf numFmtId="0" fontId="25" fillId="4" borderId="71" xfId="0" applyFont="1" applyFill="1" applyBorder="1" applyAlignment="1" applyProtection="1">
      <alignment horizontal="center" vertical="center"/>
      <protection locked="0"/>
    </xf>
    <xf numFmtId="0" fontId="0" fillId="18" borderId="69" xfId="0" applyFill="1" applyBorder="1"/>
    <xf numFmtId="0" fontId="0" fillId="18" borderId="71" xfId="0" applyFill="1" applyBorder="1"/>
    <xf numFmtId="0" fontId="22" fillId="10" borderId="74" xfId="0" applyFont="1" applyFill="1" applyBorder="1"/>
    <xf numFmtId="0" fontId="50" fillId="4" borderId="0" xfId="0" applyFont="1" applyFill="1" applyAlignment="1">
      <alignment horizontal="left" vertical="top" wrapText="1"/>
    </xf>
    <xf numFmtId="0" fontId="49" fillId="0" borderId="0" xfId="0" applyFont="1"/>
    <xf numFmtId="0" fontId="50" fillId="0" borderId="0" xfId="0" applyFont="1"/>
    <xf numFmtId="0" fontId="53" fillId="0" borderId="115" xfId="0" applyFont="1" applyBorder="1" applyProtection="1">
      <protection locked="0"/>
    </xf>
    <xf numFmtId="0" fontId="53" fillId="0" borderId="119" xfId="0" applyFont="1" applyBorder="1" applyProtection="1">
      <protection locked="0"/>
    </xf>
    <xf numFmtId="49" fontId="53" fillId="0" borderId="119" xfId="0" applyNumberFormat="1" applyFont="1" applyBorder="1" applyProtection="1">
      <protection locked="0"/>
    </xf>
    <xf numFmtId="0" fontId="53" fillId="0" borderId="116" xfId="0" applyFont="1" applyBorder="1" applyAlignment="1" applyProtection="1">
      <alignment horizontal="left" vertical="center"/>
      <protection locked="0"/>
    </xf>
    <xf numFmtId="0" fontId="53" fillId="0" borderId="117" xfId="0" applyFont="1" applyBorder="1" applyAlignment="1" applyProtection="1">
      <alignment horizontal="left" vertical="center"/>
      <protection locked="0"/>
    </xf>
    <xf numFmtId="0" fontId="53" fillId="0" borderId="118" xfId="0" applyFont="1" applyBorder="1" applyAlignment="1" applyProtection="1">
      <alignment horizontal="left" vertical="center"/>
      <protection locked="0"/>
    </xf>
    <xf numFmtId="0" fontId="50" fillId="19" borderId="60" xfId="0" applyFont="1" applyFill="1" applyBorder="1" applyAlignment="1">
      <alignment horizontal="center" vertical="top" wrapText="1"/>
    </xf>
    <xf numFmtId="0" fontId="50" fillId="19" borderId="61" xfId="0" applyFont="1" applyFill="1" applyBorder="1" applyAlignment="1">
      <alignment horizontal="left" vertical="top" wrapText="1"/>
    </xf>
    <xf numFmtId="0" fontId="50" fillId="19" borderId="62" xfId="0" applyFont="1" applyFill="1" applyBorder="1" applyAlignment="1">
      <alignment horizontal="center" vertical="top" wrapText="1"/>
    </xf>
    <xf numFmtId="0" fontId="0" fillId="8" borderId="105" xfId="0" applyFill="1" applyBorder="1"/>
    <xf numFmtId="0" fontId="0" fillId="8" borderId="69" xfId="0" applyFill="1" applyBorder="1"/>
    <xf numFmtId="0" fontId="0" fillId="0" borderId="0" xfId="0" applyAlignment="1">
      <alignment horizontal="center" vertical="center"/>
    </xf>
    <xf numFmtId="0" fontId="0" fillId="18" borderId="5" xfId="0" applyFill="1" applyBorder="1"/>
    <xf numFmtId="0" fontId="25" fillId="5" borderId="91" xfId="0" applyFont="1" applyFill="1" applyBorder="1" applyAlignment="1" applyProtection="1">
      <alignment horizontal="left" vertical="center" wrapText="1"/>
      <protection locked="0"/>
    </xf>
    <xf numFmtId="0" fontId="36" fillId="5" borderId="123" xfId="0" applyFont="1" applyFill="1" applyBorder="1" applyAlignment="1" applyProtection="1">
      <alignment horizontal="center" vertical="center" wrapText="1"/>
      <protection locked="0"/>
    </xf>
    <xf numFmtId="0" fontId="14" fillId="2" borderId="0" xfId="0" applyFont="1" applyFill="1" applyAlignment="1" applyProtection="1">
      <alignment vertical="center" wrapText="1"/>
      <protection hidden="1"/>
    </xf>
    <xf numFmtId="0" fontId="55" fillId="2" borderId="0" xfId="0" applyFont="1" applyFill="1" applyProtection="1">
      <protection hidden="1"/>
    </xf>
    <xf numFmtId="0" fontId="55" fillId="4" borderId="0" xfId="0" applyFont="1" applyFill="1"/>
    <xf numFmtId="0" fontId="56" fillId="3" borderId="0" xfId="0" applyFont="1" applyFill="1" applyAlignment="1" applyProtection="1">
      <alignment horizontal="left" vertical="top"/>
      <protection hidden="1"/>
    </xf>
    <xf numFmtId="0" fontId="57" fillId="3" borderId="0" xfId="0" applyFont="1" applyFill="1" applyProtection="1">
      <protection hidden="1"/>
    </xf>
    <xf numFmtId="0" fontId="56" fillId="3" borderId="0" xfId="0" applyFont="1" applyFill="1" applyAlignment="1" applyProtection="1">
      <alignment vertical="top"/>
      <protection hidden="1"/>
    </xf>
    <xf numFmtId="0" fontId="58" fillId="2" borderId="0" xfId="0" applyFont="1" applyFill="1" applyAlignment="1" applyProtection="1">
      <alignment horizontal="left" vertical="center"/>
      <protection hidden="1"/>
    </xf>
    <xf numFmtId="0" fontId="59" fillId="2" borderId="0" xfId="0" applyFont="1" applyFill="1" applyAlignment="1" applyProtection="1">
      <alignment horizontal="right"/>
      <protection hidden="1"/>
    </xf>
    <xf numFmtId="0" fontId="60" fillId="4" borderId="1" xfId="0" applyFont="1" applyFill="1" applyBorder="1" applyAlignment="1" applyProtection="1">
      <alignment horizontal="left"/>
      <protection hidden="1"/>
    </xf>
    <xf numFmtId="0" fontId="61" fillId="2" borderId="1" xfId="0" applyFont="1" applyFill="1" applyBorder="1" applyProtection="1">
      <protection hidden="1"/>
    </xf>
    <xf numFmtId="0" fontId="62" fillId="2" borderId="1" xfId="0" applyFont="1" applyFill="1" applyBorder="1" applyProtection="1">
      <protection hidden="1"/>
    </xf>
    <xf numFmtId="0" fontId="63" fillId="3" borderId="6" xfId="0" applyFont="1" applyFill="1" applyBorder="1" applyProtection="1">
      <protection hidden="1"/>
    </xf>
    <xf numFmtId="0" fontId="64" fillId="3" borderId="6" xfId="0" applyFont="1" applyFill="1" applyBorder="1" applyAlignment="1" applyProtection="1">
      <alignment horizontal="right" vertical="center"/>
      <protection hidden="1"/>
    </xf>
    <xf numFmtId="0" fontId="62" fillId="5" borderId="6" xfId="0" applyFont="1" applyFill="1" applyBorder="1" applyAlignment="1" applyProtection="1">
      <alignment horizontal="left" vertical="center"/>
      <protection hidden="1"/>
    </xf>
    <xf numFmtId="0" fontId="55" fillId="5" borderId="6" xfId="0" applyFont="1" applyFill="1" applyBorder="1" applyProtection="1">
      <protection hidden="1"/>
    </xf>
    <xf numFmtId="0" fontId="55" fillId="5" borderId="7" xfId="0" applyFont="1" applyFill="1" applyBorder="1" applyProtection="1">
      <protection hidden="1"/>
    </xf>
    <xf numFmtId="0" fontId="55" fillId="5" borderId="4" xfId="0" applyFont="1" applyFill="1" applyBorder="1" applyAlignment="1" applyProtection="1">
      <alignment horizontal="right"/>
      <protection hidden="1"/>
    </xf>
    <xf numFmtId="0" fontId="55" fillId="5" borderId="6" xfId="0" applyFont="1" applyFill="1" applyBorder="1" applyAlignment="1" applyProtection="1">
      <alignment horizontal="right"/>
      <protection hidden="1"/>
    </xf>
    <xf numFmtId="14" fontId="55" fillId="5" borderId="7" xfId="0" applyNumberFormat="1" applyFont="1" applyFill="1" applyBorder="1" applyAlignment="1" applyProtection="1">
      <alignment horizontal="left"/>
      <protection hidden="1"/>
    </xf>
    <xf numFmtId="0" fontId="63" fillId="4" borderId="0" xfId="0" applyFont="1" applyFill="1" applyProtection="1">
      <protection hidden="1"/>
    </xf>
    <xf numFmtId="0" fontId="64" fillId="4" borderId="0" xfId="0" applyFont="1" applyFill="1" applyAlignment="1" applyProtection="1">
      <alignment horizontal="right" vertical="center"/>
      <protection hidden="1"/>
    </xf>
    <xf numFmtId="0" fontId="55" fillId="4" borderId="0" xfId="0" applyFont="1" applyFill="1" applyProtection="1">
      <protection hidden="1"/>
    </xf>
    <xf numFmtId="0" fontId="64" fillId="3" borderId="99" xfId="0" applyFont="1" applyFill="1" applyBorder="1" applyProtection="1">
      <protection hidden="1"/>
    </xf>
    <xf numFmtId="0" fontId="64" fillId="3" borderId="104" xfId="0" applyFont="1" applyFill="1" applyBorder="1" applyAlignment="1" applyProtection="1">
      <alignment horizontal="right" vertical="center"/>
      <protection hidden="1"/>
    </xf>
    <xf numFmtId="0" fontId="64" fillId="3" borderId="42" xfId="0" applyFont="1" applyFill="1" applyBorder="1" applyProtection="1">
      <protection hidden="1"/>
    </xf>
    <xf numFmtId="0" fontId="64" fillId="3" borderId="107" xfId="0" applyFont="1" applyFill="1" applyBorder="1" applyAlignment="1" applyProtection="1">
      <alignment horizontal="right" vertical="center"/>
      <protection hidden="1"/>
    </xf>
    <xf numFmtId="0" fontId="64" fillId="3" borderId="27" xfId="0" applyFont="1" applyFill="1" applyBorder="1" applyProtection="1">
      <protection hidden="1"/>
    </xf>
    <xf numFmtId="0" fontId="64" fillId="3" borderId="101" xfId="0" applyFont="1" applyFill="1" applyBorder="1" applyAlignment="1" applyProtection="1">
      <alignment horizontal="right" vertical="center"/>
      <protection hidden="1"/>
    </xf>
    <xf numFmtId="0" fontId="64" fillId="3" borderId="100" xfId="0" applyFont="1" applyFill="1" applyBorder="1" applyProtection="1">
      <protection hidden="1"/>
    </xf>
    <xf numFmtId="0" fontId="55" fillId="2" borderId="11" xfId="0" applyFont="1" applyFill="1" applyBorder="1" applyProtection="1">
      <protection hidden="1"/>
    </xf>
    <xf numFmtId="0" fontId="55" fillId="2" borderId="50" xfId="0" applyFont="1" applyFill="1" applyBorder="1" applyProtection="1">
      <protection hidden="1"/>
    </xf>
    <xf numFmtId="0" fontId="55" fillId="4" borderId="51" xfId="0" applyFont="1" applyFill="1" applyBorder="1"/>
    <xf numFmtId="0" fontId="55" fillId="2" borderId="53" xfId="0" applyFont="1" applyFill="1" applyBorder="1" applyProtection="1">
      <protection hidden="1"/>
    </xf>
    <xf numFmtId="9" fontId="55" fillId="4" borderId="2" xfId="0" applyNumberFormat="1" applyFont="1" applyFill="1" applyBorder="1"/>
    <xf numFmtId="0" fontId="55" fillId="2" borderId="55" xfId="0" applyFont="1" applyFill="1" applyBorder="1" applyProtection="1">
      <protection hidden="1"/>
    </xf>
    <xf numFmtId="9" fontId="55" fillId="4" borderId="56" xfId="0" applyNumberFormat="1" applyFont="1" applyFill="1" applyBorder="1"/>
    <xf numFmtId="0" fontId="55" fillId="4" borderId="12" xfId="0" applyFont="1" applyFill="1" applyBorder="1"/>
    <xf numFmtId="0" fontId="69" fillId="2" borderId="15" xfId="0" applyFont="1" applyFill="1" applyBorder="1" applyAlignment="1" applyProtection="1">
      <alignment horizontal="center" wrapText="1"/>
      <protection hidden="1"/>
    </xf>
    <xf numFmtId="0" fontId="70" fillId="2" borderId="14" xfId="0" applyFont="1" applyFill="1" applyBorder="1" applyAlignment="1" applyProtection="1">
      <alignment horizontal="left"/>
      <protection hidden="1"/>
    </xf>
    <xf numFmtId="0" fontId="65" fillId="2" borderId="1" xfId="0" applyFont="1" applyFill="1" applyBorder="1" applyAlignment="1" applyProtection="1">
      <alignment horizontal="center" wrapText="1"/>
      <protection hidden="1"/>
    </xf>
    <xf numFmtId="0" fontId="65" fillId="2" borderId="14" xfId="0" applyFont="1" applyFill="1" applyBorder="1" applyAlignment="1" applyProtection="1">
      <alignment horizontal="center" wrapText="1"/>
      <protection hidden="1"/>
    </xf>
    <xf numFmtId="0" fontId="64" fillId="3" borderId="25" xfId="0" applyFont="1" applyFill="1" applyBorder="1" applyAlignment="1" applyProtection="1">
      <alignment horizontal="left" vertical="center"/>
      <protection hidden="1"/>
    </xf>
    <xf numFmtId="0" fontId="62" fillId="5" borderId="30" xfId="0" applyFont="1" applyFill="1" applyBorder="1" applyAlignment="1" applyProtection="1">
      <alignment horizontal="center" vertical="center"/>
      <protection hidden="1"/>
    </xf>
    <xf numFmtId="0" fontId="55" fillId="4" borderId="105" xfId="0" applyFont="1" applyFill="1" applyBorder="1"/>
    <xf numFmtId="0" fontId="64" fillId="3" borderId="24" xfId="0" applyFont="1" applyFill="1" applyBorder="1" applyAlignment="1" applyProtection="1">
      <alignment horizontal="left" vertical="center"/>
      <protection hidden="1"/>
    </xf>
    <xf numFmtId="0" fontId="62" fillId="5" borderId="26" xfId="0" applyFont="1" applyFill="1" applyBorder="1" applyAlignment="1" applyProtection="1">
      <alignment horizontal="center" vertical="center"/>
      <protection hidden="1"/>
    </xf>
    <xf numFmtId="0" fontId="55" fillId="4" borderId="106" xfId="0" applyFont="1" applyFill="1" applyBorder="1"/>
    <xf numFmtId="0" fontId="55" fillId="4" borderId="53" xfId="0" applyFont="1" applyFill="1" applyBorder="1"/>
    <xf numFmtId="0" fontId="55" fillId="4" borderId="2" xfId="0" applyFont="1" applyFill="1" applyBorder="1"/>
    <xf numFmtId="0" fontId="71" fillId="4" borderId="0" xfId="0" applyFont="1" applyFill="1"/>
    <xf numFmtId="0" fontId="63" fillId="3" borderId="24" xfId="0" applyFont="1" applyFill="1" applyBorder="1" applyAlignment="1" applyProtection="1">
      <alignment horizontal="left" vertical="center"/>
      <protection hidden="1"/>
    </xf>
    <xf numFmtId="0" fontId="61" fillId="5" borderId="26" xfId="0" applyFont="1" applyFill="1" applyBorder="1" applyAlignment="1" applyProtection="1">
      <alignment horizontal="center" vertical="center"/>
      <protection hidden="1"/>
    </xf>
    <xf numFmtId="0" fontId="64" fillId="3" borderId="27" xfId="0" applyFont="1" applyFill="1" applyBorder="1" applyAlignment="1" applyProtection="1">
      <alignment horizontal="left" vertical="center"/>
      <protection hidden="1"/>
    </xf>
    <xf numFmtId="0" fontId="64" fillId="3" borderId="27" xfId="0" applyFont="1" applyFill="1" applyBorder="1" applyAlignment="1" applyProtection="1">
      <alignment horizontal="right" vertical="center"/>
      <protection hidden="1"/>
    </xf>
    <xf numFmtId="0" fontId="55" fillId="0" borderId="0" xfId="0" applyFont="1"/>
    <xf numFmtId="0" fontId="72" fillId="2" borderId="0" xfId="0" applyFont="1" applyFill="1" applyAlignment="1" applyProtection="1">
      <alignment horizontal="center" wrapText="1"/>
      <protection hidden="1"/>
    </xf>
    <xf numFmtId="0" fontId="73" fillId="2" borderId="0" xfId="0" applyFont="1" applyFill="1" applyAlignment="1" applyProtection="1">
      <alignment horizontal="left" vertical="top" wrapText="1"/>
      <protection hidden="1"/>
    </xf>
    <xf numFmtId="0" fontId="74" fillId="4" borderId="0" xfId="0" applyFont="1" applyFill="1" applyProtection="1">
      <protection hidden="1"/>
    </xf>
    <xf numFmtId="0" fontId="75" fillId="4" borderId="0" xfId="0" applyFont="1" applyFill="1" applyProtection="1">
      <protection hidden="1"/>
    </xf>
    <xf numFmtId="0" fontId="55" fillId="2" borderId="1" xfId="0" applyFont="1" applyFill="1" applyBorder="1" applyProtection="1">
      <protection hidden="1"/>
    </xf>
    <xf numFmtId="0" fontId="76" fillId="4" borderId="0" xfId="0" applyFont="1" applyFill="1" applyProtection="1">
      <protection hidden="1"/>
    </xf>
    <xf numFmtId="0" fontId="68" fillId="4" borderId="0" xfId="0" applyFont="1" applyFill="1" applyAlignment="1">
      <alignment vertical="top" wrapText="1"/>
    </xf>
    <xf numFmtId="0" fontId="78" fillId="2" borderId="21" xfId="0" applyFont="1" applyFill="1" applyBorder="1" applyProtection="1">
      <protection hidden="1"/>
    </xf>
    <xf numFmtId="0" fontId="78" fillId="2" borderId="22" xfId="0" applyFont="1" applyFill="1" applyBorder="1" applyProtection="1">
      <protection hidden="1"/>
    </xf>
    <xf numFmtId="10" fontId="78" fillId="2" borderId="23" xfId="0" applyNumberFormat="1" applyFont="1" applyFill="1" applyBorder="1" applyProtection="1">
      <protection hidden="1"/>
    </xf>
    <xf numFmtId="0" fontId="78" fillId="2" borderId="16" xfId="0" applyFont="1" applyFill="1" applyBorder="1" applyProtection="1">
      <protection hidden="1"/>
    </xf>
    <xf numFmtId="0" fontId="78" fillId="2" borderId="0" xfId="0" applyFont="1" applyFill="1" applyProtection="1">
      <protection hidden="1"/>
    </xf>
    <xf numFmtId="10" fontId="78" fillId="2" borderId="17" xfId="0" applyNumberFormat="1" applyFont="1" applyFill="1" applyBorder="1" applyProtection="1">
      <protection hidden="1"/>
    </xf>
    <xf numFmtId="0" fontId="78" fillId="2" borderId="18" xfId="0" applyFont="1" applyFill="1" applyBorder="1" applyProtection="1">
      <protection hidden="1"/>
    </xf>
    <xf numFmtId="0" fontId="78" fillId="2" borderId="19" xfId="0" applyFont="1" applyFill="1" applyBorder="1" applyProtection="1">
      <protection hidden="1"/>
    </xf>
    <xf numFmtId="10" fontId="78" fillId="2" borderId="20" xfId="0" applyNumberFormat="1" applyFont="1" applyFill="1" applyBorder="1" applyProtection="1">
      <protection hidden="1"/>
    </xf>
    <xf numFmtId="0" fontId="30" fillId="3" borderId="0" xfId="0" applyFont="1" applyFill="1" applyAlignment="1" applyProtection="1">
      <alignment vertical="top"/>
      <protection hidden="1"/>
    </xf>
    <xf numFmtId="0" fontId="30" fillId="3" borderId="0" xfId="0" applyFont="1" applyFill="1" applyAlignment="1" applyProtection="1">
      <alignment vertical="top" wrapText="1"/>
      <protection hidden="1"/>
    </xf>
    <xf numFmtId="0" fontId="14" fillId="4" borderId="0" xfId="0" applyFont="1" applyFill="1" applyAlignment="1" applyProtection="1">
      <alignment vertical="center" wrapText="1"/>
      <protection hidden="1"/>
    </xf>
    <xf numFmtId="0" fontId="45" fillId="2" borderId="0" xfId="0" applyFont="1" applyFill="1" applyAlignment="1" applyProtection="1">
      <alignment horizontal="right"/>
      <protection hidden="1"/>
    </xf>
    <xf numFmtId="0" fontId="24" fillId="4" borderId="1" xfId="0" applyFont="1" applyFill="1" applyBorder="1" applyAlignment="1" applyProtection="1">
      <alignment horizontal="left"/>
      <protection hidden="1"/>
    </xf>
    <xf numFmtId="0" fontId="7" fillId="3" borderId="126"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7" fillId="3" borderId="97" xfId="0" applyFont="1" applyFill="1" applyBorder="1" applyAlignment="1" applyProtection="1">
      <alignment horizontal="right" vertical="center"/>
      <protection hidden="1"/>
    </xf>
    <xf numFmtId="0" fontId="7" fillId="3" borderId="124" xfId="0" applyFont="1" applyFill="1" applyBorder="1" applyAlignment="1" applyProtection="1">
      <alignment horizontal="right" vertical="center"/>
      <protection hidden="1"/>
    </xf>
    <xf numFmtId="0" fontId="7" fillId="3" borderId="98" xfId="0" applyFont="1" applyFill="1" applyBorder="1" applyAlignment="1" applyProtection="1">
      <alignment horizontal="right" vertical="center"/>
      <protection hidden="1"/>
    </xf>
    <xf numFmtId="0" fontId="1" fillId="0" borderId="2" xfId="0" applyFont="1" applyBorder="1" applyAlignment="1" applyProtection="1">
      <alignment vertical="center" wrapText="1"/>
      <protection locked="0" hidden="1"/>
    </xf>
    <xf numFmtId="0" fontId="9" fillId="0" borderId="2" xfId="0" applyFont="1" applyBorder="1" applyAlignment="1" applyProtection="1">
      <alignment vertical="center" wrapText="1"/>
      <protection locked="0" hidden="1"/>
    </xf>
    <xf numFmtId="0" fontId="7" fillId="3" borderId="125" xfId="0" applyFont="1" applyFill="1" applyBorder="1" applyAlignment="1" applyProtection="1">
      <alignment horizontal="right" vertical="center"/>
      <protection hidden="1"/>
    </xf>
    <xf numFmtId="0" fontId="7" fillId="3" borderId="110" xfId="0" applyFont="1" applyFill="1" applyBorder="1" applyAlignment="1" applyProtection="1">
      <alignment horizontal="right" vertical="center"/>
      <protection hidden="1"/>
    </xf>
    <xf numFmtId="0" fontId="7" fillId="3" borderId="9" xfId="0" applyFont="1" applyFill="1" applyBorder="1" applyAlignment="1" applyProtection="1">
      <alignment horizontal="right" vertical="center"/>
      <protection hidden="1"/>
    </xf>
    <xf numFmtId="0" fontId="7" fillId="3" borderId="127" xfId="0" applyFont="1" applyFill="1" applyBorder="1" applyAlignment="1" applyProtection="1">
      <alignment horizontal="right" vertical="top"/>
      <protection hidden="1"/>
    </xf>
    <xf numFmtId="0" fontId="1" fillId="0" borderId="15" xfId="0" applyFont="1" applyBorder="1" applyAlignment="1" applyProtection="1">
      <alignment vertical="center" wrapText="1"/>
      <protection locked="0" hidden="1"/>
    </xf>
    <xf numFmtId="0" fontId="0" fillId="0" borderId="0" xfId="0" applyProtection="1">
      <protection locked="0" hidden="1"/>
    </xf>
    <xf numFmtId="0" fontId="7" fillId="3" borderId="126" xfId="0" applyFont="1" applyFill="1" applyBorder="1" applyAlignment="1" applyProtection="1">
      <alignment horizontal="right" vertical="top"/>
      <protection hidden="1"/>
    </xf>
    <xf numFmtId="0" fontId="7" fillId="3" borderId="124" xfId="0" applyFont="1" applyFill="1" applyBorder="1" applyAlignment="1" applyProtection="1">
      <alignment horizontal="right" vertical="top"/>
      <protection hidden="1"/>
    </xf>
    <xf numFmtId="0" fontId="7" fillId="3" borderId="98" xfId="0" applyFont="1" applyFill="1" applyBorder="1" applyAlignment="1" applyProtection="1">
      <alignment horizontal="right" vertical="center" wrapText="1"/>
      <protection hidden="1"/>
    </xf>
    <xf numFmtId="0" fontId="7" fillId="3" borderId="97" xfId="0" applyFont="1" applyFill="1" applyBorder="1" applyAlignment="1" applyProtection="1">
      <alignment horizontal="right" wrapText="1"/>
      <protection hidden="1"/>
    </xf>
    <xf numFmtId="0" fontId="1" fillId="0" borderId="2" xfId="0" applyFont="1" applyBorder="1" applyAlignment="1" applyProtection="1">
      <alignment vertical="center" wrapText="1"/>
      <protection hidden="1"/>
    </xf>
    <xf numFmtId="0" fontId="7" fillId="3" borderId="125" xfId="0" applyFont="1" applyFill="1" applyBorder="1" applyAlignment="1" applyProtection="1">
      <alignment horizontal="right" vertical="top" wrapText="1"/>
      <protection hidden="1"/>
    </xf>
    <xf numFmtId="0" fontId="7" fillId="3" borderId="110" xfId="0" applyFont="1" applyFill="1" applyBorder="1" applyAlignment="1" applyProtection="1">
      <alignment horizontal="right" vertical="center" wrapText="1"/>
      <protection hidden="1"/>
    </xf>
    <xf numFmtId="0" fontId="24" fillId="4" borderId="0" xfId="0" applyFont="1" applyFill="1" applyAlignment="1" applyProtection="1">
      <alignment horizontal="left"/>
      <protection hidden="1"/>
    </xf>
    <xf numFmtId="0" fontId="45" fillId="2" borderId="1" xfId="0" applyFont="1" applyFill="1" applyBorder="1" applyAlignment="1" applyProtection="1">
      <alignment horizontal="right"/>
      <protection hidden="1"/>
    </xf>
    <xf numFmtId="0" fontId="34" fillId="4" borderId="0" xfId="0" applyFont="1" applyFill="1" applyAlignment="1" applyProtection="1">
      <alignment horizontal="left" vertical="top" wrapText="1"/>
      <protection hidden="1"/>
    </xf>
    <xf numFmtId="0" fontId="0" fillId="0" borderId="0" xfId="0" applyAlignment="1" applyProtection="1">
      <alignment horizontal="right"/>
      <protection hidden="1"/>
    </xf>
    <xf numFmtId="0" fontId="9" fillId="2" borderId="0" xfId="0" applyFont="1" applyFill="1" applyProtection="1">
      <protection locked="0" hidden="1"/>
    </xf>
    <xf numFmtId="0" fontId="32" fillId="2" borderId="0" xfId="0" applyFont="1" applyFill="1" applyProtection="1">
      <protection locked="0" hidden="1"/>
    </xf>
    <xf numFmtId="0" fontId="9" fillId="2" borderId="0" xfId="0" applyFont="1" applyFill="1" applyAlignment="1" applyProtection="1">
      <alignment vertical="top" wrapText="1"/>
      <protection locked="0" hidden="1"/>
    </xf>
    <xf numFmtId="0" fontId="16" fillId="2" borderId="1" xfId="0" applyFont="1" applyFill="1" applyBorder="1" applyAlignment="1" applyProtection="1">
      <alignment vertical="top" wrapText="1"/>
      <protection hidden="1"/>
    </xf>
    <xf numFmtId="0" fontId="0" fillId="8" borderId="50" xfId="0" applyFill="1" applyBorder="1" applyProtection="1">
      <protection hidden="1"/>
    </xf>
    <xf numFmtId="0" fontId="0" fillId="7" borderId="53" xfId="0" applyFill="1" applyBorder="1" applyProtection="1">
      <protection hidden="1"/>
    </xf>
    <xf numFmtId="0" fontId="13" fillId="2" borderId="0" xfId="0" applyFont="1" applyFill="1" applyAlignment="1" applyProtection="1">
      <alignment vertical="top" wrapText="1"/>
      <protection hidden="1"/>
    </xf>
    <xf numFmtId="0" fontId="0" fillId="9" borderId="53" xfId="0" applyFill="1" applyBorder="1" applyProtection="1">
      <protection hidden="1"/>
    </xf>
    <xf numFmtId="0" fontId="46" fillId="2" borderId="1" xfId="0" applyFont="1" applyFill="1" applyBorder="1" applyAlignment="1" applyProtection="1">
      <alignment horizontal="right" vertical="top" wrapText="1"/>
      <protection hidden="1"/>
    </xf>
    <xf numFmtId="0" fontId="34" fillId="2" borderId="0" xfId="0" applyFont="1" applyFill="1" applyProtection="1">
      <protection hidden="1"/>
    </xf>
    <xf numFmtId="0" fontId="44" fillId="2" borderId="0" xfId="0" applyFont="1" applyFill="1" applyProtection="1">
      <protection hidden="1"/>
    </xf>
    <xf numFmtId="0" fontId="26" fillId="2" borderId="0" xfId="0" applyFont="1" applyFill="1" applyProtection="1">
      <protection hidden="1"/>
    </xf>
    <xf numFmtId="0" fontId="42" fillId="2" borderId="0" xfId="0" applyFont="1" applyFill="1" applyProtection="1">
      <protection hidden="1"/>
    </xf>
    <xf numFmtId="0" fontId="9" fillId="2" borderId="0" xfId="0" applyFont="1" applyFill="1" applyAlignment="1" applyProtection="1">
      <alignment horizontal="right" vertical="center"/>
      <protection hidden="1"/>
    </xf>
    <xf numFmtId="2" fontId="9" fillId="2" borderId="0" xfId="0" applyNumberFormat="1" applyFont="1" applyFill="1" applyAlignment="1" applyProtection="1">
      <alignment horizontal="left" vertical="top"/>
      <protection hidden="1"/>
    </xf>
    <xf numFmtId="14" fontId="9" fillId="2" borderId="0" xfId="0" applyNumberFormat="1" applyFont="1" applyFill="1" applyAlignment="1" applyProtection="1">
      <alignment horizontal="left"/>
      <protection hidden="1"/>
    </xf>
    <xf numFmtId="0" fontId="9" fillId="4"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0" fontId="20" fillId="3" borderId="103" xfId="0" applyFont="1" applyFill="1" applyBorder="1" applyAlignment="1" applyProtection="1">
      <alignment vertical="top"/>
      <protection hidden="1"/>
    </xf>
    <xf numFmtId="0" fontId="19" fillId="3" borderId="103" xfId="0" applyFont="1" applyFill="1" applyBorder="1" applyProtection="1">
      <protection hidden="1"/>
    </xf>
    <xf numFmtId="0" fontId="14" fillId="2" borderId="8" xfId="0" applyFont="1" applyFill="1" applyBorder="1" applyAlignment="1" applyProtection="1">
      <alignment horizontal="left" vertical="center"/>
      <protection hidden="1"/>
    </xf>
    <xf numFmtId="0" fontId="14" fillId="2" borderId="0" xfId="0" applyFont="1" applyFill="1" applyAlignment="1" applyProtection="1">
      <alignment horizontal="left" vertical="center" wrapText="1"/>
      <protection hidden="1"/>
    </xf>
    <xf numFmtId="0" fontId="0" fillId="2" borderId="12" xfId="0" applyFill="1" applyBorder="1" applyProtection="1">
      <protection hidden="1"/>
    </xf>
    <xf numFmtId="0" fontId="7" fillId="3" borderId="2" xfId="0" applyFont="1" applyFill="1" applyBorder="1" applyAlignment="1" applyProtection="1">
      <alignment horizontal="center"/>
      <protection hidden="1"/>
    </xf>
    <xf numFmtId="14" fontId="1" fillId="2" borderId="2" xfId="0" applyNumberFormat="1" applyFont="1" applyFill="1" applyBorder="1" applyAlignment="1" applyProtection="1">
      <alignment horizontal="center" vertical="center"/>
      <protection hidden="1"/>
    </xf>
    <xf numFmtId="2" fontId="1" fillId="2" borderId="6" xfId="0" applyNumberFormat="1" applyFont="1" applyFill="1" applyBorder="1" applyAlignment="1" applyProtection="1">
      <alignment horizontal="center" vertical="center"/>
      <protection hidden="1"/>
    </xf>
    <xf numFmtId="0" fontId="1" fillId="2" borderId="6" xfId="0" applyFont="1" applyFill="1" applyBorder="1" applyProtection="1">
      <protection hidden="1"/>
    </xf>
    <xf numFmtId="0" fontId="1" fillId="2" borderId="6" xfId="0" applyFont="1" applyFill="1" applyBorder="1" applyAlignment="1" applyProtection="1">
      <alignment horizontal="center" vertical="top" wrapText="1"/>
      <protection hidden="1"/>
    </xf>
    <xf numFmtId="0" fontId="0" fillId="2" borderId="6" xfId="0" applyFill="1" applyBorder="1" applyProtection="1">
      <protection hidden="1"/>
    </xf>
    <xf numFmtId="0" fontId="7" fillId="3" borderId="5" xfId="0" applyFont="1" applyFill="1" applyBorder="1" applyAlignment="1" applyProtection="1">
      <alignment horizontal="left" vertical="center"/>
      <protection hidden="1"/>
    </xf>
    <xf numFmtId="0" fontId="7" fillId="3" borderId="5" xfId="0" applyFont="1" applyFill="1" applyBorder="1" applyAlignment="1" applyProtection="1">
      <alignment horizontal="center"/>
      <protection hidden="1"/>
    </xf>
    <xf numFmtId="0" fontId="7" fillId="3" borderId="13" xfId="0" applyFont="1" applyFill="1" applyBorder="1" applyAlignment="1" applyProtection="1">
      <alignment horizontal="left"/>
      <protection hidden="1"/>
    </xf>
    <xf numFmtId="0" fontId="7" fillId="3" borderId="1" xfId="0" applyFont="1" applyFill="1" applyBorder="1" applyAlignment="1" applyProtection="1">
      <alignment horizontal="left"/>
      <protection hidden="1"/>
    </xf>
    <xf numFmtId="0" fontId="7" fillId="3" borderId="14" xfId="0" applyFont="1" applyFill="1" applyBorder="1" applyAlignment="1" applyProtection="1">
      <alignment horizontal="left"/>
      <protection hidden="1"/>
    </xf>
    <xf numFmtId="49" fontId="0" fillId="4" borderId="2" xfId="0" applyNumberFormat="1" applyFill="1" applyBorder="1" applyAlignment="1" applyProtection="1">
      <alignment horizontal="center" vertical="center"/>
      <protection hidden="1"/>
    </xf>
    <xf numFmtId="14" fontId="0" fillId="4" borderId="2" xfId="0" applyNumberForma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vertical="center" wrapText="1"/>
      <protection locked="0"/>
    </xf>
    <xf numFmtId="0" fontId="0" fillId="0" borderId="1" xfId="0" applyBorder="1"/>
    <xf numFmtId="0" fontId="1" fillId="0" borderId="2"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0" fillId="0" borderId="2" xfId="0" applyBorder="1" applyProtection="1">
      <protection locked="0"/>
    </xf>
    <xf numFmtId="0" fontId="0" fillId="2" borderId="2" xfId="0" applyFill="1" applyBorder="1" applyProtection="1">
      <protection locked="0"/>
    </xf>
    <xf numFmtId="0" fontId="0" fillId="4" borderId="1" xfId="0" applyFill="1" applyBorder="1"/>
    <xf numFmtId="0" fontId="0" fillId="2" borderId="0" xfId="0" applyFill="1" applyProtection="1">
      <protection locked="0"/>
    </xf>
    <xf numFmtId="0" fontId="81" fillId="0" borderId="0" xfId="0" applyFont="1"/>
    <xf numFmtId="0" fontId="82" fillId="3" borderId="0" xfId="0" applyFont="1" applyFill="1" applyAlignment="1">
      <alignment vertical="center"/>
    </xf>
    <xf numFmtId="0" fontId="82" fillId="3" borderId="0" xfId="0" applyFont="1" applyFill="1" applyAlignment="1">
      <alignment vertical="top"/>
    </xf>
    <xf numFmtId="0" fontId="83" fillId="3" borderId="0" xfId="0" applyFont="1" applyFill="1"/>
    <xf numFmtId="1" fontId="82" fillId="3" borderId="0" xfId="0" applyNumberFormat="1" applyFont="1" applyFill="1" applyAlignment="1">
      <alignment vertical="top"/>
    </xf>
    <xf numFmtId="14" fontId="82" fillId="3" borderId="0" xfId="0" applyNumberFormat="1" applyFont="1" applyFill="1" applyAlignment="1">
      <alignment vertical="top"/>
    </xf>
    <xf numFmtId="0" fontId="84" fillId="0" borderId="0" xfId="0" applyFont="1"/>
    <xf numFmtId="0" fontId="85" fillId="0" borderId="0" xfId="0" applyFont="1" applyAlignment="1">
      <alignment horizontal="center"/>
    </xf>
    <xf numFmtId="0" fontId="18" fillId="3" borderId="0" xfId="0" applyFont="1" applyFill="1" applyAlignment="1" applyProtection="1">
      <alignment horizontal="right" vertical="top"/>
      <protection hidden="1"/>
    </xf>
    <xf numFmtId="0" fontId="20" fillId="3" borderId="76" xfId="0" applyFont="1" applyFill="1" applyBorder="1" applyAlignment="1" applyProtection="1">
      <alignment horizontal="right" vertical="top"/>
      <protection hidden="1"/>
    </xf>
    <xf numFmtId="0" fontId="86" fillId="3" borderId="0" xfId="0" applyFont="1" applyFill="1" applyAlignment="1">
      <alignment horizontal="right" vertical="top"/>
    </xf>
    <xf numFmtId="0" fontId="30" fillId="3" borderId="0" xfId="0" applyFont="1" applyFill="1" applyAlignment="1" applyProtection="1">
      <alignment horizontal="right" vertical="top" wrapText="1"/>
      <protection hidden="1"/>
    </xf>
    <xf numFmtId="0" fontId="18" fillId="3" borderId="1" xfId="0" applyFont="1" applyFill="1" applyBorder="1" applyAlignment="1">
      <alignment horizontal="right" vertical="top" wrapText="1"/>
    </xf>
    <xf numFmtId="0" fontId="43" fillId="2" borderId="1" xfId="0" applyFont="1" applyFill="1" applyBorder="1" applyAlignment="1">
      <alignment wrapText="1"/>
    </xf>
    <xf numFmtId="0" fontId="43" fillId="2" borderId="38" xfId="0" applyFont="1" applyFill="1" applyBorder="1" applyAlignment="1">
      <alignment wrapText="1"/>
    </xf>
    <xf numFmtId="0" fontId="25" fillId="4" borderId="47" xfId="0" applyFont="1" applyFill="1" applyBorder="1" applyAlignment="1" applyProtection="1">
      <alignment horizontal="left" vertical="center" wrapText="1"/>
      <protection locked="0"/>
    </xf>
    <xf numFmtId="0" fontId="25" fillId="5" borderId="130" xfId="0" applyFont="1" applyFill="1" applyBorder="1" applyAlignment="1" applyProtection="1">
      <alignment horizontal="left" vertical="center" wrapText="1"/>
      <protection locked="0"/>
    </xf>
    <xf numFmtId="0" fontId="25" fillId="4" borderId="45" xfId="0" applyFont="1" applyFill="1" applyBorder="1" applyAlignment="1" applyProtection="1">
      <alignment horizontal="left" vertical="center" wrapText="1"/>
      <protection locked="0"/>
    </xf>
    <xf numFmtId="0" fontId="55" fillId="0" borderId="5" xfId="0" applyFont="1" applyBorder="1"/>
    <xf numFmtId="0" fontId="22" fillId="10" borderId="2" xfId="0" applyFont="1" applyFill="1" applyBorder="1"/>
    <xf numFmtId="0" fontId="22" fillId="6" borderId="45" xfId="0" applyFont="1" applyFill="1" applyBorder="1" applyAlignment="1" applyProtection="1">
      <alignment horizontal="center" vertical="center"/>
      <protection locked="0"/>
    </xf>
    <xf numFmtId="0" fontId="0" fillId="12" borderId="2" xfId="0" applyFill="1" applyBorder="1" applyProtection="1">
      <protection hidden="1"/>
    </xf>
    <xf numFmtId="0" fontId="0" fillId="18" borderId="2" xfId="0" applyFill="1" applyBorder="1" applyProtection="1">
      <protection hidden="1"/>
    </xf>
    <xf numFmtId="0" fontId="3" fillId="12" borderId="2" xfId="0" applyFont="1" applyFill="1" applyBorder="1" applyProtection="1">
      <protection hidden="1"/>
    </xf>
    <xf numFmtId="0" fontId="0" fillId="18" borderId="0" xfId="0" applyFill="1"/>
    <xf numFmtId="0" fontId="0" fillId="12" borderId="0" xfId="0" applyFill="1"/>
    <xf numFmtId="0" fontId="0" fillId="2" borderId="5" xfId="0" applyFill="1" applyBorder="1" applyProtection="1">
      <protection hidden="1"/>
    </xf>
    <xf numFmtId="0" fontId="0" fillId="2" borderId="56" xfId="0" applyFill="1" applyBorder="1" applyProtection="1">
      <protection hidden="1"/>
    </xf>
    <xf numFmtId="0" fontId="41" fillId="0" borderId="2" xfId="0" applyFont="1" applyBorder="1"/>
    <xf numFmtId="0" fontId="87" fillId="10" borderId="61" xfId="0" applyFont="1" applyFill="1" applyBorder="1"/>
    <xf numFmtId="0" fontId="0" fillId="2" borderId="51" xfId="0" applyFill="1" applyBorder="1" applyProtection="1">
      <protection hidden="1"/>
    </xf>
    <xf numFmtId="0" fontId="0" fillId="2" borderId="3" xfId="0" applyFill="1" applyBorder="1" applyProtection="1">
      <protection hidden="1"/>
    </xf>
    <xf numFmtId="0" fontId="41" fillId="0" borderId="5" xfId="0" applyFont="1" applyBorder="1"/>
    <xf numFmtId="0" fontId="41" fillId="0" borderId="3" xfId="0" applyFont="1" applyBorder="1"/>
    <xf numFmtId="0" fontId="41" fillId="0" borderId="51" xfId="0" applyFont="1" applyBorder="1"/>
    <xf numFmtId="0" fontId="0" fillId="0" borderId="77" xfId="0" applyBorder="1"/>
    <xf numFmtId="0" fontId="0" fillId="2" borderId="78" xfId="0" applyFill="1" applyBorder="1" applyProtection="1">
      <protection hidden="1"/>
    </xf>
    <xf numFmtId="0" fontId="31" fillId="9" borderId="51" xfId="0" applyFont="1" applyFill="1" applyBorder="1"/>
    <xf numFmtId="0" fontId="23" fillId="0" borderId="0" xfId="0" applyFont="1"/>
    <xf numFmtId="0" fontId="88" fillId="3" borderId="0" xfId="0" applyFont="1" applyFill="1" applyAlignment="1" applyProtection="1">
      <alignment horizontal="center"/>
      <protection hidden="1"/>
    </xf>
    <xf numFmtId="0" fontId="88" fillId="3" borderId="0" xfId="0" applyFont="1" applyFill="1" applyAlignment="1" applyProtection="1">
      <alignment horizontal="left"/>
      <protection hidden="1"/>
    </xf>
    <xf numFmtId="0" fontId="0" fillId="12" borderId="7" xfId="0" applyFill="1" applyBorder="1" applyProtection="1">
      <protection hidden="1"/>
    </xf>
    <xf numFmtId="0" fontId="0" fillId="2" borderId="7" xfId="0" applyFill="1" applyBorder="1" applyProtection="1">
      <protection hidden="1"/>
    </xf>
    <xf numFmtId="0" fontId="0" fillId="20" borderId="5" xfId="0" applyFill="1" applyBorder="1"/>
    <xf numFmtId="0" fontId="0" fillId="20" borderId="0" xfId="0" applyFill="1"/>
    <xf numFmtId="0" fontId="0" fillId="8" borderId="5" xfId="0" applyFill="1" applyBorder="1"/>
    <xf numFmtId="0" fontId="22" fillId="10" borderId="21" xfId="0" applyFont="1" applyFill="1" applyBorder="1"/>
    <xf numFmtId="0" fontId="22" fillId="10" borderId="65" xfId="0" applyFont="1" applyFill="1" applyBorder="1"/>
    <xf numFmtId="0" fontId="0" fillId="21" borderId="0" xfId="0" applyFill="1"/>
    <xf numFmtId="0" fontId="22" fillId="10" borderId="2" xfId="0" applyFont="1" applyFill="1" applyBorder="1" applyAlignment="1">
      <alignment wrapText="1"/>
    </xf>
    <xf numFmtId="0" fontId="51" fillId="4" borderId="47" xfId="0" applyFont="1" applyFill="1" applyBorder="1" applyAlignment="1" applyProtection="1">
      <alignment horizontal="left" vertical="center" wrapText="1"/>
      <protection locked="0"/>
    </xf>
    <xf numFmtId="0" fontId="89" fillId="4" borderId="47" xfId="0" applyFont="1" applyFill="1" applyBorder="1" applyAlignment="1" applyProtection="1">
      <alignment horizontal="left" vertical="center" wrapText="1"/>
      <protection locked="0"/>
    </xf>
    <xf numFmtId="0" fontId="43" fillId="2" borderId="45" xfId="0" applyFont="1" applyFill="1" applyBorder="1" applyAlignment="1">
      <alignment horizontal="center" vertical="top" wrapText="1"/>
    </xf>
    <xf numFmtId="0" fontId="22" fillId="10" borderId="0" xfId="0" applyFont="1" applyFill="1" applyAlignment="1">
      <alignment wrapText="1"/>
    </xf>
    <xf numFmtId="1" fontId="0" fillId="0" borderId="53" xfId="0" applyNumberFormat="1" applyBorder="1" applyAlignment="1">
      <alignment horizontal="right"/>
    </xf>
    <xf numFmtId="0" fontId="28" fillId="2" borderId="129" xfId="0" applyFont="1" applyFill="1" applyBorder="1" applyAlignment="1">
      <alignment horizontal="center" vertical="top" wrapText="1"/>
    </xf>
    <xf numFmtId="0" fontId="0" fillId="18" borderId="2" xfId="0" applyFill="1" applyBorder="1"/>
    <xf numFmtId="0" fontId="0" fillId="18" borderId="53" xfId="0" applyFill="1" applyBorder="1"/>
    <xf numFmtId="0" fontId="23" fillId="18" borderId="2" xfId="0" applyFont="1" applyFill="1" applyBorder="1"/>
    <xf numFmtId="0" fontId="0" fillId="18" borderId="63" xfId="0" applyFill="1" applyBorder="1"/>
    <xf numFmtId="0" fontId="0" fillId="18" borderId="3" xfId="0" applyFill="1" applyBorder="1"/>
    <xf numFmtId="0" fontId="0" fillId="18" borderId="82" xfId="0" applyFill="1" applyBorder="1"/>
    <xf numFmtId="0" fontId="0" fillId="18" borderId="15" xfId="0" applyFill="1" applyBorder="1"/>
    <xf numFmtId="0" fontId="23" fillId="0" borderId="15" xfId="0" applyFont="1" applyBorder="1"/>
    <xf numFmtId="0" fontId="31" fillId="13" borderId="81" xfId="0" applyFont="1" applyFill="1" applyBorder="1"/>
    <xf numFmtId="0" fontId="31" fillId="13" borderId="112" xfId="0" applyFont="1" applyFill="1" applyBorder="1"/>
    <xf numFmtId="0" fontId="0" fillId="5" borderId="132" xfId="0" applyFill="1" applyBorder="1" applyAlignment="1">
      <alignment horizontal="left" vertical="center"/>
    </xf>
    <xf numFmtId="0" fontId="25" fillId="5" borderId="133" xfId="0" applyFont="1" applyFill="1" applyBorder="1" applyAlignment="1">
      <alignment horizontal="center" vertical="center"/>
    </xf>
    <xf numFmtId="0" fontId="25" fillId="4" borderId="131" xfId="0" applyFont="1" applyFill="1" applyBorder="1" applyAlignment="1" applyProtection="1">
      <alignment horizontal="left" vertical="center" wrapText="1"/>
      <protection locked="0"/>
    </xf>
    <xf numFmtId="0" fontId="25" fillId="4" borderId="129" xfId="0" applyFont="1" applyFill="1" applyBorder="1" applyAlignment="1" applyProtection="1">
      <alignment horizontal="left" vertical="center" wrapText="1"/>
      <protection locked="0"/>
    </xf>
    <xf numFmtId="0" fontId="0" fillId="8" borderId="55" xfId="0" applyFill="1" applyBorder="1"/>
    <xf numFmtId="0" fontId="25" fillId="18" borderId="2" xfId="0" applyFont="1" applyFill="1" applyBorder="1" applyAlignment="1">
      <alignment horizontal="center" vertical="center"/>
    </xf>
    <xf numFmtId="1" fontId="0" fillId="18" borderId="52" xfId="0" applyNumberFormat="1" applyFill="1" applyBorder="1"/>
    <xf numFmtId="1" fontId="0" fillId="18" borderId="54" xfId="0" applyNumberFormat="1" applyFill="1" applyBorder="1"/>
    <xf numFmtId="1" fontId="0" fillId="18" borderId="57" xfId="0" applyNumberFormat="1" applyFill="1" applyBorder="1"/>
    <xf numFmtId="0" fontId="90" fillId="2" borderId="1" xfId="0" applyFont="1" applyFill="1" applyBorder="1" applyProtection="1">
      <protection hidden="1"/>
    </xf>
    <xf numFmtId="0" fontId="30" fillId="3" borderId="0" xfId="0" applyFont="1" applyFill="1" applyAlignment="1">
      <alignment vertical="center"/>
    </xf>
    <xf numFmtId="0" fontId="18" fillId="3" borderId="0" xfId="0" applyFont="1" applyFill="1" applyAlignment="1" applyProtection="1">
      <alignment horizontal="left" vertical="top"/>
      <protection hidden="1"/>
    </xf>
    <xf numFmtId="0" fontId="0" fillId="12" borderId="0" xfId="0" applyFill="1" applyProtection="1">
      <protection hidden="1"/>
    </xf>
    <xf numFmtId="0" fontId="0" fillId="8" borderId="63" xfId="0" applyFill="1" applyBorder="1"/>
    <xf numFmtId="0" fontId="0" fillId="12" borderId="82" xfId="0" applyFill="1" applyBorder="1"/>
    <xf numFmtId="0" fontId="31" fillId="0" borderId="2" xfId="0" applyFont="1" applyBorder="1" applyProtection="1">
      <protection hidden="1"/>
    </xf>
    <xf numFmtId="0" fontId="0" fillId="8" borderId="50" xfId="0" applyFill="1" applyBorder="1"/>
    <xf numFmtId="0" fontId="25" fillId="4" borderId="7" xfId="0" applyFont="1" applyFill="1" applyBorder="1" applyAlignment="1" applyProtection="1">
      <alignment horizontal="center" vertical="center" wrapText="1"/>
      <protection locked="0"/>
    </xf>
    <xf numFmtId="0" fontId="79" fillId="4" borderId="0" xfId="0" applyFont="1" applyFill="1" applyAlignment="1" applyProtection="1">
      <alignment vertical="top" wrapText="1"/>
      <protection hidden="1"/>
    </xf>
    <xf numFmtId="0" fontId="93" fillId="2" borderId="0" xfId="0" applyFont="1" applyFill="1" applyAlignment="1" applyProtection="1">
      <alignment horizontal="left" wrapText="1"/>
      <protection locked="0" hidden="1"/>
    </xf>
    <xf numFmtId="0" fontId="25" fillId="4" borderId="33" xfId="0" applyFont="1" applyFill="1" applyBorder="1" applyAlignment="1" applyProtection="1">
      <alignment horizontal="left" vertical="top" wrapText="1"/>
      <protection locked="0"/>
    </xf>
    <xf numFmtId="0" fontId="48" fillId="2" borderId="38" xfId="0" applyFont="1" applyFill="1" applyBorder="1" applyAlignment="1">
      <alignment horizontal="center" vertical="top" wrapText="1"/>
    </xf>
    <xf numFmtId="0" fontId="0" fillId="4" borderId="37" xfId="0" applyFill="1" applyBorder="1" applyAlignment="1">
      <alignment vertical="top" wrapText="1"/>
    </xf>
    <xf numFmtId="0" fontId="22" fillId="6" borderId="45" xfId="0" applyFont="1" applyFill="1" applyBorder="1" applyAlignment="1" applyProtection="1">
      <alignment horizontal="left" vertical="top" wrapText="1"/>
      <protection locked="0"/>
    </xf>
    <xf numFmtId="0" fontId="22" fillId="6" borderId="1" xfId="0" applyFont="1" applyFill="1" applyBorder="1" applyAlignment="1" applyProtection="1">
      <alignment horizontal="left" vertical="top" wrapText="1"/>
      <protection locked="0"/>
    </xf>
    <xf numFmtId="0" fontId="22" fillId="6" borderId="38" xfId="0" applyFont="1" applyFill="1" applyBorder="1" applyAlignment="1" applyProtection="1">
      <alignment horizontal="left" vertical="top" wrapText="1"/>
      <protection locked="0"/>
    </xf>
    <xf numFmtId="0" fontId="25" fillId="4" borderId="4"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1" xfId="0" applyFont="1" applyFill="1" applyBorder="1" applyAlignment="1" applyProtection="1">
      <alignment horizontal="left" vertical="top" wrapText="1"/>
      <protection locked="0"/>
    </xf>
    <xf numFmtId="0" fontId="25" fillId="5" borderId="91" xfId="0" applyFont="1" applyFill="1" applyBorder="1" applyAlignment="1" applyProtection="1">
      <alignment horizontal="center" vertical="top" wrapText="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vertical="top" wrapText="1"/>
      <protection locked="0"/>
    </xf>
    <xf numFmtId="0" fontId="22" fillId="6" borderId="1" xfId="0" applyFont="1" applyFill="1" applyBorder="1" applyAlignment="1" applyProtection="1">
      <alignment vertical="top" wrapText="1"/>
      <protection locked="0"/>
    </xf>
    <xf numFmtId="0" fontId="22" fillId="6" borderId="46" xfId="0" applyFont="1" applyFill="1" applyBorder="1" applyAlignment="1" applyProtection="1">
      <alignment horizontal="left" vertical="top" wrapText="1"/>
      <protection locked="0"/>
    </xf>
    <xf numFmtId="0" fontId="22" fillId="6" borderId="42" xfId="0" applyFont="1" applyFill="1" applyBorder="1" applyAlignment="1" applyProtection="1">
      <alignment horizontal="left" vertical="top" wrapText="1"/>
      <protection locked="0"/>
    </xf>
    <xf numFmtId="0" fontId="22" fillId="6" borderId="42" xfId="0" applyFont="1" applyFill="1" applyBorder="1" applyAlignment="1" applyProtection="1">
      <alignment vertical="top" wrapText="1"/>
      <protection locked="0"/>
    </xf>
    <xf numFmtId="0" fontId="22" fillId="6" borderId="36" xfId="0" applyFont="1" applyFill="1" applyBorder="1" applyAlignment="1" applyProtection="1">
      <alignment horizontal="left" vertical="top" wrapText="1"/>
      <protection locked="0"/>
    </xf>
    <xf numFmtId="0" fontId="25" fillId="5" borderId="89" xfId="0" applyFont="1" applyFill="1" applyBorder="1" applyAlignment="1" applyProtection="1">
      <alignment horizontal="center" vertical="top" wrapText="1"/>
      <protection locked="0"/>
    </xf>
    <xf numFmtId="0" fontId="0" fillId="2" borderId="0" xfId="0" applyFill="1" applyAlignment="1" applyProtection="1">
      <alignment vertical="top" wrapText="1"/>
      <protection hidden="1"/>
    </xf>
    <xf numFmtId="0" fontId="22" fillId="4" borderId="0" xfId="0" applyFont="1" applyFill="1" applyAlignment="1" applyProtection="1">
      <alignment horizontal="right" vertical="top" wrapText="1"/>
      <protection hidden="1"/>
    </xf>
    <xf numFmtId="0" fontId="0" fillId="4" borderId="0" xfId="0" applyFill="1" applyAlignment="1" applyProtection="1">
      <alignment vertical="top" wrapText="1"/>
      <protection hidden="1"/>
    </xf>
    <xf numFmtId="0" fontId="0" fillId="2" borderId="0" xfId="0" applyFill="1" applyAlignment="1" applyProtection="1">
      <alignment vertical="top" wrapText="1"/>
      <protection locked="0" hidden="1"/>
    </xf>
    <xf numFmtId="0" fontId="12" fillId="2" borderId="0" xfId="0" applyFont="1" applyFill="1" applyAlignment="1" applyProtection="1">
      <alignment horizontal="center" vertical="top" wrapText="1"/>
      <protection locked="0" hidden="1"/>
    </xf>
    <xf numFmtId="0" fontId="0" fillId="0" borderId="0" xfId="0" applyAlignment="1">
      <alignment wrapText="1"/>
    </xf>
    <xf numFmtId="0" fontId="31" fillId="0" borderId="0" xfId="0" applyFont="1" applyAlignment="1">
      <alignment wrapText="1"/>
    </xf>
    <xf numFmtId="1" fontId="0" fillId="0" borderId="0" xfId="0" applyNumberFormat="1" applyAlignment="1">
      <alignment wrapText="1"/>
    </xf>
    <xf numFmtId="14" fontId="0" fillId="0" borderId="0" xfId="0" applyNumberFormat="1" applyAlignment="1">
      <alignment wrapText="1"/>
    </xf>
    <xf numFmtId="0" fontId="91" fillId="12" borderId="2" xfId="0" applyFont="1" applyFill="1" applyBorder="1" applyAlignment="1">
      <alignment wrapText="1"/>
    </xf>
    <xf numFmtId="0" fontId="91" fillId="12" borderId="54" xfId="0" applyFont="1" applyFill="1" applyBorder="1" applyAlignment="1">
      <alignment wrapText="1"/>
    </xf>
    <xf numFmtId="0" fontId="0" fillId="12" borderId="2" xfId="0" applyFill="1" applyBorder="1" applyAlignment="1">
      <alignment wrapText="1"/>
    </xf>
    <xf numFmtId="0" fontId="0" fillId="12" borderId="54" xfId="0" applyFill="1" applyBorder="1" applyAlignment="1">
      <alignment wrapText="1"/>
    </xf>
    <xf numFmtId="0" fontId="0" fillId="12" borderId="3" xfId="0" applyFill="1" applyBorder="1" applyAlignment="1">
      <alignment wrapText="1"/>
    </xf>
    <xf numFmtId="0" fontId="0" fillId="12" borderId="64" xfId="0" applyFill="1" applyBorder="1" applyAlignment="1">
      <alignment wrapText="1"/>
    </xf>
    <xf numFmtId="0" fontId="31" fillId="13" borderId="61" xfId="0" applyFont="1" applyFill="1" applyBorder="1" applyAlignment="1">
      <alignment wrapText="1"/>
    </xf>
    <xf numFmtId="0" fontId="31" fillId="13" borderId="81" xfId="0" applyFont="1" applyFill="1" applyBorder="1" applyAlignment="1">
      <alignment wrapText="1"/>
    </xf>
    <xf numFmtId="0" fontId="0" fillId="12" borderId="51" xfId="0" applyFill="1" applyBorder="1" applyAlignment="1">
      <alignment wrapText="1"/>
    </xf>
    <xf numFmtId="0" fontId="0" fillId="12" borderId="52" xfId="0" applyFill="1" applyBorder="1" applyAlignment="1">
      <alignment wrapText="1"/>
    </xf>
    <xf numFmtId="0" fontId="0" fillId="12" borderId="56" xfId="0" applyFill="1" applyBorder="1" applyAlignment="1">
      <alignment wrapText="1"/>
    </xf>
    <xf numFmtId="0" fontId="0" fillId="12" borderId="57" xfId="0" applyFill="1" applyBorder="1" applyAlignment="1">
      <alignment wrapText="1"/>
    </xf>
    <xf numFmtId="0" fontId="23" fillId="0" borderId="0" xfId="0" applyFont="1" applyAlignment="1">
      <alignment wrapText="1"/>
    </xf>
    <xf numFmtId="0" fontId="22" fillId="10" borderId="61" xfId="0" applyFont="1" applyFill="1" applyBorder="1" applyAlignment="1">
      <alignment wrapText="1"/>
    </xf>
    <xf numFmtId="0" fontId="22" fillId="10" borderId="62" xfId="0" applyFont="1" applyFill="1" applyBorder="1" applyAlignment="1">
      <alignment wrapText="1"/>
    </xf>
    <xf numFmtId="0" fontId="0" fillId="0" borderId="5" xfId="0" applyBorder="1" applyAlignment="1">
      <alignment wrapText="1"/>
    </xf>
    <xf numFmtId="0" fontId="0" fillId="0" borderId="59" xfId="0" applyBorder="1" applyAlignment="1">
      <alignment wrapText="1"/>
    </xf>
    <xf numFmtId="0" fontId="0" fillId="0" borderId="2" xfId="0" applyBorder="1" applyAlignment="1">
      <alignment wrapText="1"/>
    </xf>
    <xf numFmtId="0" fontId="0" fillId="0" borderId="54" xfId="0" applyBorder="1" applyAlignment="1">
      <alignment wrapText="1"/>
    </xf>
    <xf numFmtId="0" fontId="0" fillId="0" borderId="56" xfId="0" applyBorder="1" applyAlignment="1">
      <alignment wrapText="1"/>
    </xf>
    <xf numFmtId="0" fontId="0" fillId="0" borderId="57" xfId="0" applyBorder="1" applyAlignment="1">
      <alignment wrapText="1"/>
    </xf>
    <xf numFmtId="0" fontId="0" fillId="0" borderId="3" xfId="0" applyBorder="1" applyAlignment="1">
      <alignment wrapText="1"/>
    </xf>
    <xf numFmtId="0" fontId="0" fillId="0" borderId="64" xfId="0" applyBorder="1" applyAlignment="1">
      <alignment wrapText="1"/>
    </xf>
    <xf numFmtId="0" fontId="0" fillId="0" borderId="51" xfId="0" applyBorder="1" applyAlignment="1">
      <alignment wrapText="1"/>
    </xf>
    <xf numFmtId="0" fontId="0" fillId="0" borderId="52" xfId="0" applyBorder="1" applyAlignment="1">
      <alignment wrapText="1"/>
    </xf>
    <xf numFmtId="0" fontId="0" fillId="0" borderId="78" xfId="0" applyBorder="1" applyAlignment="1">
      <alignment wrapText="1"/>
    </xf>
    <xf numFmtId="0" fontId="0" fillId="0" borderId="23" xfId="0" applyBorder="1" applyAlignment="1">
      <alignment wrapText="1"/>
    </xf>
    <xf numFmtId="0" fontId="23" fillId="0" borderId="0" xfId="0" applyFont="1" applyAlignment="1">
      <alignment vertical="top" wrapText="1"/>
    </xf>
    <xf numFmtId="0" fontId="25" fillId="0" borderId="33" xfId="0" applyFont="1" applyBorder="1" applyAlignment="1" applyProtection="1">
      <alignment horizontal="left" vertical="top" wrapText="1"/>
      <protection locked="0"/>
    </xf>
    <xf numFmtId="0" fontId="43" fillId="2" borderId="48" xfId="0" applyFont="1" applyFill="1" applyBorder="1" applyAlignment="1">
      <alignment horizontal="center" vertical="top" wrapText="1"/>
    </xf>
    <xf numFmtId="0" fontId="7" fillId="3" borderId="42" xfId="0" applyFont="1" applyFill="1" applyBorder="1" applyAlignment="1">
      <alignment horizontal="left" vertical="top" wrapText="1"/>
    </xf>
    <xf numFmtId="0" fontId="1" fillId="5" borderId="35" xfId="0" applyFont="1" applyFill="1" applyBorder="1" applyAlignment="1">
      <alignment horizontal="left" vertical="top" wrapText="1"/>
    </xf>
    <xf numFmtId="0" fontId="7" fillId="3" borderId="42" xfId="0" applyFont="1" applyFill="1" applyBorder="1" applyAlignment="1">
      <alignment horizontal="left" vertical="center" wrapText="1"/>
    </xf>
    <xf numFmtId="0" fontId="7" fillId="3" borderId="27" xfId="0" applyFont="1" applyFill="1" applyBorder="1" applyAlignment="1">
      <alignment horizontal="left" vertical="top" wrapText="1"/>
    </xf>
    <xf numFmtId="164" fontId="9" fillId="5" borderId="34" xfId="2" applyNumberFormat="1" applyFont="1" applyFill="1" applyBorder="1" applyAlignment="1" applyProtection="1">
      <alignment horizontal="left" vertical="top" wrapText="1"/>
    </xf>
    <xf numFmtId="0" fontId="7" fillId="3" borderId="27" xfId="0" applyFont="1" applyFill="1" applyBorder="1" applyAlignment="1">
      <alignment horizontal="left" vertical="center" wrapText="1"/>
    </xf>
    <xf numFmtId="0" fontId="1" fillId="5" borderId="34" xfId="0" applyFont="1" applyFill="1" applyBorder="1" applyAlignment="1">
      <alignment vertical="top" wrapText="1"/>
    </xf>
    <xf numFmtId="0" fontId="1" fillId="5" borderId="34" xfId="0" applyFont="1" applyFill="1" applyBorder="1" applyAlignment="1" applyProtection="1">
      <alignment vertical="top" wrapText="1"/>
      <protection locked="0"/>
    </xf>
    <xf numFmtId="0" fontId="22" fillId="4" borderId="37" xfId="0" applyFont="1" applyFill="1" applyBorder="1" applyAlignment="1" applyProtection="1">
      <alignment vertical="top" wrapText="1"/>
      <protection locked="0"/>
    </xf>
    <xf numFmtId="0" fontId="22" fillId="6" borderId="48" xfId="0" applyFont="1" applyFill="1" applyBorder="1" applyAlignment="1" applyProtection="1">
      <alignment vertical="top" wrapText="1"/>
      <protection locked="0"/>
    </xf>
    <xf numFmtId="0" fontId="25" fillId="3" borderId="6" xfId="0" applyFont="1" applyFill="1" applyBorder="1" applyAlignment="1" applyProtection="1">
      <alignment horizontal="center" vertical="top" wrapText="1"/>
      <protection locked="0"/>
    </xf>
    <xf numFmtId="0" fontId="25" fillId="3" borderId="6" xfId="0" applyFont="1" applyFill="1" applyBorder="1" applyAlignment="1" applyProtection="1">
      <alignment horizontal="center" vertical="center" wrapText="1"/>
      <protection locked="0"/>
    </xf>
    <xf numFmtId="0" fontId="22" fillId="6" borderId="38" xfId="0" applyFont="1" applyFill="1" applyBorder="1" applyAlignment="1" applyProtection="1">
      <alignment vertical="top" wrapText="1"/>
      <protection locked="0"/>
    </xf>
    <xf numFmtId="0" fontId="22" fillId="4" borderId="0" xfId="0" applyFont="1" applyFill="1" applyAlignment="1" applyProtection="1">
      <alignment vertical="top" wrapText="1"/>
      <protection locked="0"/>
    </xf>
    <xf numFmtId="0" fontId="22" fillId="4" borderId="0" xfId="0" applyFont="1" applyFill="1" applyAlignment="1">
      <alignment vertical="top" wrapText="1"/>
    </xf>
    <xf numFmtId="0" fontId="0" fillId="2" borderId="0" xfId="0" applyFill="1" applyAlignment="1" applyProtection="1">
      <alignment vertical="center" wrapText="1"/>
      <protection locked="0" hidden="1"/>
    </xf>
    <xf numFmtId="0" fontId="0" fillId="5" borderId="132" xfId="0" applyFill="1" applyBorder="1" applyAlignment="1">
      <alignment horizontal="left" vertical="center" wrapText="1"/>
    </xf>
    <xf numFmtId="0" fontId="23" fillId="4" borderId="0" xfId="0" applyFont="1" applyFill="1" applyAlignment="1" applyProtection="1">
      <alignment horizontal="left" vertical="center"/>
      <protection hidden="1"/>
    </xf>
    <xf numFmtId="0" fontId="23" fillId="4" borderId="0" xfId="0" applyFont="1" applyFill="1" applyAlignment="1">
      <alignment vertical="center"/>
    </xf>
    <xf numFmtId="0" fontId="23" fillId="4" borderId="0" xfId="0" applyFont="1" applyFill="1" applyProtection="1">
      <protection hidden="1"/>
    </xf>
    <xf numFmtId="1" fontId="0" fillId="12" borderId="58" xfId="0" applyNumberFormat="1" applyFill="1" applyBorder="1" applyAlignment="1">
      <alignment horizontal="right"/>
    </xf>
    <xf numFmtId="1" fontId="0" fillId="12" borderId="5" xfId="0" applyNumberFormat="1" applyFill="1" applyBorder="1" applyAlignment="1">
      <alignment horizontal="right"/>
    </xf>
    <xf numFmtId="0" fontId="0" fillId="0" borderId="58" xfId="0" applyBorder="1" applyAlignment="1">
      <alignment horizontal="right"/>
    </xf>
    <xf numFmtId="0" fontId="0" fillId="0" borderId="5" xfId="0" applyBorder="1" applyAlignment="1">
      <alignment horizontal="right"/>
    </xf>
    <xf numFmtId="0" fontId="0" fillId="0" borderId="59" xfId="0" applyBorder="1"/>
    <xf numFmtId="0" fontId="31" fillId="8" borderId="5" xfId="0" applyFont="1" applyFill="1" applyBorder="1"/>
    <xf numFmtId="0" fontId="31" fillId="8" borderId="2" xfId="0" applyFont="1" applyFill="1" applyBorder="1"/>
    <xf numFmtId="0" fontId="31" fillId="0" borderId="58" xfId="0" applyFont="1" applyBorder="1"/>
    <xf numFmtId="0" fontId="31" fillId="0" borderId="53" xfId="0" applyFont="1" applyBorder="1"/>
    <xf numFmtId="1" fontId="0" fillId="12" borderId="58" xfId="0" applyNumberFormat="1" applyFill="1" applyBorder="1"/>
    <xf numFmtId="1" fontId="0" fillId="12" borderId="5" xfId="0" applyNumberFormat="1" applyFill="1" applyBorder="1"/>
    <xf numFmtId="1" fontId="0" fillId="12" borderId="59" xfId="0" applyNumberFormat="1" applyFill="1" applyBorder="1"/>
    <xf numFmtId="0" fontId="0" fillId="0" borderId="13" xfId="0" applyBorder="1"/>
    <xf numFmtId="1" fontId="0" fillId="12" borderId="63" xfId="0" applyNumberFormat="1" applyFill="1" applyBorder="1" applyAlignment="1">
      <alignment horizontal="right"/>
    </xf>
    <xf numFmtId="1" fontId="0" fillId="12" borderId="3" xfId="0" applyNumberFormat="1" applyFill="1" applyBorder="1" applyAlignment="1">
      <alignment horizontal="right"/>
    </xf>
    <xf numFmtId="1" fontId="0" fillId="12" borderId="64" xfId="0" applyNumberFormat="1" applyFill="1" applyBorder="1" applyAlignment="1">
      <alignment horizontal="right"/>
    </xf>
    <xf numFmtId="1" fontId="0" fillId="12" borderId="64" xfId="0" applyNumberFormat="1" applyFill="1" applyBorder="1"/>
    <xf numFmtId="0" fontId="0" fillId="0" borderId="63" xfId="0" applyBorder="1" applyAlignment="1">
      <alignment horizontal="right"/>
    </xf>
    <xf numFmtId="0" fontId="0" fillId="0" borderId="3" xfId="0" applyBorder="1" applyAlignment="1">
      <alignment horizontal="right"/>
    </xf>
    <xf numFmtId="0" fontId="0" fillId="0" borderId="9" xfId="0" applyBorder="1" applyAlignment="1">
      <alignment horizontal="right"/>
    </xf>
    <xf numFmtId="0" fontId="0" fillId="0" borderId="64" xfId="0" applyBorder="1"/>
    <xf numFmtId="0" fontId="0" fillId="0" borderId="13" xfId="0" applyBorder="1" applyAlignment="1">
      <alignment horizontal="right"/>
    </xf>
    <xf numFmtId="1" fontId="23" fillId="12" borderId="5" xfId="0" applyNumberFormat="1" applyFont="1" applyFill="1" applyBorder="1"/>
    <xf numFmtId="1" fontId="0" fillId="12" borderId="63" xfId="0" applyNumberFormat="1" applyFill="1" applyBorder="1"/>
    <xf numFmtId="1" fontId="0" fillId="12" borderId="3" xfId="0" applyNumberFormat="1" applyFill="1" applyBorder="1"/>
    <xf numFmtId="0" fontId="0" fillId="0" borderId="9" xfId="0" applyBorder="1"/>
    <xf numFmtId="0" fontId="0" fillId="8" borderId="15" xfId="0" applyFill="1" applyBorder="1"/>
    <xf numFmtId="0" fontId="0" fillId="0" borderId="84" xfId="0" applyBorder="1"/>
    <xf numFmtId="0" fontId="22" fillId="10" borderId="78" xfId="0" applyFont="1" applyFill="1" applyBorder="1" applyAlignment="1">
      <alignment horizontal="center" wrapText="1"/>
    </xf>
    <xf numFmtId="0" fontId="22" fillId="10" borderId="79" xfId="0" applyFont="1" applyFill="1" applyBorder="1" applyAlignment="1">
      <alignment horizontal="center" wrapText="1"/>
    </xf>
    <xf numFmtId="0" fontId="31" fillId="0" borderId="50" xfId="0" applyFont="1" applyBorder="1"/>
    <xf numFmtId="0" fontId="31" fillId="8" borderId="51" xfId="0" applyFont="1" applyFill="1" applyBorder="1"/>
    <xf numFmtId="0" fontId="31" fillId="5" borderId="24" xfId="0" applyFont="1" applyFill="1" applyBorder="1" applyAlignment="1">
      <alignment horizontal="left" vertical="center"/>
    </xf>
    <xf numFmtId="0" fontId="0" fillId="5" borderId="24" xfId="0" applyFill="1" applyBorder="1" applyAlignment="1">
      <alignment horizontal="left" vertical="center" indent="2"/>
    </xf>
    <xf numFmtId="164" fontId="25" fillId="5" borderId="132" xfId="0" applyNumberFormat="1" applyFont="1" applyFill="1" applyBorder="1" applyAlignment="1">
      <alignment horizontal="center" vertical="center"/>
    </xf>
    <xf numFmtId="0" fontId="0" fillId="5" borderId="120" xfId="0" applyFill="1" applyBorder="1" applyAlignment="1">
      <alignment vertical="center"/>
    </xf>
    <xf numFmtId="0" fontId="25" fillId="4" borderId="0" xfId="0" applyFont="1" applyFill="1" applyAlignment="1" applyProtection="1">
      <alignment horizontal="left" vertical="center" wrapText="1"/>
      <protection locked="0"/>
    </xf>
    <xf numFmtId="0" fontId="36" fillId="5" borderId="34" xfId="0" applyFont="1" applyFill="1" applyBorder="1" applyAlignment="1">
      <alignment horizontal="center" vertical="center"/>
    </xf>
    <xf numFmtId="164" fontId="36" fillId="5" borderId="24" xfId="0" applyNumberFormat="1" applyFont="1" applyFill="1" applyBorder="1" applyAlignment="1">
      <alignment horizontal="center" vertical="center"/>
    </xf>
    <xf numFmtId="0" fontId="36" fillId="5" borderId="88" xfId="0" applyFont="1" applyFill="1" applyBorder="1" applyAlignment="1">
      <alignment horizontal="left" vertical="center"/>
    </xf>
    <xf numFmtId="0" fontId="27" fillId="6" borderId="120" xfId="0" applyFont="1" applyFill="1" applyBorder="1" applyAlignment="1">
      <alignment vertical="center"/>
    </xf>
    <xf numFmtId="0" fontId="22" fillId="6" borderId="0" xfId="0" applyFont="1" applyFill="1" applyAlignment="1">
      <alignment vertical="center"/>
    </xf>
    <xf numFmtId="0" fontId="22" fillId="6" borderId="0" xfId="0" applyFont="1" applyFill="1" applyAlignment="1" applyProtection="1">
      <alignment vertical="center"/>
      <protection locked="0"/>
    </xf>
    <xf numFmtId="0" fontId="25" fillId="3" borderId="11" xfId="0" applyFont="1" applyFill="1" applyBorder="1" applyAlignment="1" applyProtection="1">
      <alignment horizontal="center" vertical="center"/>
      <protection locked="0"/>
    </xf>
    <xf numFmtId="0" fontId="25" fillId="3" borderId="111" xfId="0" applyFont="1" applyFill="1" applyBorder="1" applyAlignment="1" applyProtection="1">
      <alignment horizontal="center" vertical="center"/>
      <protection locked="0"/>
    </xf>
    <xf numFmtId="0" fontId="22" fillId="6" borderId="129" xfId="0" applyFont="1" applyFill="1" applyBorder="1" applyAlignment="1" applyProtection="1">
      <alignment horizontal="left" vertical="top" wrapText="1"/>
      <protection locked="0"/>
    </xf>
    <xf numFmtId="0" fontId="25" fillId="4" borderId="125" xfId="0" applyFont="1" applyFill="1" applyBorder="1" applyAlignment="1" applyProtection="1">
      <alignment horizontal="left" vertical="center" wrapText="1"/>
      <protection locked="0"/>
    </xf>
    <xf numFmtId="0" fontId="25" fillId="4" borderId="100" xfId="0" applyFont="1" applyFill="1" applyBorder="1" applyAlignment="1" applyProtection="1">
      <alignment horizontal="left" vertical="center"/>
      <protection locked="0"/>
    </xf>
    <xf numFmtId="0" fontId="25" fillId="0" borderId="134" xfId="0" applyFont="1" applyBorder="1" applyAlignment="1" applyProtection="1">
      <alignment horizontal="left" vertical="top" wrapText="1"/>
      <protection locked="0"/>
    </xf>
    <xf numFmtId="164" fontId="36" fillId="5" borderId="28" xfId="0" applyNumberFormat="1" applyFont="1" applyFill="1" applyBorder="1" applyAlignment="1">
      <alignment horizontal="center" vertical="center"/>
    </xf>
    <xf numFmtId="0" fontId="25" fillId="4" borderId="6" xfId="0" applyFont="1" applyFill="1" applyBorder="1" applyAlignment="1" applyProtection="1">
      <alignment horizontal="center" vertical="center" wrapText="1"/>
      <protection locked="0"/>
    </xf>
    <xf numFmtId="0" fontId="28" fillId="2" borderId="0" xfId="0" applyFont="1" applyFill="1" applyAlignment="1">
      <alignment horizontal="left" vertical="top" wrapText="1"/>
    </xf>
    <xf numFmtId="0" fontId="40" fillId="2" borderId="137" xfId="0" applyFont="1" applyFill="1" applyBorder="1" applyAlignment="1">
      <alignment horizontal="left" vertical="top" wrapText="1"/>
    </xf>
    <xf numFmtId="0" fontId="0" fillId="0" borderId="2" xfId="0" applyBorder="1" applyAlignment="1">
      <alignment horizontal="left" indent="2"/>
    </xf>
    <xf numFmtId="0" fontId="22" fillId="10" borderId="143" xfId="0" applyFont="1" applyFill="1" applyBorder="1" applyAlignment="1">
      <alignment horizontal="center" wrapText="1"/>
    </xf>
    <xf numFmtId="0" fontId="0" fillId="8" borderId="72" xfId="0" applyFill="1" applyBorder="1"/>
    <xf numFmtId="0" fontId="0" fillId="8" borderId="73" xfId="0" applyFill="1" applyBorder="1"/>
    <xf numFmtId="10" fontId="0" fillId="8" borderId="0" xfId="0" applyNumberFormat="1" applyFill="1"/>
    <xf numFmtId="0" fontId="0" fillId="8" borderId="2" xfId="0" applyFill="1" applyBorder="1" applyAlignment="1">
      <alignment horizontal="center" wrapText="1"/>
    </xf>
    <xf numFmtId="0" fontId="31" fillId="5" borderId="29" xfId="0" applyFont="1" applyFill="1" applyBorder="1" applyAlignment="1">
      <alignment vertical="center"/>
    </xf>
    <xf numFmtId="0" fontId="31" fillId="5" borderId="24" xfId="0" applyFont="1" applyFill="1" applyBorder="1" applyAlignment="1">
      <alignment vertical="center"/>
    </xf>
    <xf numFmtId="0" fontId="99" fillId="5" borderId="87" xfId="0" applyFont="1" applyFill="1" applyBorder="1" applyAlignment="1" applyProtection="1">
      <alignment horizontal="center" vertical="center"/>
      <protection locked="0"/>
    </xf>
    <xf numFmtId="0" fontId="22" fillId="10" borderId="11" xfId="0" applyFont="1" applyFill="1" applyBorder="1" applyAlignment="1" applyProtection="1">
      <alignment wrapText="1"/>
      <protection hidden="1"/>
    </xf>
    <xf numFmtId="0" fontId="22" fillId="10" borderId="2" xfId="0" applyFont="1" applyFill="1" applyBorder="1" applyAlignment="1" applyProtection="1">
      <alignment wrapText="1"/>
      <protection hidden="1"/>
    </xf>
    <xf numFmtId="0" fontId="9" fillId="4" borderId="32" xfId="0" applyFont="1" applyFill="1" applyBorder="1" applyAlignment="1">
      <alignment horizontal="left" vertical="top" wrapText="1"/>
    </xf>
    <xf numFmtId="0" fontId="7" fillId="3" borderId="43" xfId="0" applyFont="1" applyFill="1" applyBorder="1" applyAlignment="1">
      <alignment horizontal="left" vertical="top"/>
    </xf>
    <xf numFmtId="0" fontId="7" fillId="3" borderId="44" xfId="0" applyFont="1" applyFill="1" applyBorder="1" applyAlignment="1">
      <alignment horizontal="left" vertical="top"/>
    </xf>
    <xf numFmtId="0" fontId="7" fillId="3" borderId="43" xfId="0" applyFont="1" applyFill="1" applyBorder="1" applyAlignment="1">
      <alignment horizontal="left" vertical="center"/>
    </xf>
    <xf numFmtId="0" fontId="7" fillId="3" borderId="44" xfId="0" applyFont="1" applyFill="1" applyBorder="1" applyAlignment="1">
      <alignment horizontal="left" vertical="center"/>
    </xf>
    <xf numFmtId="0" fontId="31" fillId="8" borderId="2" xfId="0" applyFont="1" applyFill="1" applyBorder="1" applyAlignment="1">
      <alignment wrapText="1"/>
    </xf>
    <xf numFmtId="0" fontId="0" fillId="18" borderId="2" xfId="0" applyFill="1" applyBorder="1" applyAlignment="1">
      <alignment wrapText="1"/>
    </xf>
    <xf numFmtId="0" fontId="91" fillId="18" borderId="2" xfId="0" applyFont="1" applyFill="1" applyBorder="1" applyAlignment="1">
      <alignment wrapText="1"/>
    </xf>
    <xf numFmtId="0" fontId="91" fillId="18" borderId="3" xfId="0" applyFont="1" applyFill="1" applyBorder="1" applyAlignment="1">
      <alignment wrapText="1"/>
    </xf>
    <xf numFmtId="0" fontId="0" fillId="18" borderId="15" xfId="0" applyFill="1" applyBorder="1" applyAlignment="1">
      <alignment wrapText="1"/>
    </xf>
    <xf numFmtId="0" fontId="0" fillId="12" borderId="5" xfId="0" applyFill="1" applyBorder="1" applyAlignment="1">
      <alignment wrapText="1"/>
    </xf>
    <xf numFmtId="0" fontId="0" fillId="9" borderId="2" xfId="0" applyFill="1" applyBorder="1" applyAlignment="1">
      <alignment horizontal="left" indent="2"/>
    </xf>
    <xf numFmtId="0" fontId="31" fillId="9" borderId="53" xfId="0" applyFont="1" applyFill="1" applyBorder="1"/>
    <xf numFmtId="0" fontId="0" fillId="12" borderId="15" xfId="0" applyFill="1" applyBorder="1" applyAlignment="1">
      <alignment wrapText="1"/>
    </xf>
    <xf numFmtId="0" fontId="0" fillId="0" borderId="56" xfId="0" applyBorder="1" applyAlignment="1">
      <alignment horizontal="left" indent="2"/>
    </xf>
    <xf numFmtId="0" fontId="31" fillId="20" borderId="2" xfId="0" applyFont="1" applyFill="1" applyBorder="1" applyAlignment="1">
      <alignment wrapText="1"/>
    </xf>
    <xf numFmtId="0" fontId="0" fillId="18" borderId="72" xfId="0" applyFill="1" applyBorder="1"/>
    <xf numFmtId="0" fontId="0" fillId="18" borderId="4" xfId="0" applyFill="1" applyBorder="1"/>
    <xf numFmtId="0" fontId="0" fillId="18" borderId="66" xfId="0" applyFill="1" applyBorder="1"/>
    <xf numFmtId="0" fontId="0" fillId="18" borderId="73" xfId="0" applyFill="1" applyBorder="1"/>
    <xf numFmtId="0" fontId="31" fillId="8" borderId="2" xfId="0" applyFont="1" applyFill="1" applyBorder="1" applyAlignment="1">
      <alignment horizontal="center" wrapText="1"/>
    </xf>
    <xf numFmtId="0" fontId="23" fillId="0" borderId="0" xfId="0" applyFont="1" applyAlignment="1">
      <alignment vertical="top"/>
    </xf>
    <xf numFmtId="10" fontId="0" fillId="18" borderId="0" xfId="0" applyNumberFormat="1" applyFill="1"/>
    <xf numFmtId="0" fontId="0" fillId="8" borderId="68" xfId="0" applyFill="1" applyBorder="1"/>
    <xf numFmtId="0" fontId="0" fillId="18" borderId="68" xfId="0" applyFill="1" applyBorder="1"/>
    <xf numFmtId="0" fontId="0" fillId="8" borderId="66" xfId="0" applyFill="1" applyBorder="1"/>
    <xf numFmtId="0" fontId="0" fillId="8" borderId="3" xfId="0" applyFill="1" applyBorder="1"/>
    <xf numFmtId="0" fontId="31" fillId="12" borderId="82" xfId="0" applyFont="1" applyFill="1" applyBorder="1"/>
    <xf numFmtId="0" fontId="31" fillId="12" borderId="15" xfId="0" applyFont="1" applyFill="1" applyBorder="1"/>
    <xf numFmtId="0" fontId="31" fillId="12" borderId="83" xfId="0" applyFont="1" applyFill="1" applyBorder="1"/>
    <xf numFmtId="0" fontId="0" fillId="9" borderId="3" xfId="0" applyFill="1" applyBorder="1"/>
    <xf numFmtId="0" fontId="31" fillId="0" borderId="3" xfId="0" applyFont="1" applyBorder="1"/>
    <xf numFmtId="0" fontId="31" fillId="0" borderId="51" xfId="0" applyFont="1" applyBorder="1"/>
    <xf numFmtId="1" fontId="31" fillId="12" borderId="2" xfId="0" applyNumberFormat="1" applyFont="1" applyFill="1" applyBorder="1"/>
    <xf numFmtId="1" fontId="31" fillId="12" borderId="54" xfId="0" applyNumberFormat="1" applyFont="1" applyFill="1" applyBorder="1"/>
    <xf numFmtId="1" fontId="31" fillId="12" borderId="53" xfId="0" applyNumberFormat="1" applyFont="1" applyFill="1" applyBorder="1"/>
    <xf numFmtId="0" fontId="31" fillId="0" borderId="2" xfId="0" applyFont="1" applyBorder="1"/>
    <xf numFmtId="0" fontId="31" fillId="2" borderId="0" xfId="0" applyFont="1" applyFill="1" applyAlignment="1">
      <alignment vertical="center"/>
    </xf>
    <xf numFmtId="0" fontId="31" fillId="5" borderId="24" xfId="0" applyFont="1" applyFill="1" applyBorder="1" applyAlignment="1">
      <alignment horizontal="left" vertical="center" wrapText="1"/>
    </xf>
    <xf numFmtId="0" fontId="0" fillId="20" borderId="4" xfId="0" applyFill="1" applyBorder="1"/>
    <xf numFmtId="0" fontId="50" fillId="4" borderId="0" xfId="0" applyFont="1" applyFill="1" applyAlignment="1">
      <alignment horizontal="center" vertical="top" wrapText="1"/>
    </xf>
    <xf numFmtId="0" fontId="53" fillId="0" borderId="119" xfId="0" applyFont="1" applyBorder="1" applyAlignment="1" applyProtection="1">
      <alignment wrapText="1"/>
      <protection locked="0"/>
    </xf>
    <xf numFmtId="0" fontId="94" fillId="4" borderId="0" xfId="0" applyFont="1" applyFill="1" applyAlignment="1">
      <alignment horizontal="center" vertical="center" wrapText="1"/>
    </xf>
    <xf numFmtId="0" fontId="53" fillId="0" borderId="0" xfId="0" applyFont="1" applyProtection="1">
      <protection locked="0"/>
    </xf>
    <xf numFmtId="0" fontId="54" fillId="0" borderId="119" xfId="0" applyFont="1" applyBorder="1" applyProtection="1">
      <protection locked="0"/>
    </xf>
    <xf numFmtId="0" fontId="54" fillId="0" borderId="0" xfId="0" applyFont="1" applyProtection="1">
      <protection locked="0"/>
    </xf>
    <xf numFmtId="0" fontId="54" fillId="0" borderId="142" xfId="0" applyFont="1" applyBorder="1" applyProtection="1">
      <protection locked="0"/>
    </xf>
    <xf numFmtId="0" fontId="98" fillId="5" borderId="136" xfId="0" applyFont="1" applyFill="1" applyBorder="1" applyProtection="1">
      <protection locked="0"/>
    </xf>
    <xf numFmtId="0" fontId="98" fillId="5" borderId="135" xfId="0" applyFont="1" applyFill="1" applyBorder="1" applyProtection="1">
      <protection locked="0"/>
    </xf>
    <xf numFmtId="1" fontId="31" fillId="12" borderId="54" xfId="0" applyNumberFormat="1" applyFont="1" applyFill="1" applyBorder="1" applyAlignment="1">
      <alignment horizontal="right"/>
    </xf>
    <xf numFmtId="1" fontId="31" fillId="12" borderId="53" xfId="0" applyNumberFormat="1" applyFont="1" applyFill="1" applyBorder="1" applyAlignment="1">
      <alignment horizontal="right"/>
    </xf>
    <xf numFmtId="1" fontId="31" fillId="12" borderId="2" xfId="0" applyNumberFormat="1" applyFont="1" applyFill="1" applyBorder="1" applyAlignment="1">
      <alignment horizontal="right"/>
    </xf>
    <xf numFmtId="0" fontId="0" fillId="20" borderId="53" xfId="0" applyFill="1" applyBorder="1" applyAlignment="1">
      <alignment horizontal="right"/>
    </xf>
    <xf numFmtId="1" fontId="31" fillId="12" borderId="58" xfId="0" applyNumberFormat="1" applyFont="1" applyFill="1" applyBorder="1" applyAlignment="1">
      <alignment horizontal="right"/>
    </xf>
    <xf numFmtId="1" fontId="31" fillId="12" borderId="5" xfId="0" applyNumberFormat="1" applyFont="1" applyFill="1" applyBorder="1" applyAlignment="1">
      <alignment horizontal="right"/>
    </xf>
    <xf numFmtId="0" fontId="23" fillId="0" borderId="2" xfId="0" applyFont="1" applyBorder="1" applyAlignment="1">
      <alignment horizontal="left" indent="2"/>
    </xf>
    <xf numFmtId="0" fontId="0" fillId="0" borderId="83" xfId="0" applyBorder="1"/>
    <xf numFmtId="0" fontId="45" fillId="0" borderId="3" xfId="0" applyFont="1" applyBorder="1"/>
    <xf numFmtId="0" fontId="23" fillId="2" borderId="1" xfId="0" applyFont="1" applyFill="1" applyBorder="1" applyProtection="1">
      <protection hidden="1"/>
    </xf>
    <xf numFmtId="0" fontId="7" fillId="3" borderId="99" xfId="0" applyFont="1" applyFill="1" applyBorder="1" applyAlignment="1">
      <alignment horizontal="left" vertical="center"/>
    </xf>
    <xf numFmtId="0" fontId="7" fillId="3" borderId="144" xfId="0" applyFont="1" applyFill="1" applyBorder="1" applyAlignment="1">
      <alignment horizontal="left" vertical="center"/>
    </xf>
    <xf numFmtId="0" fontId="7" fillId="3" borderId="27" xfId="0" applyFont="1" applyFill="1" applyBorder="1" applyAlignment="1">
      <alignment horizontal="left" vertical="center"/>
    </xf>
    <xf numFmtId="0" fontId="0" fillId="0" borderId="7" xfId="0" applyBorder="1" applyAlignment="1">
      <alignment horizontal="right"/>
    </xf>
    <xf numFmtId="1" fontId="31" fillId="20" borderId="2" xfId="0" applyNumberFormat="1" applyFont="1" applyFill="1" applyBorder="1" applyAlignment="1">
      <alignment horizontal="right"/>
    </xf>
    <xf numFmtId="1" fontId="31" fillId="20" borderId="54" xfId="0" applyNumberFormat="1" applyFont="1" applyFill="1" applyBorder="1" applyAlignment="1">
      <alignment horizontal="right"/>
    </xf>
    <xf numFmtId="0" fontId="0" fillId="22" borderId="2" xfId="0" applyFill="1" applyBorder="1" applyAlignment="1">
      <alignment wrapText="1"/>
    </xf>
    <xf numFmtId="0" fontId="0" fillId="20" borderId="68" xfId="0" applyFill="1" applyBorder="1"/>
    <xf numFmtId="0" fontId="0" fillId="9" borderId="53" xfId="0" applyFill="1" applyBorder="1"/>
    <xf numFmtId="0" fontId="54" fillId="0" borderId="142" xfId="0" applyFont="1" applyBorder="1" applyAlignment="1" applyProtection="1">
      <alignment vertical="top"/>
      <protection locked="0"/>
    </xf>
    <xf numFmtId="0" fontId="54" fillId="0" borderId="0" xfId="0" applyFont="1" applyAlignment="1" applyProtection="1">
      <alignment vertical="top"/>
      <protection locked="0"/>
    </xf>
    <xf numFmtId="0" fontId="54" fillId="0" borderId="12" xfId="0" applyFont="1" applyBorder="1" applyAlignment="1" applyProtection="1">
      <alignment vertical="top"/>
      <protection locked="0"/>
    </xf>
    <xf numFmtId="0" fontId="54" fillId="0" borderId="142" xfId="0" applyFont="1" applyBorder="1" applyAlignment="1" applyProtection="1">
      <alignment vertical="top" wrapText="1"/>
      <protection locked="0"/>
    </xf>
    <xf numFmtId="0" fontId="54" fillId="0" borderId="12" xfId="0" applyFont="1" applyBorder="1" applyAlignment="1" applyProtection="1">
      <alignment vertical="top" wrapText="1"/>
      <protection locked="0"/>
    </xf>
    <xf numFmtId="0" fontId="50" fillId="0" borderId="142" xfId="0" applyFont="1" applyBorder="1" applyAlignment="1">
      <alignment vertical="top"/>
    </xf>
    <xf numFmtId="0" fontId="50" fillId="0" borderId="0" xfId="0" applyFont="1" applyAlignment="1">
      <alignment vertical="top"/>
    </xf>
    <xf numFmtId="0" fontId="50" fillId="0" borderId="12" xfId="0" applyFont="1" applyBorder="1" applyAlignment="1">
      <alignment vertical="top"/>
    </xf>
    <xf numFmtId="0" fontId="0" fillId="20" borderId="66" xfId="0" applyFill="1" applyBorder="1"/>
    <xf numFmtId="0" fontId="0" fillId="20" borderId="73" xfId="0" applyFill="1" applyBorder="1"/>
    <xf numFmtId="0" fontId="0" fillId="20" borderId="72" xfId="0" applyFill="1" applyBorder="1"/>
    <xf numFmtId="166" fontId="0" fillId="20" borderId="66" xfId="0" applyNumberFormat="1" applyFill="1" applyBorder="1"/>
    <xf numFmtId="166" fontId="0" fillId="8" borderId="66" xfId="0" applyNumberFormat="1" applyFill="1" applyBorder="1"/>
    <xf numFmtId="166" fontId="0" fillId="18" borderId="66" xfId="0" applyNumberFormat="1" applyFill="1" applyBorder="1"/>
    <xf numFmtId="0" fontId="50" fillId="0" borderId="0" xfId="0" applyFont="1" applyAlignment="1">
      <alignment horizontal="center"/>
    </xf>
    <xf numFmtId="0" fontId="95" fillId="0" borderId="2" xfId="3" applyFont="1" applyFill="1" applyBorder="1"/>
    <xf numFmtId="0" fontId="95" fillId="0" borderId="2" xfId="3" applyFont="1" applyFill="1" applyBorder="1" applyAlignment="1">
      <alignment vertical="top"/>
    </xf>
    <xf numFmtId="0" fontId="96" fillId="0" borderId="2" xfId="3" applyFont="1" applyFill="1" applyBorder="1"/>
    <xf numFmtId="0" fontId="96" fillId="0" borderId="2" xfId="3" applyFont="1" applyFill="1" applyBorder="1" applyAlignment="1">
      <alignment vertical="top"/>
    </xf>
    <xf numFmtId="0" fontId="95" fillId="0" borderId="2" xfId="3" applyFont="1" applyFill="1" applyBorder="1" applyAlignment="1">
      <alignment horizontal="right"/>
    </xf>
    <xf numFmtId="0" fontId="95" fillId="0" borderId="4" xfId="3" applyFont="1" applyFill="1" applyBorder="1"/>
    <xf numFmtId="0" fontId="95" fillId="0" borderId="0" xfId="3" applyFont="1" applyFill="1" applyBorder="1"/>
    <xf numFmtId="0" fontId="54" fillId="0" borderId="0" xfId="0" applyFont="1" applyAlignment="1" applyProtection="1">
      <alignment vertical="top" wrapText="1"/>
      <protection locked="0"/>
    </xf>
    <xf numFmtId="0" fontId="50" fillId="0" borderId="2" xfId="0" applyFont="1" applyBorder="1" applyAlignment="1">
      <alignment horizontal="center"/>
    </xf>
    <xf numFmtId="0" fontId="97" fillId="0" borderId="2" xfId="0" applyFont="1" applyBorder="1" applyAlignment="1">
      <alignment horizontal="center"/>
    </xf>
    <xf numFmtId="0" fontId="97" fillId="0" borderId="2" xfId="0" applyFont="1" applyBorder="1" applyAlignment="1">
      <alignment horizontal="center" vertical="top"/>
    </xf>
    <xf numFmtId="0" fontId="97" fillId="0" borderId="2" xfId="0" applyFont="1" applyBorder="1" applyAlignment="1">
      <alignment horizontal="center" wrapText="1"/>
    </xf>
    <xf numFmtId="0" fontId="50" fillId="0" borderId="2" xfId="0" applyFont="1" applyBorder="1" applyAlignment="1">
      <alignment horizontal="center" wrapText="1"/>
    </xf>
    <xf numFmtId="0" fontId="50" fillId="0" borderId="2" xfId="0" applyFont="1" applyBorder="1" applyAlignment="1">
      <alignment horizontal="center" vertical="top"/>
    </xf>
    <xf numFmtId="0" fontId="50" fillId="0" borderId="4" xfId="0" applyFont="1" applyBorder="1" applyAlignment="1">
      <alignment horizontal="center"/>
    </xf>
    <xf numFmtId="0" fontId="54" fillId="0" borderId="12" xfId="0" applyFont="1" applyBorder="1" applyProtection="1">
      <protection locked="0"/>
    </xf>
    <xf numFmtId="0" fontId="31" fillId="8" borderId="2" xfId="0" applyFont="1" applyFill="1" applyBorder="1" applyAlignment="1">
      <alignment horizontal="right" wrapText="1"/>
    </xf>
    <xf numFmtId="0" fontId="25" fillId="20" borderId="2" xfId="0" applyFont="1" applyFill="1" applyBorder="1" applyAlignment="1">
      <alignment horizontal="center" vertical="center"/>
    </xf>
    <xf numFmtId="0" fontId="102" fillId="4" borderId="0" xfId="0" applyFont="1" applyFill="1" applyAlignment="1" applyProtection="1">
      <alignment vertical="top" wrapText="1"/>
      <protection hidden="1"/>
    </xf>
    <xf numFmtId="0" fontId="23" fillId="4" borderId="0" xfId="0" applyFont="1" applyFill="1" applyAlignment="1" applyProtection="1">
      <alignment horizontal="left" vertical="center" wrapText="1"/>
      <protection hidden="1"/>
    </xf>
    <xf numFmtId="0" fontId="25" fillId="20" borderId="7" xfId="0" applyFont="1" applyFill="1" applyBorder="1" applyAlignment="1">
      <alignment horizontal="center" vertical="center"/>
    </xf>
    <xf numFmtId="0" fontId="0" fillId="5" borderId="24" xfId="0" applyFill="1" applyBorder="1" applyAlignment="1">
      <alignment horizontal="left" vertical="center" wrapText="1" indent="2"/>
    </xf>
    <xf numFmtId="0" fontId="22" fillId="4" borderId="0" xfId="0" applyFont="1" applyFill="1" applyAlignment="1">
      <alignment vertical="center"/>
    </xf>
    <xf numFmtId="0" fontId="24" fillId="6" borderId="120" xfId="0" applyFont="1" applyFill="1" applyBorder="1" applyAlignment="1">
      <alignment vertical="center"/>
    </xf>
    <xf numFmtId="0" fontId="23" fillId="4" borderId="0" xfId="0" applyFont="1" applyFill="1" applyAlignment="1" applyProtection="1">
      <alignment horizontal="right" wrapText="1"/>
      <protection hidden="1"/>
    </xf>
    <xf numFmtId="0" fontId="23" fillId="4" borderId="0" xfId="0" applyFont="1" applyFill="1" applyAlignment="1" applyProtection="1">
      <alignment horizontal="right"/>
      <protection hidden="1"/>
    </xf>
    <xf numFmtId="0" fontId="98" fillId="5" borderId="24" xfId="0" applyFont="1" applyFill="1" applyBorder="1" applyAlignment="1">
      <alignment horizontal="left" vertical="center"/>
    </xf>
    <xf numFmtId="0" fontId="99" fillId="5" borderId="85" xfId="0" applyFont="1" applyFill="1" applyBorder="1" applyAlignment="1">
      <alignment horizontal="left" vertical="center" wrapText="1"/>
    </xf>
    <xf numFmtId="0" fontId="31" fillId="5" borderId="85" xfId="0" applyFont="1" applyFill="1" applyBorder="1" applyAlignment="1">
      <alignment vertical="center"/>
    </xf>
    <xf numFmtId="0" fontId="27" fillId="6" borderId="0" xfId="0" applyFont="1" applyFill="1" applyAlignment="1">
      <alignment vertical="center"/>
    </xf>
    <xf numFmtId="0" fontId="0" fillId="2" borderId="0" xfId="0" applyFill="1" applyAlignment="1">
      <alignment vertical="center" wrapText="1"/>
    </xf>
    <xf numFmtId="0" fontId="27" fillId="6" borderId="0" xfId="0" applyFont="1" applyFill="1" applyAlignment="1">
      <alignment vertical="center" wrapText="1"/>
    </xf>
    <xf numFmtId="0" fontId="0" fillId="5" borderId="24" xfId="0" applyFill="1" applyBorder="1" applyAlignment="1">
      <alignment vertical="center" wrapText="1"/>
    </xf>
    <xf numFmtId="0" fontId="31" fillId="5" borderId="24" xfId="0" applyFont="1" applyFill="1" applyBorder="1" applyAlignment="1">
      <alignment vertical="center" wrapText="1"/>
    </xf>
    <xf numFmtId="0" fontId="31" fillId="5" borderId="85" xfId="0" applyFont="1" applyFill="1" applyBorder="1" applyAlignment="1">
      <alignment vertical="center" wrapText="1"/>
    </xf>
    <xf numFmtId="0" fontId="98" fillId="5" borderId="24" xfId="0" applyFont="1" applyFill="1" applyBorder="1" applyAlignment="1">
      <alignment vertical="center"/>
    </xf>
    <xf numFmtId="0" fontId="98" fillId="5" borderId="24" xfId="0" applyFont="1" applyFill="1" applyBorder="1" applyAlignment="1">
      <alignment vertical="center" wrapText="1"/>
    </xf>
    <xf numFmtId="164" fontId="25" fillId="5" borderId="25" xfId="0" applyNumberFormat="1" applyFont="1" applyFill="1" applyBorder="1" applyAlignment="1">
      <alignment horizontal="center" vertical="center"/>
    </xf>
    <xf numFmtId="164" fontId="36" fillId="5" borderId="31" xfId="0" applyNumberFormat="1" applyFont="1" applyFill="1" applyBorder="1" applyAlignment="1">
      <alignment horizontal="center" vertical="center"/>
    </xf>
    <xf numFmtId="0" fontId="25" fillId="0" borderId="2" xfId="0" applyFont="1" applyBorder="1" applyAlignment="1" applyProtection="1">
      <alignment horizontal="left" vertical="center" wrapText="1"/>
      <protection locked="0"/>
    </xf>
    <xf numFmtId="0" fontId="0" fillId="4" borderId="0" xfId="0" applyFill="1" applyAlignment="1" applyProtection="1">
      <alignment vertical="top" wrapText="1"/>
      <protection locked="0"/>
    </xf>
    <xf numFmtId="0" fontId="0" fillId="8" borderId="4" xfId="0" applyFill="1" applyBorder="1"/>
    <xf numFmtId="0" fontId="0" fillId="8" borderId="7" xfId="0" applyFill="1" applyBorder="1"/>
    <xf numFmtId="0" fontId="0" fillId="8" borderId="9" xfId="0" applyFill="1" applyBorder="1"/>
    <xf numFmtId="0" fontId="0" fillId="18" borderId="7" xfId="0" applyFill="1" applyBorder="1"/>
    <xf numFmtId="0" fontId="0" fillId="0" borderId="10" xfId="0" applyBorder="1"/>
    <xf numFmtId="0" fontId="0" fillId="13" borderId="96" xfId="0" applyFill="1" applyBorder="1"/>
    <xf numFmtId="0" fontId="0" fillId="9" borderId="78" xfId="0" applyFill="1" applyBorder="1"/>
    <xf numFmtId="0" fontId="0" fillId="8" borderId="146" xfId="0" applyFill="1" applyBorder="1"/>
    <xf numFmtId="0" fontId="91" fillId="0" borderId="2" xfId="0" applyFont="1" applyBorder="1" applyAlignment="1">
      <alignment horizontal="left" indent="2"/>
    </xf>
    <xf numFmtId="0" fontId="91" fillId="0" borderId="0" xfId="0" applyFont="1"/>
    <xf numFmtId="0" fontId="103" fillId="0" borderId="115" xfId="0" applyFont="1" applyBorder="1" applyProtection="1">
      <protection locked="0"/>
    </xf>
    <xf numFmtId="0" fontId="104" fillId="0" borderId="142" xfId="0" applyFont="1" applyBorder="1" applyAlignment="1" applyProtection="1">
      <alignment vertical="top"/>
      <protection locked="0"/>
    </xf>
    <xf numFmtId="0" fontId="0" fillId="8" borderId="58" xfId="0" applyFill="1" applyBorder="1"/>
    <xf numFmtId="0" fontId="31" fillId="0" borderId="5" xfId="0" applyFont="1" applyBorder="1"/>
    <xf numFmtId="0" fontId="0" fillId="12" borderId="59" xfId="0" applyFill="1" applyBorder="1" applyAlignment="1">
      <alignment wrapText="1"/>
    </xf>
    <xf numFmtId="0" fontId="0" fillId="12" borderId="58" xfId="0" applyFill="1" applyBorder="1"/>
    <xf numFmtId="0" fontId="0" fillId="12" borderId="59" xfId="0" applyFill="1" applyBorder="1"/>
    <xf numFmtId="0" fontId="0" fillId="0" borderId="52" xfId="0" applyBorder="1" applyAlignment="1">
      <alignment horizontal="right"/>
    </xf>
    <xf numFmtId="0" fontId="25" fillId="4" borderId="5" xfId="0"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protection locked="0"/>
    </xf>
    <xf numFmtId="0" fontId="25" fillId="0" borderId="147" xfId="0" applyFont="1" applyBorder="1" applyAlignment="1" applyProtection="1">
      <alignment horizontal="left" vertical="top" wrapText="1"/>
      <protection locked="0"/>
    </xf>
    <xf numFmtId="0" fontId="0" fillId="23" borderId="53" xfId="0" applyFill="1" applyBorder="1" applyAlignment="1">
      <alignment horizontal="right"/>
    </xf>
    <xf numFmtId="0" fontId="105" fillId="0" borderId="2" xfId="0" applyFont="1" applyBorder="1" applyAlignment="1">
      <alignment horizontal="left" indent="2"/>
    </xf>
    <xf numFmtId="0" fontId="101" fillId="3" borderId="98" xfId="0" applyFont="1" applyFill="1" applyBorder="1" applyAlignment="1" applyProtection="1">
      <alignment horizontal="right" vertical="center" wrapText="1"/>
      <protection hidden="1"/>
    </xf>
    <xf numFmtId="0" fontId="0" fillId="22" borderId="15" xfId="0" applyFill="1" applyBorder="1" applyAlignment="1">
      <alignment wrapText="1"/>
    </xf>
    <xf numFmtId="0" fontId="31" fillId="13" borderId="62" xfId="0" applyFont="1" applyFill="1" applyBorder="1" applyAlignment="1">
      <alignment wrapText="1"/>
    </xf>
    <xf numFmtId="0" fontId="91" fillId="0" borderId="3" xfId="0" applyFont="1" applyBorder="1" applyAlignment="1">
      <alignment horizontal="left" indent="2"/>
    </xf>
    <xf numFmtId="0" fontId="91" fillId="0" borderId="2" xfId="0" applyFont="1" applyBorder="1"/>
    <xf numFmtId="9" fontId="0" fillId="0" borderId="2" xfId="0" applyNumberFormat="1" applyBorder="1"/>
    <xf numFmtId="0" fontId="0" fillId="19" borderId="2" xfId="0" applyFill="1" applyBorder="1"/>
    <xf numFmtId="164" fontId="0" fillId="0" borderId="2" xfId="0" applyNumberFormat="1" applyBorder="1"/>
    <xf numFmtId="9" fontId="73" fillId="5" borderId="148" xfId="2" applyFont="1" applyFill="1" applyBorder="1" applyAlignment="1" applyProtection="1">
      <alignment horizontal="center" vertical="center"/>
      <protection hidden="1"/>
    </xf>
    <xf numFmtId="9" fontId="73" fillId="5" borderId="149" xfId="2" applyFont="1" applyFill="1" applyBorder="1" applyAlignment="1" applyProtection="1">
      <alignment horizontal="center" vertical="center"/>
      <protection hidden="1"/>
    </xf>
    <xf numFmtId="164" fontId="62" fillId="5" borderId="149" xfId="2" applyNumberFormat="1" applyFont="1" applyFill="1" applyBorder="1" applyAlignment="1" applyProtection="1">
      <alignment horizontal="center" vertical="center"/>
      <protection hidden="1"/>
    </xf>
    <xf numFmtId="0" fontId="64" fillId="3" borderId="150" xfId="0" applyFont="1" applyFill="1" applyBorder="1" applyProtection="1">
      <protection hidden="1"/>
    </xf>
    <xf numFmtId="0" fontId="15" fillId="3" borderId="151" xfId="0" applyFont="1" applyFill="1" applyBorder="1" applyAlignment="1" applyProtection="1">
      <alignment horizontal="right" vertical="center"/>
      <protection hidden="1"/>
    </xf>
    <xf numFmtId="0" fontId="87" fillId="10" borderId="2" xfId="0" applyFont="1" applyFill="1" applyBorder="1"/>
    <xf numFmtId="0" fontId="7" fillId="3" borderId="37" xfId="0" applyFont="1" applyFill="1" applyBorder="1" applyAlignment="1">
      <alignment horizontal="left" vertical="center"/>
    </xf>
    <xf numFmtId="0" fontId="7" fillId="3" borderId="0" xfId="0" applyFont="1" applyFill="1" applyAlignment="1">
      <alignment horizontal="left" vertical="center"/>
    </xf>
    <xf numFmtId="0" fontId="1" fillId="5" borderId="0" xfId="0" applyFont="1" applyFill="1" applyAlignment="1">
      <alignment vertical="center"/>
    </xf>
    <xf numFmtId="165" fontId="7" fillId="3" borderId="152" xfId="0" applyNumberFormat="1" applyFont="1" applyFill="1" applyBorder="1" applyAlignment="1">
      <alignment horizontal="left" vertical="center"/>
    </xf>
    <xf numFmtId="0" fontId="0" fillId="0" borderId="27" xfId="0" applyBorder="1"/>
    <xf numFmtId="0" fontId="15" fillId="3" borderId="102" xfId="0" applyFont="1" applyFill="1" applyBorder="1" applyAlignment="1" applyProtection="1">
      <alignment horizontal="right" vertical="center"/>
      <protection hidden="1"/>
    </xf>
    <xf numFmtId="0" fontId="0" fillId="24" borderId="53" xfId="0" applyFill="1" applyBorder="1" applyAlignment="1">
      <alignment horizontal="right"/>
    </xf>
    <xf numFmtId="0" fontId="31" fillId="0" borderId="15" xfId="0" applyFont="1" applyBorder="1"/>
    <xf numFmtId="0" fontId="31" fillId="0" borderId="3" xfId="0" applyFont="1" applyBorder="1" applyAlignment="1">
      <alignment wrapText="1"/>
    </xf>
    <xf numFmtId="0" fontId="18" fillId="3" borderId="38" xfId="0" applyFont="1" applyFill="1" applyBorder="1" applyAlignment="1">
      <alignment vertical="top"/>
    </xf>
    <xf numFmtId="0" fontId="0" fillId="0" borderId="6" xfId="0" applyBorder="1"/>
    <xf numFmtId="0" fontId="0" fillId="8" borderId="6" xfId="0" applyFill="1" applyBorder="1"/>
    <xf numFmtId="0" fontId="0" fillId="18" borderId="6" xfId="0" applyFill="1" applyBorder="1"/>
    <xf numFmtId="0" fontId="0" fillId="13" borderId="153" xfId="0" applyFill="1" applyBorder="1"/>
    <xf numFmtId="0" fontId="0" fillId="10" borderId="74" xfId="0" applyFill="1" applyBorder="1"/>
    <xf numFmtId="0" fontId="0" fillId="9" borderId="74" xfId="0" applyFill="1" applyBorder="1"/>
    <xf numFmtId="0" fontId="22" fillId="10" borderId="74" xfId="0" applyFont="1" applyFill="1" applyBorder="1" applyAlignment="1">
      <alignment wrapText="1"/>
    </xf>
    <xf numFmtId="0" fontId="22" fillId="10" borderId="143" xfId="0" applyFont="1" applyFill="1" applyBorder="1" applyAlignment="1">
      <alignment horizontal="center"/>
    </xf>
    <xf numFmtId="0" fontId="0" fillId="0" borderId="154" xfId="0" applyBorder="1"/>
    <xf numFmtId="0" fontId="31" fillId="13" borderId="114" xfId="0" applyFont="1" applyFill="1" applyBorder="1" applyAlignment="1">
      <alignment wrapText="1"/>
    </xf>
    <xf numFmtId="0" fontId="0" fillId="8" borderId="155" xfId="0" applyFill="1" applyBorder="1"/>
    <xf numFmtId="0" fontId="22" fillId="10" borderId="52" xfId="0" applyFont="1" applyFill="1" applyBorder="1"/>
    <xf numFmtId="0" fontId="31" fillId="8" borderId="54" xfId="0" applyFont="1" applyFill="1" applyBorder="1" applyAlignment="1">
      <alignment horizontal="right" wrapText="1"/>
    </xf>
    <xf numFmtId="0" fontId="0" fillId="18" borderId="54" xfId="0" applyFill="1" applyBorder="1"/>
    <xf numFmtId="0" fontId="31" fillId="13" borderId="57" xfId="0" applyFont="1" applyFill="1" applyBorder="1" applyAlignment="1">
      <alignment wrapText="1"/>
    </xf>
    <xf numFmtId="0" fontId="22" fillId="10" borderId="103" xfId="0" applyFont="1" applyFill="1" applyBorder="1"/>
    <xf numFmtId="0" fontId="0" fillId="8" borderId="7" xfId="0" applyFill="1" applyBorder="1" applyAlignment="1">
      <alignment horizontal="center" wrapText="1"/>
    </xf>
    <xf numFmtId="0" fontId="22" fillId="10" borderId="65" xfId="0" applyFont="1" applyFill="1" applyBorder="1" applyAlignment="1">
      <alignment wrapText="1"/>
    </xf>
    <xf numFmtId="0" fontId="31" fillId="8" borderId="7" xfId="0" applyFont="1" applyFill="1" applyBorder="1" applyAlignment="1">
      <alignment horizontal="center" wrapText="1"/>
    </xf>
    <xf numFmtId="0" fontId="0" fillId="13" borderId="114" xfId="0" applyFill="1" applyBorder="1"/>
    <xf numFmtId="0" fontId="0" fillId="18" borderId="67" xfId="0" applyFill="1" applyBorder="1"/>
    <xf numFmtId="0" fontId="0" fillId="0" borderId="146" xfId="0" applyBorder="1"/>
    <xf numFmtId="0" fontId="0" fillId="20" borderId="2" xfId="0" applyFill="1" applyBorder="1"/>
    <xf numFmtId="0" fontId="0" fillId="0" borderId="78" xfId="0" applyBorder="1"/>
    <xf numFmtId="0" fontId="0" fillId="8" borderId="19" xfId="0" applyFill="1" applyBorder="1"/>
    <xf numFmtId="0" fontId="0" fillId="8" borderId="70" xfId="0" applyFill="1" applyBorder="1"/>
    <xf numFmtId="0" fontId="0" fillId="8" borderId="22" xfId="0" applyFill="1" applyBorder="1"/>
    <xf numFmtId="0" fontId="0" fillId="20" borderId="0" xfId="0" applyFill="1" applyAlignment="1">
      <alignment horizontal="right"/>
    </xf>
    <xf numFmtId="1" fontId="0" fillId="20" borderId="2" xfId="0" applyNumberFormat="1" applyFill="1" applyBorder="1"/>
    <xf numFmtId="1" fontId="0" fillId="20" borderId="54" xfId="0" applyNumberFormat="1" applyFill="1" applyBorder="1"/>
    <xf numFmtId="1" fontId="31" fillId="20" borderId="54" xfId="0" applyNumberFormat="1" applyFont="1" applyFill="1" applyBorder="1"/>
    <xf numFmtId="1" fontId="0" fillId="20" borderId="53" xfId="0" applyNumberFormat="1" applyFill="1" applyBorder="1"/>
    <xf numFmtId="0" fontId="31" fillId="2" borderId="0" xfId="0" applyFont="1" applyFill="1" applyProtection="1">
      <protection hidden="1"/>
    </xf>
    <xf numFmtId="0" fontId="0" fillId="8" borderId="7" xfId="0" applyFill="1" applyBorder="1" applyProtection="1">
      <protection hidden="1"/>
    </xf>
    <xf numFmtId="0" fontId="101" fillId="3" borderId="125" xfId="0" applyFont="1" applyFill="1" applyBorder="1" applyAlignment="1" applyProtection="1">
      <alignment horizontal="right" vertical="center"/>
      <protection hidden="1"/>
    </xf>
    <xf numFmtId="0" fontId="7" fillId="3" borderId="128" xfId="0" applyFont="1" applyFill="1" applyBorder="1" applyAlignment="1" applyProtection="1">
      <alignment horizontal="right" vertical="center"/>
      <protection hidden="1"/>
    </xf>
    <xf numFmtId="0" fontId="35" fillId="2" borderId="0" xfId="0" applyFont="1" applyFill="1" applyAlignment="1">
      <alignment horizontal="left" vertical="center" wrapText="1"/>
    </xf>
    <xf numFmtId="0" fontId="0" fillId="0" borderId="0" xfId="0" applyAlignment="1" applyProtection="1">
      <alignment wrapText="1"/>
      <protection hidden="1"/>
    </xf>
    <xf numFmtId="0" fontId="0" fillId="20" borderId="53" xfId="0" applyFill="1" applyBorder="1"/>
    <xf numFmtId="0" fontId="77" fillId="2" borderId="0" xfId="0" applyFont="1" applyFill="1" applyAlignment="1" applyProtection="1">
      <alignment horizontal="center" wrapText="1"/>
      <protection hidden="1"/>
    </xf>
    <xf numFmtId="0" fontId="55" fillId="2" borderId="0" xfId="0" applyFont="1" applyFill="1" applyAlignment="1" applyProtection="1">
      <alignment wrapText="1"/>
      <protection hidden="1"/>
    </xf>
    <xf numFmtId="9" fontId="55" fillId="2" borderId="0" xfId="0" applyNumberFormat="1" applyFont="1" applyFill="1" applyProtection="1">
      <protection hidden="1"/>
    </xf>
    <xf numFmtId="0" fontId="0" fillId="22" borderId="56" xfId="0" applyFill="1" applyBorder="1" applyAlignment="1">
      <alignment wrapText="1"/>
    </xf>
    <xf numFmtId="0" fontId="31" fillId="22" borderId="2" xfId="0" applyFont="1" applyFill="1" applyBorder="1" applyAlignment="1">
      <alignment wrapText="1"/>
    </xf>
    <xf numFmtId="0" fontId="23" fillId="0" borderId="0" xfId="0" applyFont="1" applyAlignment="1">
      <alignment horizontal="right"/>
    </xf>
    <xf numFmtId="0" fontId="34" fillId="2" borderId="0" xfId="0" applyFont="1" applyFill="1" applyAlignment="1" applyProtection="1">
      <alignment horizontal="left" vertical="top" wrapText="1"/>
      <protection hidden="1"/>
    </xf>
    <xf numFmtId="0" fontId="1" fillId="2" borderId="0" xfId="0" applyFont="1" applyFill="1" applyProtection="1">
      <protection hidden="1"/>
    </xf>
    <xf numFmtId="0" fontId="107" fillId="2" borderId="0" xfId="0" applyFont="1" applyFill="1" applyAlignment="1" applyProtection="1">
      <alignment horizontal="left" vertical="top" wrapText="1"/>
      <protection hidden="1"/>
    </xf>
    <xf numFmtId="0" fontId="108" fillId="2" borderId="0" xfId="0" applyFont="1" applyFill="1" applyProtection="1">
      <protection hidden="1"/>
    </xf>
    <xf numFmtId="0" fontId="34" fillId="2" borderId="19" xfId="0" applyFont="1" applyFill="1" applyBorder="1" applyAlignment="1" applyProtection="1">
      <alignment horizontal="left" vertical="top" wrapText="1"/>
      <protection hidden="1"/>
    </xf>
    <xf numFmtId="0" fontId="1" fillId="2" borderId="19" xfId="0" applyFont="1" applyFill="1" applyBorder="1" applyAlignment="1">
      <alignment vertical="center"/>
    </xf>
    <xf numFmtId="0" fontId="22" fillId="0" borderId="0" xfId="0" applyFont="1" applyAlignment="1" applyProtection="1">
      <alignment horizontal="right"/>
      <protection hidden="1"/>
    </xf>
    <xf numFmtId="0" fontId="55" fillId="0" borderId="0" xfId="0" applyFont="1" applyProtection="1">
      <protection hidden="1"/>
    </xf>
    <xf numFmtId="0" fontId="1" fillId="2" borderId="0" xfId="0" applyFont="1" applyFill="1" applyAlignment="1">
      <alignment horizontal="right" vertical="center"/>
    </xf>
    <xf numFmtId="0" fontId="1" fillId="2" borderId="0" xfId="0" applyFont="1" applyFill="1" applyAlignment="1">
      <alignment vertical="center"/>
    </xf>
    <xf numFmtId="0" fontId="109" fillId="2" borderId="0" xfId="0" applyFont="1" applyFill="1" applyAlignment="1">
      <alignment vertical="center"/>
    </xf>
    <xf numFmtId="0" fontId="1" fillId="5" borderId="7" xfId="0" applyFont="1" applyFill="1" applyBorder="1" applyAlignment="1">
      <alignment horizontal="left" vertical="center"/>
    </xf>
    <xf numFmtId="0" fontId="1" fillId="5" borderId="6" xfId="0" applyFont="1" applyFill="1" applyBorder="1" applyAlignment="1">
      <alignment horizontal="left" vertical="center"/>
    </xf>
    <xf numFmtId="0" fontId="7" fillId="3" borderId="13" xfId="0" applyFont="1" applyFill="1" applyBorder="1" applyAlignment="1">
      <alignment horizontal="right" vertical="center"/>
    </xf>
    <xf numFmtId="0" fontId="7" fillId="3" borderId="98" xfId="0" applyFont="1" applyFill="1" applyBorder="1" applyAlignment="1">
      <alignment horizontal="right" vertical="center"/>
    </xf>
    <xf numFmtId="0" fontId="110" fillId="0" borderId="0" xfId="0" applyFont="1" applyAlignment="1">
      <alignment horizontal="left"/>
    </xf>
    <xf numFmtId="0" fontId="7" fillId="3" borderId="156" xfId="0" applyFont="1" applyFill="1" applyBorder="1" applyAlignment="1">
      <alignment horizontal="right" vertical="center"/>
    </xf>
    <xf numFmtId="1" fontId="25" fillId="5" borderId="157" xfId="0" applyNumberFormat="1" applyFont="1" applyFill="1" applyBorder="1" applyAlignment="1">
      <alignment horizontal="center" vertical="center"/>
    </xf>
    <xf numFmtId="0" fontId="25" fillId="4" borderId="130" xfId="0" applyFont="1" applyFill="1" applyBorder="1" applyAlignment="1" applyProtection="1">
      <alignment horizontal="center" vertical="center"/>
      <protection locked="0"/>
    </xf>
    <xf numFmtId="0" fontId="55" fillId="5" borderId="158" xfId="0" applyFont="1" applyFill="1" applyBorder="1" applyAlignment="1">
      <alignment horizontal="right"/>
    </xf>
    <xf numFmtId="1" fontId="55" fillId="0" borderId="5" xfId="0" applyNumberFormat="1" applyFont="1" applyBorder="1" applyProtection="1">
      <protection hidden="1"/>
    </xf>
    <xf numFmtId="0" fontId="55" fillId="5" borderId="46" xfId="0" applyFont="1" applyFill="1" applyBorder="1" applyAlignment="1">
      <alignment horizontal="right"/>
    </xf>
    <xf numFmtId="0" fontId="55" fillId="12" borderId="57" xfId="0" applyFont="1" applyFill="1" applyBorder="1"/>
    <xf numFmtId="0" fontId="55" fillId="12" borderId="55" xfId="0" applyFont="1" applyFill="1" applyBorder="1" applyProtection="1">
      <protection hidden="1"/>
    </xf>
    <xf numFmtId="0" fontId="55" fillId="12" borderId="54" xfId="0" applyFont="1" applyFill="1" applyBorder="1"/>
    <xf numFmtId="0" fontId="55" fillId="12" borderId="53" xfId="0" applyFont="1" applyFill="1" applyBorder="1" applyProtection="1">
      <protection hidden="1"/>
    </xf>
    <xf numFmtId="0" fontId="55" fillId="5" borderId="161" xfId="0" applyFont="1" applyFill="1" applyBorder="1" applyAlignment="1">
      <alignment horizontal="right"/>
    </xf>
    <xf numFmtId="0" fontId="109" fillId="2" borderId="157" xfId="0" applyFont="1" applyFill="1" applyBorder="1" applyAlignment="1">
      <alignment horizontal="center"/>
    </xf>
    <xf numFmtId="0" fontId="109" fillId="2" borderId="129" xfId="0" applyFont="1" applyFill="1" applyBorder="1"/>
    <xf numFmtId="0" fontId="1" fillId="5" borderId="5" xfId="0" applyFont="1" applyFill="1" applyBorder="1" applyAlignment="1">
      <alignment horizontal="center" vertical="center"/>
    </xf>
    <xf numFmtId="0" fontId="7" fillId="3" borderId="14" xfId="0" applyFont="1" applyFill="1" applyBorder="1" applyAlignment="1">
      <alignment horizontal="right" vertical="center"/>
    </xf>
    <xf numFmtId="0" fontId="7" fillId="3" borderId="1" xfId="0" applyFont="1" applyFill="1" applyBorder="1" applyAlignment="1">
      <alignment horizontal="right" vertical="center"/>
    </xf>
    <xf numFmtId="0" fontId="55" fillId="12" borderId="52" xfId="0" applyFont="1" applyFill="1" applyBorder="1"/>
    <xf numFmtId="0" fontId="55" fillId="12" borderId="50" xfId="0" applyFont="1" applyFill="1" applyBorder="1" applyProtection="1">
      <protection hidden="1"/>
    </xf>
    <xf numFmtId="0" fontId="7" fillId="3" borderId="107" xfId="0" applyFont="1" applyFill="1" applyBorder="1" applyAlignment="1">
      <alignment horizontal="right" vertical="center"/>
    </xf>
    <xf numFmtId="0" fontId="7" fillId="3" borderId="42" xfId="0" applyFont="1" applyFill="1" applyBorder="1" applyAlignment="1">
      <alignment horizontal="right" vertical="center"/>
    </xf>
    <xf numFmtId="0" fontId="7" fillId="3" borderId="128" xfId="0" applyFont="1" applyFill="1" applyBorder="1" applyAlignment="1">
      <alignment horizontal="right" vertical="center"/>
    </xf>
    <xf numFmtId="0" fontId="31" fillId="8" borderId="105" xfId="0" applyFont="1" applyFill="1" applyBorder="1" applyProtection="1">
      <protection hidden="1"/>
    </xf>
    <xf numFmtId="0" fontId="1" fillId="2" borderId="1" xfId="0" applyFont="1" applyFill="1" applyBorder="1"/>
    <xf numFmtId="0" fontId="108" fillId="2" borderId="1" xfId="0" applyFont="1" applyFill="1" applyBorder="1"/>
    <xf numFmtId="0" fontId="111" fillId="2" borderId="1" xfId="0" applyFont="1" applyFill="1" applyBorder="1" applyProtection="1">
      <protection hidden="1"/>
    </xf>
    <xf numFmtId="0" fontId="107" fillId="2" borderId="0" xfId="0" applyFont="1" applyFill="1" applyAlignment="1">
      <alignment horizontal="left" vertical="top" wrapText="1"/>
    </xf>
    <xf numFmtId="0" fontId="13" fillId="2" borderId="0" xfId="0" applyFont="1" applyFill="1" applyAlignment="1">
      <alignment horizontal="left" vertical="top" wrapText="1"/>
    </xf>
    <xf numFmtId="0" fontId="22" fillId="6" borderId="7" xfId="0" applyFont="1" applyFill="1" applyBorder="1"/>
    <xf numFmtId="0" fontId="22" fillId="6" borderId="6" xfId="0" applyFont="1" applyFill="1" applyBorder="1"/>
    <xf numFmtId="0" fontId="27" fillId="6" borderId="6" xfId="0" applyFont="1" applyFill="1" applyBorder="1"/>
    <xf numFmtId="0" fontId="22" fillId="6" borderId="6" xfId="0" applyFont="1" applyFill="1" applyBorder="1" applyProtection="1">
      <protection hidden="1"/>
    </xf>
    <xf numFmtId="0" fontId="27" fillId="6" borderId="6" xfId="0" applyFont="1" applyFill="1" applyBorder="1" applyProtection="1">
      <protection locked="0" hidden="1"/>
    </xf>
    <xf numFmtId="0" fontId="7" fillId="3" borderId="97" xfId="0" applyFont="1" applyFill="1" applyBorder="1" applyAlignment="1">
      <alignment horizontal="right" vertical="center"/>
    </xf>
    <xf numFmtId="0" fontId="55" fillId="0" borderId="1" xfId="0" applyFont="1" applyBorder="1"/>
    <xf numFmtId="0" fontId="55" fillId="0" borderId="0" xfId="0" applyFont="1" applyAlignment="1">
      <alignment horizontal="right"/>
    </xf>
    <xf numFmtId="0" fontId="55" fillId="0" borderId="62" xfId="0" applyFont="1" applyBorder="1"/>
    <xf numFmtId="0" fontId="0" fillId="0" borderId="61" xfId="0" applyBorder="1"/>
    <xf numFmtId="0" fontId="55" fillId="0" borderId="60" xfId="0" applyFont="1" applyBorder="1"/>
    <xf numFmtId="0" fontId="0" fillId="0" borderId="80" xfId="0" applyBorder="1"/>
    <xf numFmtId="0" fontId="0" fillId="0" borderId="162" xfId="0" applyBorder="1"/>
    <xf numFmtId="0" fontId="0" fillId="0" borderId="60" xfId="0" applyBorder="1"/>
    <xf numFmtId="0" fontId="23" fillId="0" borderId="6" xfId="0" applyFont="1" applyBorder="1"/>
    <xf numFmtId="9" fontId="0" fillId="0" borderId="54" xfId="0" applyNumberFormat="1" applyBorder="1"/>
    <xf numFmtId="0" fontId="25" fillId="5" borderId="163" xfId="0" applyFont="1" applyFill="1" applyBorder="1" applyAlignment="1" applyProtection="1">
      <alignment horizontal="center"/>
      <protection locked="0"/>
    </xf>
    <xf numFmtId="0" fontId="25" fillId="4" borderId="47" xfId="0" applyFont="1" applyFill="1" applyBorder="1" applyAlignment="1" applyProtection="1">
      <alignment horizontal="center" vertical="center"/>
      <protection locked="0"/>
    </xf>
    <xf numFmtId="0" fontId="109" fillId="2" borderId="157" xfId="0" applyFont="1" applyFill="1" applyBorder="1"/>
    <xf numFmtId="0" fontId="7" fillId="3" borderId="5" xfId="0" applyFont="1" applyFill="1" applyBorder="1" applyAlignment="1">
      <alignment horizontal="right" vertical="center"/>
    </xf>
    <xf numFmtId="0" fontId="34" fillId="0" borderId="0" xfId="0" applyFont="1" applyAlignment="1" applyProtection="1">
      <alignment horizontal="left" vertical="top" wrapText="1"/>
      <protection hidden="1"/>
    </xf>
    <xf numFmtId="0" fontId="111" fillId="2" borderId="165" xfId="0" applyFont="1" applyFill="1" applyBorder="1" applyAlignment="1">
      <alignment horizontal="right"/>
    </xf>
    <xf numFmtId="0" fontId="1" fillId="0" borderId="165" xfId="0" applyFont="1" applyBorder="1"/>
    <xf numFmtId="0" fontId="108" fillId="0" borderId="165" xfId="0" applyFont="1" applyBorder="1"/>
    <xf numFmtId="0" fontId="111" fillId="0" borderId="165" xfId="0" applyFont="1" applyBorder="1"/>
    <xf numFmtId="0" fontId="111" fillId="0" borderId="1" xfId="0" applyFont="1" applyBorder="1" applyProtection="1">
      <protection hidden="1"/>
    </xf>
    <xf numFmtId="0" fontId="22" fillId="0" borderId="165" xfId="0" applyFont="1" applyBorder="1" applyAlignment="1" applyProtection="1">
      <alignment horizontal="right"/>
      <protection hidden="1"/>
    </xf>
    <xf numFmtId="0" fontId="34" fillId="2" borderId="0" xfId="0" applyFont="1" applyFill="1" applyAlignment="1">
      <alignment horizontal="left" vertical="top" wrapText="1"/>
    </xf>
    <xf numFmtId="0" fontId="25" fillId="5" borderId="163" xfId="0" applyFont="1" applyFill="1" applyBorder="1" applyAlignment="1">
      <alignment horizontal="center" vertical="center"/>
    </xf>
    <xf numFmtId="0" fontId="55" fillId="5" borderId="163" xfId="0" applyFont="1" applyFill="1" applyBorder="1" applyAlignment="1">
      <alignment horizontal="right"/>
    </xf>
    <xf numFmtId="0" fontId="34" fillId="0" borderId="0" xfId="0" applyFont="1" applyProtection="1">
      <protection hidden="1"/>
    </xf>
    <xf numFmtId="0" fontId="1" fillId="2" borderId="0" xfId="0" applyFont="1" applyFill="1"/>
    <xf numFmtId="0" fontId="109" fillId="2" borderId="0" xfId="0" applyFont="1" applyFill="1"/>
    <xf numFmtId="0" fontId="25" fillId="5" borderId="158" xfId="0" applyFont="1" applyFill="1" applyBorder="1" applyAlignment="1" applyProtection="1">
      <alignment horizontal="center"/>
      <protection locked="0"/>
    </xf>
    <xf numFmtId="0" fontId="25" fillId="5" borderId="159" xfId="0" applyFont="1" applyFill="1" applyBorder="1" applyAlignment="1" applyProtection="1">
      <alignment horizontal="center"/>
      <protection locked="0"/>
    </xf>
    <xf numFmtId="0" fontId="55" fillId="5" borderId="159" xfId="0" applyFont="1" applyFill="1" applyBorder="1" applyAlignment="1">
      <alignment horizontal="right"/>
    </xf>
    <xf numFmtId="0" fontId="25" fillId="5" borderId="161" xfId="0" applyFont="1" applyFill="1" applyBorder="1" applyAlignment="1" applyProtection="1">
      <alignment horizontal="center"/>
      <protection locked="0"/>
    </xf>
    <xf numFmtId="0" fontId="25" fillId="4" borderId="166" xfId="0" applyFont="1" applyFill="1" applyBorder="1" applyAlignment="1" applyProtection="1">
      <alignment horizontal="center" vertical="center"/>
      <protection locked="0"/>
    </xf>
    <xf numFmtId="0" fontId="55" fillId="12" borderId="67" xfId="0" applyFont="1" applyFill="1" applyBorder="1" applyProtection="1">
      <protection hidden="1"/>
    </xf>
    <xf numFmtId="0" fontId="55" fillId="12" borderId="65" xfId="0" applyFont="1" applyFill="1" applyBorder="1" applyProtection="1">
      <protection hidden="1"/>
    </xf>
    <xf numFmtId="0" fontId="55" fillId="0" borderId="16" xfId="0" applyFont="1" applyBorder="1"/>
    <xf numFmtId="0" fontId="110" fillId="0" borderId="0" xfId="0" applyFont="1"/>
    <xf numFmtId="0" fontId="25" fillId="4" borderId="131" xfId="0" applyFont="1" applyFill="1" applyBorder="1" applyAlignment="1" applyProtection="1">
      <alignment horizontal="center" vertical="center"/>
      <protection locked="0"/>
    </xf>
    <xf numFmtId="0" fontId="55" fillId="5" borderId="164" xfId="0" applyFont="1" applyFill="1" applyBorder="1" applyAlignment="1">
      <alignment horizontal="right"/>
    </xf>
    <xf numFmtId="0" fontId="25" fillId="4" borderId="45" xfId="0" applyFont="1" applyFill="1" applyBorder="1" applyAlignment="1" applyProtection="1">
      <alignment horizontal="center" vertical="center"/>
      <protection locked="0"/>
    </xf>
    <xf numFmtId="0" fontId="31" fillId="8" borderId="49" xfId="0" applyFont="1" applyFill="1" applyBorder="1" applyProtection="1">
      <protection hidden="1"/>
    </xf>
    <xf numFmtId="0" fontId="111" fillId="0" borderId="165" xfId="0" applyFont="1" applyBorder="1" applyProtection="1">
      <protection hidden="1"/>
    </xf>
    <xf numFmtId="0" fontId="55" fillId="0" borderId="0" xfId="0" applyFont="1" applyAlignment="1">
      <alignment horizontal="left"/>
    </xf>
    <xf numFmtId="0" fontId="25" fillId="4" borderId="157" xfId="0" applyFont="1" applyFill="1" applyBorder="1" applyAlignment="1" applyProtection="1">
      <alignment horizontal="center" vertical="center"/>
      <protection locked="0"/>
    </xf>
    <xf numFmtId="0" fontId="55" fillId="5" borderId="157" xfId="0" applyFont="1" applyFill="1" applyBorder="1" applyAlignment="1">
      <alignment horizontal="right"/>
    </xf>
    <xf numFmtId="0" fontId="22" fillId="4" borderId="0" xfId="0" applyFont="1" applyFill="1" applyAlignment="1">
      <alignment horizontal="center"/>
    </xf>
    <xf numFmtId="1" fontId="22" fillId="4" borderId="0" xfId="0" applyNumberFormat="1" applyFont="1" applyFill="1" applyAlignment="1">
      <alignment horizontal="center" vertical="center"/>
    </xf>
    <xf numFmtId="0" fontId="22" fillId="4" borderId="0" xfId="0" applyFont="1" applyFill="1" applyAlignment="1">
      <alignment horizontal="center" vertical="center"/>
    </xf>
    <xf numFmtId="0" fontId="22" fillId="4" borderId="0" xfId="0" applyFont="1" applyFill="1" applyAlignment="1">
      <alignment horizontal="right"/>
    </xf>
    <xf numFmtId="0" fontId="25" fillId="5" borderId="157" xfId="0" applyFont="1" applyFill="1" applyBorder="1" applyAlignment="1" applyProtection="1">
      <alignment horizontal="center"/>
      <protection locked="0"/>
    </xf>
    <xf numFmtId="0" fontId="25" fillId="5" borderId="160" xfId="0" applyFont="1" applyFill="1" applyBorder="1" applyAlignment="1" applyProtection="1">
      <alignment horizontal="center"/>
      <protection locked="0"/>
    </xf>
    <xf numFmtId="0" fontId="25" fillId="0" borderId="0" xfId="0" applyFont="1" applyAlignment="1">
      <alignment horizontal="center"/>
    </xf>
    <xf numFmtId="0" fontId="1" fillId="2" borderId="165" xfId="0" applyFont="1" applyFill="1" applyBorder="1"/>
    <xf numFmtId="0" fontId="108" fillId="2" borderId="165" xfId="0" applyFont="1" applyFill="1" applyBorder="1"/>
    <xf numFmtId="0" fontId="111" fillId="2" borderId="165" xfId="0" applyFont="1" applyFill="1" applyBorder="1" applyProtection="1">
      <protection hidden="1"/>
    </xf>
    <xf numFmtId="0" fontId="1" fillId="0" borderId="1" xfId="0" applyFont="1" applyBorder="1"/>
    <xf numFmtId="0" fontId="108" fillId="0" borderId="1" xfId="0" applyFont="1" applyBorder="1"/>
    <xf numFmtId="0" fontId="111" fillId="0" borderId="1" xfId="0" applyFont="1" applyBorder="1"/>
    <xf numFmtId="0" fontId="55" fillId="0" borderId="49" xfId="0" applyFont="1" applyBorder="1"/>
    <xf numFmtId="0" fontId="112" fillId="2" borderId="0" xfId="0" applyFont="1" applyFill="1" applyProtection="1">
      <protection hidden="1"/>
    </xf>
    <xf numFmtId="0" fontId="34" fillId="0" borderId="0" xfId="0" applyFont="1" applyAlignment="1" applyProtection="1">
      <alignment horizontal="center" vertical="center"/>
      <protection hidden="1"/>
    </xf>
    <xf numFmtId="0" fontId="7" fillId="0" borderId="0" xfId="0" applyFont="1" applyAlignment="1">
      <alignment horizontal="right" vertical="center"/>
    </xf>
    <xf numFmtId="0" fontId="7" fillId="0" borderId="0" xfId="0" applyFont="1" applyAlignment="1">
      <alignment vertical="center"/>
    </xf>
    <xf numFmtId="0" fontId="7" fillId="0" borderId="0" xfId="0" applyFont="1"/>
    <xf numFmtId="0" fontId="55" fillId="0" borderId="2" xfId="0" applyFont="1" applyBorder="1"/>
    <xf numFmtId="0" fontId="34" fillId="2" borderId="0" xfId="0" applyFont="1" applyFill="1" applyAlignment="1">
      <alignment horizontal="left" vertical="top"/>
    </xf>
    <xf numFmtId="0" fontId="110" fillId="0" borderId="0" xfId="0" applyFont="1" applyProtection="1">
      <protection hidden="1"/>
    </xf>
    <xf numFmtId="0" fontId="55" fillId="5" borderId="163" xfId="0" applyFont="1" applyFill="1" applyBorder="1" applyAlignment="1" applyProtection="1">
      <alignment horizontal="center" vertical="center"/>
      <protection locked="0"/>
    </xf>
    <xf numFmtId="0" fontId="55" fillId="0" borderId="61" xfId="0" applyFont="1" applyBorder="1"/>
    <xf numFmtId="0" fontId="55" fillId="12" borderId="66" xfId="0" applyFont="1" applyFill="1" applyBorder="1" applyProtection="1">
      <protection hidden="1"/>
    </xf>
    <xf numFmtId="0" fontId="112" fillId="0" borderId="0" xfId="0" applyFont="1"/>
    <xf numFmtId="0" fontId="55" fillId="12" borderId="67" xfId="0" applyFont="1" applyFill="1" applyBorder="1"/>
    <xf numFmtId="0" fontId="55" fillId="12" borderId="65" xfId="0" applyFont="1" applyFill="1" applyBorder="1"/>
    <xf numFmtId="0" fontId="109" fillId="2" borderId="157" xfId="0" applyFont="1" applyFill="1" applyBorder="1" applyAlignment="1">
      <alignment horizontal="center" wrapText="1"/>
    </xf>
    <xf numFmtId="9" fontId="55" fillId="0" borderId="0" xfId="0" applyNumberFormat="1" applyFont="1" applyProtection="1">
      <protection hidden="1"/>
    </xf>
    <xf numFmtId="0" fontId="55" fillId="12" borderId="49" xfId="0" applyFont="1" applyFill="1" applyBorder="1"/>
    <xf numFmtId="164" fontId="25" fillId="4" borderId="130" xfId="0" applyNumberFormat="1" applyFont="1" applyFill="1" applyBorder="1" applyAlignment="1" applyProtection="1">
      <alignment horizontal="center" vertical="center"/>
      <protection locked="0"/>
    </xf>
    <xf numFmtId="0" fontId="55" fillId="12" borderId="154" xfId="0" applyFont="1" applyFill="1" applyBorder="1"/>
    <xf numFmtId="0" fontId="34" fillId="2" borderId="0" xfId="0" applyFont="1" applyFill="1" applyAlignment="1" applyProtection="1">
      <alignment vertical="center"/>
      <protection hidden="1"/>
    </xf>
    <xf numFmtId="0" fontId="22" fillId="0" borderId="0" xfId="0" applyFont="1" applyProtection="1">
      <protection hidden="1"/>
    </xf>
    <xf numFmtId="0" fontId="34" fillId="2" borderId="0" xfId="0" applyFont="1" applyFill="1" applyAlignment="1" applyProtection="1">
      <alignment horizontal="left" wrapText="1"/>
      <protection hidden="1"/>
    </xf>
    <xf numFmtId="0" fontId="7" fillId="0" borderId="0" xfId="0" applyFont="1" applyAlignment="1">
      <alignment horizontal="right" vertical="top" wrapText="1"/>
    </xf>
    <xf numFmtId="0" fontId="7" fillId="0" borderId="0" xfId="0" applyFont="1" applyAlignment="1">
      <alignment horizontal="right" vertical="top"/>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pplyProtection="1">
      <alignment horizontal="left" vertical="center"/>
      <protection hidden="1"/>
    </xf>
    <xf numFmtId="0" fontId="111" fillId="2" borderId="1" xfId="0" applyFont="1" applyFill="1" applyBorder="1"/>
    <xf numFmtId="0" fontId="112" fillId="0" borderId="0" xfId="0" applyFont="1" applyAlignment="1" applyProtection="1">
      <alignment horizontal="left" vertical="center"/>
      <protection hidden="1"/>
    </xf>
    <xf numFmtId="0" fontId="9" fillId="0" borderId="0" xfId="0" applyFont="1" applyAlignment="1">
      <alignment horizontal="left" vertical="top" wrapText="1"/>
    </xf>
    <xf numFmtId="0" fontId="112" fillId="0" borderId="0" xfId="0" applyFont="1" applyAlignment="1" applyProtection="1">
      <alignment horizontal="left" vertical="center" wrapText="1"/>
      <protection hidden="1"/>
    </xf>
    <xf numFmtId="1" fontId="25" fillId="5" borderId="157" xfId="0" applyNumberFormat="1" applyFont="1" applyFill="1" applyBorder="1" applyAlignment="1" applyProtection="1">
      <alignment horizontal="center" vertical="center"/>
      <protection locked="0"/>
    </xf>
    <xf numFmtId="0" fontId="55" fillId="12" borderId="68" xfId="0" applyFont="1" applyFill="1" applyBorder="1"/>
    <xf numFmtId="0" fontId="0" fillId="0" borderId="2" xfId="0" applyBorder="1" applyAlignment="1" applyProtection="1">
      <alignment horizontal="left"/>
      <protection locked="0"/>
    </xf>
    <xf numFmtId="0" fontId="111" fillId="2" borderId="165" xfId="0" applyFont="1" applyFill="1" applyBorder="1"/>
    <xf numFmtId="0" fontId="25" fillId="5" borderId="129" xfId="0" applyFont="1" applyFill="1" applyBorder="1" applyAlignment="1" applyProtection="1">
      <alignment horizontal="center"/>
      <protection locked="0"/>
    </xf>
    <xf numFmtId="0" fontId="9" fillId="2" borderId="0" xfId="0" applyFont="1" applyFill="1" applyAlignment="1">
      <alignment horizontal="left" vertical="top" wrapText="1"/>
    </xf>
    <xf numFmtId="0" fontId="26" fillId="0" borderId="0" xfId="0" applyFont="1" applyAlignment="1">
      <alignment horizontal="left" vertical="top" wrapText="1"/>
    </xf>
    <xf numFmtId="0" fontId="1" fillId="0" borderId="0" xfId="0" applyFont="1" applyAlignment="1">
      <alignment horizontal="center" vertical="center"/>
    </xf>
    <xf numFmtId="0" fontId="55" fillId="5" borderId="160" xfId="0" applyFont="1" applyFill="1" applyBorder="1" applyAlignment="1" applyProtection="1">
      <alignment horizontal="center" vertical="center"/>
      <protection locked="0"/>
    </xf>
    <xf numFmtId="0" fontId="55" fillId="5" borderId="161" xfId="0" applyFont="1" applyFill="1" applyBorder="1" applyAlignment="1" applyProtection="1">
      <alignment horizontal="center" vertical="center"/>
      <protection locked="0"/>
    </xf>
    <xf numFmtId="0" fontId="55" fillId="0" borderId="168" xfId="0" applyFont="1" applyBorder="1"/>
    <xf numFmtId="0" fontId="25" fillId="5" borderId="164" xfId="0" applyFont="1" applyFill="1" applyBorder="1" applyAlignment="1" applyProtection="1">
      <alignment horizontal="center"/>
      <protection locked="0"/>
    </xf>
    <xf numFmtId="0" fontId="55" fillId="12" borderId="50" xfId="0" applyFont="1" applyFill="1" applyBorder="1"/>
    <xf numFmtId="0" fontId="0" fillId="2" borderId="8" xfId="0" applyFill="1" applyBorder="1" applyProtection="1">
      <protection hidden="1"/>
    </xf>
    <xf numFmtId="0" fontId="0" fillId="5" borderId="24" xfId="0" applyFill="1" applyBorder="1" applyAlignment="1">
      <alignment horizontal="left"/>
    </xf>
    <xf numFmtId="166" fontId="0" fillId="5" borderId="27" xfId="0" applyNumberFormat="1" applyFill="1" applyBorder="1" applyAlignment="1">
      <alignment horizontal="right"/>
    </xf>
    <xf numFmtId="0" fontId="108" fillId="2" borderId="0" xfId="0" applyFont="1" applyFill="1" applyAlignment="1">
      <alignment horizontal="right" vertical="center"/>
    </xf>
    <xf numFmtId="0" fontId="108" fillId="2" borderId="0" xfId="0" applyFont="1" applyFill="1" applyAlignment="1">
      <alignment vertical="center"/>
    </xf>
    <xf numFmtId="0" fontId="113" fillId="0" borderId="1" xfId="0" applyFont="1" applyBorder="1" applyAlignment="1">
      <alignment horizontal="right"/>
    </xf>
    <xf numFmtId="0" fontId="28" fillId="2" borderId="169" xfId="0" applyFont="1" applyFill="1" applyBorder="1" applyAlignment="1">
      <alignment horizontal="left" vertical="center"/>
    </xf>
    <xf numFmtId="0" fontId="28" fillId="2" borderId="0" xfId="0" applyFont="1" applyFill="1" applyAlignment="1">
      <alignment horizontal="center" vertical="center"/>
    </xf>
    <xf numFmtId="0" fontId="35" fillId="2" borderId="1" xfId="0" applyFont="1" applyFill="1" applyBorder="1" applyAlignment="1" applyProtection="1">
      <alignment horizontal="left"/>
      <protection hidden="1"/>
    </xf>
    <xf numFmtId="0" fontId="28" fillId="2" borderId="1" xfId="0" applyFont="1" applyFill="1" applyBorder="1" applyAlignment="1" applyProtection="1">
      <alignment horizontal="center"/>
      <protection hidden="1"/>
    </xf>
    <xf numFmtId="0" fontId="22" fillId="6" borderId="11" xfId="0" applyFont="1" applyFill="1" applyBorder="1"/>
    <xf numFmtId="166" fontId="0" fillId="4" borderId="0" xfId="0" applyNumberFormat="1" applyFill="1"/>
    <xf numFmtId="0" fontId="0" fillId="5" borderId="25" xfId="0" applyFill="1" applyBorder="1" applyAlignment="1">
      <alignment horizontal="left"/>
    </xf>
    <xf numFmtId="166" fontId="0" fillId="5" borderId="25" xfId="0" applyNumberFormat="1" applyFill="1" applyBorder="1" applyAlignment="1">
      <alignment horizontal="right"/>
    </xf>
    <xf numFmtId="166" fontId="22" fillId="6" borderId="6" xfId="0" applyNumberFormat="1" applyFont="1" applyFill="1" applyBorder="1"/>
    <xf numFmtId="0" fontId="22" fillId="6" borderId="6" xfId="0" applyFont="1" applyFill="1" applyBorder="1" applyProtection="1">
      <protection locked="0"/>
    </xf>
    <xf numFmtId="166" fontId="0" fillId="5" borderId="24" xfId="0" applyNumberFormat="1" applyFill="1" applyBorder="1" applyAlignment="1">
      <alignment horizontal="right"/>
    </xf>
    <xf numFmtId="166" fontId="22" fillId="6" borderId="6" xfId="0" applyNumberFormat="1" applyFont="1" applyFill="1" applyBorder="1" applyAlignment="1">
      <alignment horizontal="right"/>
    </xf>
    <xf numFmtId="0" fontId="0" fillId="4" borderId="0" xfId="0" applyFill="1" applyAlignment="1">
      <alignment horizontal="right"/>
    </xf>
    <xf numFmtId="166" fontId="0" fillId="4" borderId="0" xfId="0" applyNumberFormat="1" applyFill="1" applyAlignment="1">
      <alignment horizontal="right"/>
    </xf>
    <xf numFmtId="166" fontId="0" fillId="5" borderId="26" xfId="0" applyNumberFormat="1" applyFill="1" applyBorder="1" applyAlignment="1">
      <alignment horizontal="right"/>
    </xf>
    <xf numFmtId="0" fontId="0" fillId="5" borderId="24" xfId="0" applyFill="1" applyBorder="1" applyAlignment="1">
      <alignment horizontal="right"/>
    </xf>
    <xf numFmtId="1" fontId="25" fillId="4" borderId="166" xfId="0" applyNumberFormat="1" applyFont="1" applyFill="1" applyBorder="1" applyAlignment="1" applyProtection="1">
      <alignment horizontal="center" vertical="center"/>
      <protection locked="0"/>
    </xf>
    <xf numFmtId="0" fontId="22" fillId="6" borderId="6" xfId="0" applyFont="1" applyFill="1" applyBorder="1" applyAlignment="1">
      <alignment horizontal="right"/>
    </xf>
    <xf numFmtId="0" fontId="0" fillId="0" borderId="8" xfId="0" applyBorder="1" applyProtection="1">
      <protection hidden="1"/>
    </xf>
    <xf numFmtId="0" fontId="28" fillId="2" borderId="94" xfId="0" applyFont="1" applyFill="1" applyBorder="1" applyAlignment="1">
      <alignment horizontal="left" vertical="center"/>
    </xf>
    <xf numFmtId="0" fontId="28" fillId="2" borderId="0" xfId="0" applyFont="1" applyFill="1" applyAlignment="1">
      <alignment horizontal="right" vertical="center"/>
    </xf>
    <xf numFmtId="0" fontId="28" fillId="2" borderId="121" xfId="0" applyFont="1" applyFill="1" applyBorder="1" applyAlignment="1">
      <alignment horizontal="left" vertical="center"/>
    </xf>
    <xf numFmtId="0" fontId="28" fillId="2" borderId="108" xfId="0" applyFont="1" applyFill="1" applyBorder="1" applyAlignment="1">
      <alignment horizontal="left" vertical="center"/>
    </xf>
    <xf numFmtId="0" fontId="28" fillId="2" borderId="122" xfId="0" applyFont="1" applyFill="1" applyBorder="1" applyAlignment="1">
      <alignment horizontal="center" vertical="center"/>
    </xf>
    <xf numFmtId="0" fontId="55" fillId="0" borderId="172" xfId="0" applyFont="1" applyBorder="1"/>
    <xf numFmtId="0" fontId="0" fillId="2" borderId="11" xfId="0" applyFill="1" applyBorder="1" applyProtection="1">
      <protection hidden="1"/>
    </xf>
    <xf numFmtId="0" fontId="4" fillId="2" borderId="1" xfId="0" applyFont="1" applyFill="1" applyBorder="1" applyProtection="1">
      <protection hidden="1"/>
    </xf>
    <xf numFmtId="0" fontId="10" fillId="2" borderId="1" xfId="0" applyFont="1" applyFill="1" applyBorder="1" applyProtection="1">
      <protection hidden="1"/>
    </xf>
    <xf numFmtId="0" fontId="22" fillId="10" borderId="71" xfId="0" applyFont="1" applyFill="1" applyBorder="1"/>
    <xf numFmtId="0" fontId="0" fillId="5" borderId="7" xfId="0" applyFill="1" applyBorder="1" applyProtection="1">
      <protection hidden="1"/>
    </xf>
    <xf numFmtId="0" fontId="0" fillId="5" borderId="6" xfId="0" applyFill="1" applyBorder="1" applyProtection="1">
      <protection hidden="1"/>
    </xf>
    <xf numFmtId="0" fontId="15" fillId="3" borderId="6" xfId="0" applyFont="1" applyFill="1" applyBorder="1" applyProtection="1">
      <protection hidden="1"/>
    </xf>
    <xf numFmtId="0" fontId="15" fillId="3" borderId="6" xfId="0" applyFont="1" applyFill="1" applyBorder="1" applyAlignment="1" applyProtection="1">
      <alignment horizontal="left" vertical="center"/>
      <protection hidden="1"/>
    </xf>
    <xf numFmtId="0" fontId="14" fillId="4" borderId="0" xfId="0" applyFont="1" applyFill="1" applyAlignment="1" applyProtection="1">
      <alignment vertical="center"/>
      <protection hidden="1"/>
    </xf>
    <xf numFmtId="0" fontId="30" fillId="3" borderId="7" xfId="0" applyFont="1" applyFill="1" applyBorder="1" applyAlignment="1" applyProtection="1">
      <alignment horizontal="right" vertical="top"/>
      <protection hidden="1"/>
    </xf>
    <xf numFmtId="0" fontId="30" fillId="3" borderId="6" xfId="0" applyFont="1" applyFill="1" applyBorder="1" applyAlignment="1" applyProtection="1">
      <alignment vertical="top"/>
      <protection hidden="1"/>
    </xf>
    <xf numFmtId="0" fontId="30" fillId="3" borderId="4" xfId="0" applyFont="1" applyFill="1" applyBorder="1" applyAlignment="1" applyProtection="1">
      <alignment vertical="top"/>
      <protection hidden="1"/>
    </xf>
    <xf numFmtId="0" fontId="14" fillId="2" borderId="11" xfId="0" applyFont="1" applyFill="1" applyBorder="1" applyAlignment="1" applyProtection="1">
      <alignment vertical="center"/>
      <protection hidden="1"/>
    </xf>
    <xf numFmtId="0" fontId="0" fillId="2" borderId="9" xfId="0" applyFill="1" applyBorder="1" applyProtection="1">
      <protection hidden="1"/>
    </xf>
    <xf numFmtId="0" fontId="22" fillId="6" borderId="7" xfId="0" applyFont="1" applyFill="1" applyBorder="1" applyProtection="1">
      <protection hidden="1"/>
    </xf>
    <xf numFmtId="0" fontId="66" fillId="6" borderId="6" xfId="0" applyFont="1" applyFill="1" applyBorder="1" applyProtection="1">
      <protection hidden="1"/>
    </xf>
    <xf numFmtId="0" fontId="55" fillId="0" borderId="1" xfId="0" applyFont="1" applyBorder="1" applyProtection="1">
      <protection hidden="1"/>
    </xf>
    <xf numFmtId="0" fontId="25" fillId="0" borderId="0" xfId="0" applyFont="1" applyProtection="1">
      <protection hidden="1"/>
    </xf>
    <xf numFmtId="0" fontId="22" fillId="10" borderId="70" xfId="0" applyFont="1" applyFill="1" applyBorder="1"/>
    <xf numFmtId="0" fontId="22" fillId="10" borderId="7" xfId="0" applyFont="1" applyFill="1" applyBorder="1"/>
    <xf numFmtId="0" fontId="22" fillId="10" borderId="75" xfId="0" applyFont="1" applyFill="1" applyBorder="1"/>
    <xf numFmtId="0" fontId="23" fillId="0" borderId="172" xfId="0" applyFont="1" applyBorder="1"/>
    <xf numFmtId="0" fontId="55" fillId="0" borderId="52" xfId="0" applyFont="1" applyBorder="1"/>
    <xf numFmtId="0" fontId="55" fillId="0" borderId="51" xfId="0" applyFont="1" applyBorder="1"/>
    <xf numFmtId="0" fontId="55" fillId="0" borderId="74" xfId="0" applyFont="1" applyBorder="1"/>
    <xf numFmtId="0" fontId="55" fillId="2" borderId="175" xfId="0" applyFont="1" applyFill="1" applyBorder="1"/>
    <xf numFmtId="0" fontId="55" fillId="0" borderId="175" xfId="0" applyFont="1" applyBorder="1"/>
    <xf numFmtId="0" fontId="23" fillId="0" borderId="175" xfId="0" applyFont="1" applyBorder="1"/>
    <xf numFmtId="0" fontId="22" fillId="10" borderId="3" xfId="0" applyFont="1" applyFill="1" applyBorder="1"/>
    <xf numFmtId="0" fontId="1" fillId="5" borderId="176" xfId="0" applyFont="1" applyFill="1" applyBorder="1" applyAlignment="1">
      <alignment vertical="center"/>
    </xf>
    <xf numFmtId="0" fontId="55" fillId="2" borderId="0" xfId="0" applyFont="1" applyFill="1"/>
    <xf numFmtId="165" fontId="7" fillId="3" borderId="177" xfId="0" applyNumberFormat="1" applyFont="1" applyFill="1" applyBorder="1" applyAlignment="1">
      <alignment horizontal="left" vertical="center"/>
    </xf>
    <xf numFmtId="10" fontId="9" fillId="5" borderId="178" xfId="4" applyNumberFormat="1" applyFont="1" applyFill="1" applyBorder="1" applyAlignment="1" applyProtection="1">
      <alignment horizontal="left" vertical="center"/>
    </xf>
    <xf numFmtId="0" fontId="1" fillId="5" borderId="179" xfId="0" applyFont="1" applyFill="1" applyBorder="1" applyAlignment="1">
      <alignment horizontal="left" vertical="center"/>
    </xf>
    <xf numFmtId="0" fontId="55" fillId="0" borderId="71" xfId="0" applyFont="1" applyBorder="1"/>
    <xf numFmtId="0" fontId="1" fillId="5" borderId="180" xfId="0" applyFont="1" applyFill="1" applyBorder="1" applyAlignment="1">
      <alignment horizontal="left" vertical="center"/>
    </xf>
    <xf numFmtId="0" fontId="7" fillId="3" borderId="181" xfId="0" applyFont="1" applyFill="1" applyBorder="1" applyAlignment="1">
      <alignment horizontal="left" vertical="center"/>
    </xf>
    <xf numFmtId="0" fontId="55" fillId="0" borderId="70" xfId="0" applyFont="1" applyBorder="1"/>
    <xf numFmtId="0" fontId="18" fillId="3" borderId="7" xfId="0" applyFont="1" applyFill="1" applyBorder="1" applyAlignment="1">
      <alignment horizontal="right" vertical="top" wrapText="1"/>
    </xf>
    <xf numFmtId="0" fontId="8" fillId="3" borderId="6" xfId="0" applyFont="1" applyFill="1" applyBorder="1" applyAlignment="1">
      <alignment vertical="top"/>
    </xf>
    <xf numFmtId="0" fontId="8" fillId="3" borderId="6" xfId="0" applyFont="1" applyFill="1" applyBorder="1" applyAlignment="1">
      <alignment vertical="top" wrapText="1"/>
    </xf>
    <xf numFmtId="0" fontId="18" fillId="3" borderId="6" xfId="0" applyFont="1" applyFill="1" applyBorder="1" applyAlignment="1">
      <alignment vertical="top" wrapText="1"/>
    </xf>
    <xf numFmtId="0" fontId="18" fillId="3" borderId="4" xfId="0" applyFont="1" applyFill="1" applyBorder="1" applyAlignment="1">
      <alignment vertical="top"/>
    </xf>
    <xf numFmtId="0" fontId="22" fillId="0" borderId="22" xfId="0" applyFont="1" applyBorder="1"/>
    <xf numFmtId="0" fontId="22" fillId="0" borderId="21" xfId="0" applyFont="1" applyBorder="1"/>
    <xf numFmtId="0" fontId="22" fillId="0" borderId="0" xfId="0" applyFont="1"/>
    <xf numFmtId="0" fontId="23" fillId="0" borderId="0" xfId="0" applyFont="1" applyAlignment="1" applyProtection="1">
      <alignment horizontal="right"/>
      <protection hidden="1"/>
    </xf>
    <xf numFmtId="0" fontId="23" fillId="0" borderId="165" xfId="0" applyFont="1" applyBorder="1" applyAlignment="1" applyProtection="1">
      <alignment horizontal="right"/>
      <protection hidden="1"/>
    </xf>
    <xf numFmtId="0" fontId="23" fillId="0" borderId="1" xfId="0" applyFont="1" applyBorder="1" applyAlignment="1" applyProtection="1">
      <alignment horizontal="right"/>
      <protection hidden="1"/>
    </xf>
    <xf numFmtId="0" fontId="8" fillId="25" borderId="0" xfId="0" applyFont="1" applyFill="1" applyProtection="1">
      <protection locked="0"/>
    </xf>
    <xf numFmtId="0" fontId="115" fillId="17" borderId="2" xfId="5" applyBorder="1"/>
    <xf numFmtId="0" fontId="0" fillId="26" borderId="2" xfId="0" applyFill="1" applyBorder="1" applyAlignment="1" applyProtection="1">
      <alignment horizontal="center"/>
      <protection locked="0"/>
    </xf>
    <xf numFmtId="0" fontId="115" fillId="17" borderId="0" xfId="5" applyBorder="1" applyProtection="1">
      <protection locked="0"/>
    </xf>
    <xf numFmtId="0" fontId="8" fillId="26" borderId="0" xfId="0" applyFont="1" applyFill="1" applyProtection="1">
      <protection locked="0"/>
    </xf>
    <xf numFmtId="0" fontId="115" fillId="17" borderId="0" xfId="5"/>
    <xf numFmtId="0" fontId="0" fillId="26" borderId="2" xfId="0" applyFill="1" applyBorder="1" applyProtection="1">
      <protection locked="0"/>
    </xf>
    <xf numFmtId="9" fontId="115" fillId="17" borderId="0" xfId="5" applyNumberFormat="1" applyBorder="1" applyProtection="1">
      <protection locked="0"/>
    </xf>
    <xf numFmtId="1" fontId="115" fillId="17" borderId="0" xfId="5" applyNumberFormat="1" applyBorder="1" applyProtection="1">
      <protection locked="0"/>
    </xf>
    <xf numFmtId="0" fontId="0" fillId="26" borderId="0" xfId="0" applyFill="1" applyProtection="1">
      <protection locked="0"/>
    </xf>
    <xf numFmtId="164" fontId="115" fillId="17" borderId="0" xfId="5" applyNumberFormat="1" applyBorder="1" applyProtection="1">
      <protection locked="0"/>
    </xf>
    <xf numFmtId="0" fontId="0" fillId="9" borderId="0" xfId="0" applyFill="1"/>
    <xf numFmtId="0" fontId="0" fillId="12" borderId="60" xfId="0" applyFill="1" applyBorder="1"/>
    <xf numFmtId="0" fontId="0" fillId="12" borderId="61" xfId="0" applyFill="1" applyBorder="1"/>
    <xf numFmtId="0" fontId="0" fillId="12" borderId="62" xfId="0" applyFill="1" applyBorder="1"/>
    <xf numFmtId="0" fontId="22" fillId="10" borderId="58" xfId="0" applyFont="1" applyFill="1" applyBorder="1"/>
    <xf numFmtId="0" fontId="22" fillId="10" borderId="5" xfId="0" applyFont="1" applyFill="1" applyBorder="1"/>
    <xf numFmtId="0" fontId="22" fillId="10" borderId="59" xfId="0" applyFont="1" applyFill="1" applyBorder="1"/>
    <xf numFmtId="0" fontId="0" fillId="13" borderId="63" xfId="0" applyFill="1" applyBorder="1"/>
    <xf numFmtId="0" fontId="0" fillId="13" borderId="3" xfId="0" applyFill="1" applyBorder="1"/>
    <xf numFmtId="0" fontId="0" fillId="13" borderId="64" xfId="0" applyFill="1" applyBorder="1"/>
    <xf numFmtId="9" fontId="115" fillId="17" borderId="0" xfId="5" applyNumberFormat="1" applyBorder="1" applyAlignment="1" applyProtection="1">
      <alignment horizontal="right"/>
      <protection locked="0"/>
    </xf>
    <xf numFmtId="0" fontId="115" fillId="17" borderId="0" xfId="5" applyBorder="1"/>
    <xf numFmtId="0" fontId="9" fillId="26" borderId="0" xfId="0" applyFont="1" applyFill="1" applyProtection="1">
      <protection locked="0"/>
    </xf>
    <xf numFmtId="0" fontId="9" fillId="26" borderId="0" xfId="0" applyFont="1" applyFill="1" applyProtection="1">
      <protection hidden="1"/>
    </xf>
    <xf numFmtId="1" fontId="25" fillId="8" borderId="7" xfId="0" applyNumberFormat="1" applyFont="1" applyFill="1" applyBorder="1" applyAlignment="1" applyProtection="1">
      <alignment horizontal="center" vertical="center"/>
      <protection locked="0"/>
    </xf>
    <xf numFmtId="0" fontId="55" fillId="5" borderId="159" xfId="0" applyFont="1" applyFill="1" applyBorder="1" applyAlignment="1">
      <alignment horizontal="right" wrapText="1"/>
    </xf>
    <xf numFmtId="0" fontId="0" fillId="5" borderId="161" xfId="0" applyFill="1" applyBorder="1" applyAlignment="1">
      <alignment horizontal="right"/>
    </xf>
    <xf numFmtId="0" fontId="0" fillId="5" borderId="159" xfId="0" applyFill="1" applyBorder="1" applyAlignment="1">
      <alignment horizontal="right"/>
    </xf>
    <xf numFmtId="0" fontId="0" fillId="5" borderId="158" xfId="0" applyFill="1" applyBorder="1" applyAlignment="1">
      <alignment horizontal="right"/>
    </xf>
    <xf numFmtId="0" fontId="112" fillId="0" borderId="0" xfId="0" applyFont="1" applyProtection="1">
      <protection hidden="1"/>
    </xf>
    <xf numFmtId="0" fontId="34" fillId="2" borderId="2" xfId="0" applyFont="1" applyFill="1" applyBorder="1" applyAlignment="1" applyProtection="1">
      <alignment horizontal="left" vertical="top" wrapText="1"/>
      <protection hidden="1"/>
    </xf>
    <xf numFmtId="0" fontId="55" fillId="0" borderId="50" xfId="0" applyFont="1" applyBorder="1"/>
    <xf numFmtId="0" fontId="55" fillId="0" borderId="53" xfId="0" applyFont="1" applyBorder="1"/>
    <xf numFmtId="0" fontId="55" fillId="0" borderId="54" xfId="0" applyFont="1" applyBorder="1"/>
    <xf numFmtId="0" fontId="34" fillId="2" borderId="53" xfId="0" applyFont="1" applyFill="1" applyBorder="1" applyAlignment="1" applyProtection="1">
      <alignment horizontal="left" vertical="top" wrapText="1"/>
      <protection hidden="1"/>
    </xf>
    <xf numFmtId="0" fontId="34" fillId="2" borderId="54" xfId="0" applyFont="1" applyFill="1" applyBorder="1" applyAlignment="1" applyProtection="1">
      <alignment horizontal="left" vertical="top" wrapText="1"/>
      <protection hidden="1"/>
    </xf>
    <xf numFmtId="0" fontId="34" fillId="2" borderId="55" xfId="0" applyFont="1" applyFill="1" applyBorder="1" applyAlignment="1" applyProtection="1">
      <alignment horizontal="left" vertical="top" wrapText="1"/>
      <protection hidden="1"/>
    </xf>
    <xf numFmtId="0" fontId="34" fillId="2" borderId="56" xfId="0" applyFont="1" applyFill="1" applyBorder="1" applyAlignment="1" applyProtection="1">
      <alignment horizontal="left" vertical="top" wrapText="1"/>
      <protection hidden="1"/>
    </xf>
    <xf numFmtId="0" fontId="34" fillId="2" borderId="57" xfId="0" applyFont="1" applyFill="1" applyBorder="1" applyAlignment="1" applyProtection="1">
      <alignment horizontal="left" vertical="top" wrapText="1"/>
      <protection hidden="1"/>
    </xf>
    <xf numFmtId="0" fontId="0" fillId="0" borderId="172" xfId="0" applyBorder="1"/>
    <xf numFmtId="0" fontId="55" fillId="0" borderId="58" xfId="0" applyFont="1" applyBorder="1"/>
    <xf numFmtId="0" fontId="55" fillId="12" borderId="2" xfId="0" applyFont="1" applyFill="1" applyBorder="1"/>
    <xf numFmtId="0" fontId="55" fillId="12" borderId="53" xfId="0" applyFont="1" applyFill="1" applyBorder="1"/>
    <xf numFmtId="1" fontId="55" fillId="12" borderId="2" xfId="0" applyNumberFormat="1" applyFont="1" applyFill="1" applyBorder="1"/>
    <xf numFmtId="1" fontId="25" fillId="5" borderId="163" xfId="0" applyNumberFormat="1" applyFont="1" applyFill="1" applyBorder="1" applyAlignment="1" applyProtection="1">
      <alignment horizontal="center" vertical="center"/>
      <protection locked="0"/>
    </xf>
    <xf numFmtId="0" fontId="41" fillId="0" borderId="53" xfId="0" applyFont="1" applyBorder="1"/>
    <xf numFmtId="0" fontId="23" fillId="27" borderId="0" xfId="0" applyFont="1" applyFill="1"/>
    <xf numFmtId="0" fontId="55" fillId="27" borderId="0" xfId="0" applyFont="1" applyFill="1" applyProtection="1">
      <protection hidden="1"/>
    </xf>
    <xf numFmtId="0" fontId="55" fillId="27" borderId="0" xfId="0" applyFont="1" applyFill="1"/>
    <xf numFmtId="9" fontId="0" fillId="27" borderId="2" xfId="0" applyNumberFormat="1" applyFill="1" applyBorder="1"/>
    <xf numFmtId="9" fontId="0" fillId="27" borderId="54" xfId="0" applyNumberFormat="1" applyFill="1" applyBorder="1"/>
    <xf numFmtId="0" fontId="0" fillId="27" borderId="53" xfId="0" applyFill="1" applyBorder="1"/>
    <xf numFmtId="0" fontId="0" fillId="27" borderId="2" xfId="0" applyFill="1" applyBorder="1"/>
    <xf numFmtId="0" fontId="0" fillId="27" borderId="54" xfId="0" applyFill="1" applyBorder="1"/>
    <xf numFmtId="0" fontId="23" fillId="27" borderId="6" xfId="0" applyFont="1" applyFill="1" applyBorder="1"/>
    <xf numFmtId="0" fontId="0" fillId="27" borderId="4" xfId="0" applyFill="1" applyBorder="1"/>
    <xf numFmtId="0" fontId="0" fillId="27" borderId="60" xfId="0" applyFill="1" applyBorder="1"/>
    <xf numFmtId="0" fontId="0" fillId="27" borderId="162" xfId="0" applyFill="1" applyBorder="1"/>
    <xf numFmtId="0" fontId="0" fillId="27" borderId="61" xfId="0" applyFill="1" applyBorder="1"/>
    <xf numFmtId="0" fontId="0" fillId="27" borderId="80" xfId="0" applyFill="1" applyBorder="1"/>
    <xf numFmtId="0" fontId="55" fillId="27" borderId="60" xfId="0" applyFont="1" applyFill="1" applyBorder="1"/>
    <xf numFmtId="0" fontId="55" fillId="27" borderId="61" xfId="0" applyFont="1" applyFill="1" applyBorder="1"/>
    <xf numFmtId="0" fontId="55" fillId="27" borderId="62" xfId="0" applyFont="1" applyFill="1" applyBorder="1"/>
    <xf numFmtId="0" fontId="55" fillId="0" borderId="59" xfId="0" applyFont="1" applyBorder="1"/>
    <xf numFmtId="0" fontId="55" fillId="0" borderId="63" xfId="0" applyFont="1" applyBorder="1"/>
    <xf numFmtId="0" fontId="55" fillId="12" borderId="155" xfId="0" applyFont="1" applyFill="1" applyBorder="1"/>
    <xf numFmtId="0" fontId="55" fillId="12" borderId="51" xfId="0" applyFont="1" applyFill="1" applyBorder="1"/>
    <xf numFmtId="0" fontId="55" fillId="12" borderId="55" xfId="0" applyFont="1" applyFill="1" applyBorder="1"/>
    <xf numFmtId="0" fontId="55" fillId="12" borderId="56" xfId="0" applyFont="1" applyFill="1" applyBorder="1"/>
    <xf numFmtId="0" fontId="0" fillId="12" borderId="56" xfId="0" applyFill="1" applyBorder="1"/>
    <xf numFmtId="0" fontId="55" fillId="12" borderId="81" xfId="0" applyFont="1" applyFill="1" applyBorder="1"/>
    <xf numFmtId="0" fontId="55" fillId="12" borderId="113" xfId="0" applyFont="1" applyFill="1" applyBorder="1"/>
    <xf numFmtId="0" fontId="55" fillId="12" borderId="19" xfId="0" applyFont="1" applyFill="1" applyBorder="1"/>
    <xf numFmtId="0" fontId="55" fillId="12" borderId="20" xfId="0" applyFont="1" applyFill="1" applyBorder="1"/>
    <xf numFmtId="0" fontId="0" fillId="27" borderId="0" xfId="0" applyFill="1"/>
    <xf numFmtId="9" fontId="55" fillId="12" borderId="53" xfId="0" applyNumberFormat="1" applyFont="1" applyFill="1" applyBorder="1"/>
    <xf numFmtId="0" fontId="55" fillId="0" borderId="167" xfId="0" applyFont="1" applyBorder="1"/>
    <xf numFmtId="9" fontId="55" fillId="12" borderId="55" xfId="0" applyNumberFormat="1" applyFont="1" applyFill="1" applyBorder="1"/>
    <xf numFmtId="0" fontId="55" fillId="0" borderId="182" xfId="0" applyFont="1" applyBorder="1"/>
    <xf numFmtId="0" fontId="41" fillId="0" borderId="0" xfId="0" applyFont="1" applyAlignment="1">
      <alignment horizontal="left"/>
    </xf>
    <xf numFmtId="0" fontId="55" fillId="12" borderId="16" xfId="0" applyFont="1" applyFill="1" applyBorder="1"/>
    <xf numFmtId="1" fontId="0" fillId="5" borderId="161" xfId="0" applyNumberFormat="1" applyFill="1" applyBorder="1" applyAlignment="1">
      <alignment horizontal="center" vertical="center"/>
    </xf>
    <xf numFmtId="0" fontId="0" fillId="5" borderId="129" xfId="0" applyFill="1" applyBorder="1" applyAlignment="1" applyProtection="1">
      <alignment horizontal="center"/>
      <protection locked="0"/>
    </xf>
    <xf numFmtId="0" fontId="0" fillId="5" borderId="159" xfId="0" applyFill="1" applyBorder="1" applyAlignment="1" applyProtection="1">
      <alignment horizontal="center"/>
      <protection locked="0"/>
    </xf>
    <xf numFmtId="1" fontId="0" fillId="5" borderId="157" xfId="0" applyNumberFormat="1" applyFill="1" applyBorder="1" applyAlignment="1">
      <alignment horizontal="center" vertical="center"/>
    </xf>
    <xf numFmtId="1" fontId="0" fillId="5" borderId="158" xfId="0" applyNumberFormat="1" applyFill="1" applyBorder="1" applyAlignment="1">
      <alignment horizontal="center" vertical="center"/>
    </xf>
    <xf numFmtId="1" fontId="0" fillId="5" borderId="163" xfId="0" applyNumberFormat="1" applyFill="1" applyBorder="1" applyAlignment="1">
      <alignment horizontal="center" vertical="center"/>
    </xf>
    <xf numFmtId="0" fontId="34" fillId="12" borderId="53" xfId="0" applyFont="1" applyFill="1" applyBorder="1"/>
    <xf numFmtId="0" fontId="34" fillId="12" borderId="2" xfId="0" applyFont="1" applyFill="1" applyBorder="1"/>
    <xf numFmtId="0" fontId="55" fillId="12" borderId="2" xfId="0" applyFont="1" applyFill="1" applyBorder="1" applyProtection="1">
      <protection hidden="1"/>
    </xf>
    <xf numFmtId="1" fontId="0" fillId="5" borderId="160" xfId="0" applyNumberFormat="1" applyFill="1" applyBorder="1" applyAlignment="1">
      <alignment horizontal="center" vertical="center"/>
    </xf>
    <xf numFmtId="1" fontId="55" fillId="0" borderId="2" xfId="0" applyNumberFormat="1" applyFont="1" applyBorder="1"/>
    <xf numFmtId="0" fontId="34" fillId="12" borderId="50" xfId="0" applyFont="1" applyFill="1" applyBorder="1"/>
    <xf numFmtId="1" fontId="55" fillId="0" borderId="54" xfId="0" applyNumberFormat="1" applyFont="1" applyBorder="1"/>
    <xf numFmtId="0" fontId="34" fillId="12" borderId="55" xfId="0" applyFont="1" applyFill="1" applyBorder="1"/>
    <xf numFmtId="1" fontId="55" fillId="0" borderId="57" xfId="0" applyNumberFormat="1" applyFont="1" applyBorder="1"/>
    <xf numFmtId="9" fontId="25" fillId="4" borderId="0" xfId="0" applyNumberFormat="1" applyFont="1" applyFill="1" applyAlignment="1" applyProtection="1">
      <alignment horizontal="center" vertical="center"/>
      <protection locked="0"/>
    </xf>
    <xf numFmtId="0" fontId="0" fillId="5" borderId="163" xfId="0" applyFill="1" applyBorder="1" applyAlignment="1">
      <alignment horizontal="right"/>
    </xf>
    <xf numFmtId="0" fontId="0" fillId="4" borderId="163" xfId="0" applyFill="1" applyBorder="1" applyAlignment="1" applyProtection="1">
      <alignment horizontal="center" vertical="center"/>
      <protection locked="0"/>
    </xf>
    <xf numFmtId="0" fontId="34" fillId="18" borderId="0" xfId="0" applyFont="1" applyFill="1" applyProtection="1">
      <protection hidden="1"/>
    </xf>
    <xf numFmtId="0" fontId="7" fillId="3" borderId="2" xfId="0" applyFont="1" applyFill="1" applyBorder="1" applyAlignment="1">
      <alignment horizontal="right" vertical="center"/>
    </xf>
    <xf numFmtId="0" fontId="105" fillId="0" borderId="0" xfId="0" applyFont="1"/>
    <xf numFmtId="0" fontId="0" fillId="0" borderId="2" xfId="0" applyBorder="1" applyAlignment="1" applyProtection="1">
      <alignment wrapText="1"/>
      <protection locked="0"/>
    </xf>
    <xf numFmtId="0" fontId="0" fillId="2" borderId="11" xfId="0" applyFill="1" applyBorder="1" applyAlignment="1" applyProtection="1">
      <alignment wrapText="1"/>
      <protection hidden="1"/>
    </xf>
    <xf numFmtId="0" fontId="15" fillId="3" borderId="6" xfId="0" applyFont="1" applyFill="1" applyBorder="1" applyAlignment="1" applyProtection="1">
      <alignment wrapText="1"/>
      <protection hidden="1"/>
    </xf>
    <xf numFmtId="0" fontId="22" fillId="0" borderId="19" xfId="0" applyFont="1" applyBorder="1" applyProtection="1">
      <protection hidden="1"/>
    </xf>
    <xf numFmtId="0" fontId="23" fillId="0" borderId="19" xfId="0" applyFont="1" applyBorder="1" applyAlignment="1" applyProtection="1">
      <alignment horizontal="right"/>
      <protection hidden="1"/>
    </xf>
    <xf numFmtId="0" fontId="0" fillId="0" borderId="11" xfId="0" applyBorder="1"/>
    <xf numFmtId="0" fontId="0" fillId="0" borderId="12" xfId="0" applyBorder="1"/>
    <xf numFmtId="0" fontId="0" fillId="0" borderId="8" xfId="0" applyBorder="1"/>
    <xf numFmtId="0" fontId="0" fillId="0" borderId="62" xfId="0" applyBorder="1"/>
    <xf numFmtId="0" fontId="0" fillId="0" borderId="1" xfId="0" applyBorder="1" applyAlignment="1">
      <alignment wrapText="1"/>
    </xf>
    <xf numFmtId="0" fontId="0" fillId="0" borderId="14" xfId="0" applyBorder="1"/>
    <xf numFmtId="0" fontId="30" fillId="3" borderId="6" xfId="0" applyFont="1" applyFill="1" applyBorder="1" applyAlignment="1" applyProtection="1">
      <alignment vertical="top" wrapText="1"/>
      <protection hidden="1"/>
    </xf>
    <xf numFmtId="0" fontId="15" fillId="3" borderId="95" xfId="0" applyFont="1" applyFill="1" applyBorder="1" applyProtection="1">
      <protection hidden="1"/>
    </xf>
    <xf numFmtId="0" fontId="15" fillId="3" borderId="174" xfId="0" applyFont="1" applyFill="1" applyBorder="1" applyProtection="1">
      <protection hidden="1"/>
    </xf>
    <xf numFmtId="0" fontId="15" fillId="3" borderId="174" xfId="0" applyFont="1" applyFill="1" applyBorder="1" applyAlignment="1" applyProtection="1">
      <alignment wrapText="1"/>
      <protection hidden="1"/>
    </xf>
    <xf numFmtId="0" fontId="15" fillId="3" borderId="173" xfId="0" applyFont="1" applyFill="1" applyBorder="1" applyProtection="1">
      <protection hidden="1"/>
    </xf>
    <xf numFmtId="1" fontId="25" fillId="4" borderId="7" xfId="0" applyNumberFormat="1" applyFont="1" applyFill="1" applyBorder="1" applyAlignment="1" applyProtection="1">
      <alignment horizontal="center" vertical="center"/>
      <protection locked="0"/>
    </xf>
    <xf numFmtId="0" fontId="25" fillId="8" borderId="7" xfId="0" applyFont="1" applyFill="1" applyBorder="1" applyAlignment="1" applyProtection="1">
      <alignment horizontal="center" vertical="center"/>
      <protection locked="0"/>
    </xf>
    <xf numFmtId="2" fontId="25" fillId="8" borderId="7" xfId="0" applyNumberFormat="1" applyFont="1" applyFill="1" applyBorder="1" applyAlignment="1" applyProtection="1">
      <alignment horizontal="center" vertical="center"/>
      <protection locked="0"/>
    </xf>
    <xf numFmtId="0" fontId="55" fillId="18" borderId="175" xfId="0" applyFont="1" applyFill="1" applyBorder="1" applyAlignment="1">
      <alignment horizontal="right"/>
    </xf>
    <xf numFmtId="0" fontId="34" fillId="5" borderId="13" xfId="0" applyFont="1" applyFill="1" applyBorder="1" applyAlignment="1">
      <alignment horizontal="center" vertical="center"/>
    </xf>
    <xf numFmtId="0" fontId="34" fillId="5" borderId="1" xfId="0" applyFont="1" applyFill="1" applyBorder="1" applyAlignment="1">
      <alignment horizontal="center" vertical="center"/>
    </xf>
    <xf numFmtId="10" fontId="34" fillId="5" borderId="5" xfId="4" applyNumberFormat="1" applyFont="1" applyFill="1" applyBorder="1" applyAlignment="1" applyProtection="1">
      <alignment horizontal="center" vertical="center"/>
    </xf>
    <xf numFmtId="0" fontId="34" fillId="5" borderId="5" xfId="0" applyFont="1" applyFill="1" applyBorder="1" applyAlignment="1">
      <alignment horizontal="center" vertical="center"/>
    </xf>
    <xf numFmtId="0" fontId="0" fillId="4" borderId="166"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1" fontId="0" fillId="5" borderId="159" xfId="0" applyNumberFormat="1" applyFill="1" applyBorder="1" applyAlignment="1">
      <alignment horizontal="center" vertical="center"/>
    </xf>
    <xf numFmtId="0" fontId="0" fillId="4" borderId="45" xfId="0" applyFill="1" applyBorder="1" applyAlignment="1" applyProtection="1">
      <alignment horizontal="center" vertical="center"/>
      <protection locked="0"/>
    </xf>
    <xf numFmtId="1" fontId="0" fillId="5" borderId="2" xfId="0" applyNumberFormat="1" applyFill="1" applyBorder="1" applyAlignment="1">
      <alignment horizontal="center" vertical="center"/>
    </xf>
    <xf numFmtId="10" fontId="0" fillId="5" borderId="2" xfId="0" applyNumberFormat="1" applyFill="1" applyBorder="1" applyAlignment="1">
      <alignment horizontal="center" vertical="center"/>
    </xf>
    <xf numFmtId="1" fontId="0" fillId="5" borderId="129" xfId="0" applyNumberFormat="1" applyFill="1" applyBorder="1" applyAlignment="1">
      <alignment horizontal="center" vertical="center"/>
    </xf>
    <xf numFmtId="0" fontId="0" fillId="4" borderId="130" xfId="0" applyFill="1" applyBorder="1" applyAlignment="1" applyProtection="1">
      <alignment horizontal="center" vertical="center"/>
      <protection locked="0"/>
    </xf>
    <xf numFmtId="0" fontId="55" fillId="4" borderId="157" xfId="0" applyFont="1" applyFill="1" applyBorder="1" applyAlignment="1" applyProtection="1">
      <alignment horizontal="center" vertical="center"/>
      <protection locked="0"/>
    </xf>
    <xf numFmtId="0" fontId="55" fillId="4" borderId="166" xfId="0" applyFont="1" applyFill="1" applyBorder="1" applyAlignment="1" applyProtection="1">
      <alignment horizontal="center" vertical="center"/>
      <protection locked="0"/>
    </xf>
    <xf numFmtId="0" fontId="55" fillId="4" borderId="130" xfId="0" applyFont="1" applyFill="1" applyBorder="1" applyAlignment="1" applyProtection="1">
      <alignment horizontal="center" vertical="center"/>
      <protection locked="0"/>
    </xf>
    <xf numFmtId="0" fontId="55" fillId="4" borderId="47" xfId="0" applyFont="1" applyFill="1" applyBorder="1" applyAlignment="1" applyProtection="1">
      <alignment horizontal="center" vertical="center"/>
      <protection locked="0"/>
    </xf>
    <xf numFmtId="1" fontId="55" fillId="5" borderId="160" xfId="0" applyNumberFormat="1" applyFont="1" applyFill="1" applyBorder="1" applyAlignment="1">
      <alignment horizontal="center" vertical="center"/>
    </xf>
    <xf numFmtId="1" fontId="55" fillId="5" borderId="129" xfId="0" applyNumberFormat="1" applyFont="1" applyFill="1" applyBorder="1" applyAlignment="1">
      <alignment horizontal="center" vertical="center"/>
    </xf>
    <xf numFmtId="0" fontId="55" fillId="5" borderId="129" xfId="0" applyFont="1" applyFill="1" applyBorder="1" applyAlignment="1" applyProtection="1">
      <alignment horizontal="center"/>
      <protection locked="0"/>
    </xf>
    <xf numFmtId="1" fontId="55" fillId="5" borderId="164" xfId="0" applyNumberFormat="1" applyFont="1" applyFill="1" applyBorder="1" applyAlignment="1">
      <alignment horizontal="center" vertical="center"/>
    </xf>
    <xf numFmtId="1" fontId="55" fillId="5" borderId="157" xfId="0" applyNumberFormat="1" applyFont="1" applyFill="1" applyBorder="1" applyAlignment="1">
      <alignment horizontal="center" vertical="center"/>
    </xf>
    <xf numFmtId="0" fontId="55" fillId="5" borderId="157" xfId="0" applyFont="1" applyFill="1" applyBorder="1" applyAlignment="1" applyProtection="1">
      <alignment horizontal="center"/>
      <protection locked="0"/>
    </xf>
    <xf numFmtId="1" fontId="55" fillId="5" borderId="161" xfId="0" applyNumberFormat="1" applyFont="1" applyFill="1" applyBorder="1" applyAlignment="1">
      <alignment horizontal="center" vertical="center"/>
    </xf>
    <xf numFmtId="1" fontId="55" fillId="5" borderId="158" xfId="0" applyNumberFormat="1" applyFont="1" applyFill="1" applyBorder="1" applyAlignment="1">
      <alignment horizontal="center" vertical="center"/>
    </xf>
    <xf numFmtId="1" fontId="55" fillId="5" borderId="163" xfId="0" applyNumberFormat="1" applyFont="1" applyFill="1" applyBorder="1" applyAlignment="1">
      <alignment horizontal="center" vertical="center"/>
    </xf>
    <xf numFmtId="0" fontId="109" fillId="2" borderId="0" xfId="0" applyFont="1" applyFill="1" applyAlignment="1">
      <alignment horizontal="center"/>
    </xf>
    <xf numFmtId="164" fontId="0" fillId="5" borderId="2" xfId="0" applyNumberFormat="1" applyFill="1" applyBorder="1" applyAlignment="1">
      <alignment horizontal="center" vertical="center"/>
    </xf>
    <xf numFmtId="0" fontId="0" fillId="5" borderId="164" xfId="0" applyFill="1" applyBorder="1" applyAlignment="1" applyProtection="1">
      <alignment horizontal="center"/>
      <protection locked="0"/>
    </xf>
    <xf numFmtId="0" fontId="0" fillId="5" borderId="158" xfId="0" applyFill="1" applyBorder="1" applyAlignment="1" applyProtection="1">
      <alignment horizontal="center"/>
      <protection locked="0"/>
    </xf>
    <xf numFmtId="0" fontId="0" fillId="5" borderId="46" xfId="0" applyFill="1" applyBorder="1" applyAlignment="1">
      <alignment horizontal="right"/>
    </xf>
    <xf numFmtId="1" fontId="0" fillId="5" borderId="46" xfId="0" applyNumberFormat="1" applyFill="1" applyBorder="1" applyAlignment="1">
      <alignment horizontal="center" vertical="center"/>
    </xf>
    <xf numFmtId="0" fontId="0" fillId="5" borderId="46" xfId="0" applyFill="1" applyBorder="1" applyAlignment="1">
      <alignment horizontal="center" vertical="center"/>
    </xf>
    <xf numFmtId="0" fontId="0" fillId="5" borderId="129" xfId="0" applyFill="1" applyBorder="1" applyAlignment="1">
      <alignment horizontal="right"/>
    </xf>
    <xf numFmtId="166" fontId="0" fillId="5" borderId="2" xfId="0" applyNumberFormat="1" applyFill="1" applyBorder="1" applyAlignment="1">
      <alignment horizontal="center" vertical="center"/>
    </xf>
    <xf numFmtId="0" fontId="34" fillId="2" borderId="165" xfId="0" applyFont="1" applyFill="1" applyBorder="1"/>
    <xf numFmtId="0" fontId="0" fillId="5" borderId="163" xfId="0" applyFill="1" applyBorder="1" applyAlignment="1" applyProtection="1">
      <alignment horizontal="center"/>
      <protection locked="0"/>
    </xf>
    <xf numFmtId="0" fontId="0" fillId="5" borderId="161" xfId="0" applyFill="1" applyBorder="1" applyAlignment="1" applyProtection="1">
      <alignment horizontal="center" vertical="center"/>
      <protection locked="0"/>
    </xf>
    <xf numFmtId="0" fontId="0" fillId="4" borderId="157" xfId="0" applyFill="1" applyBorder="1" applyAlignment="1" applyProtection="1">
      <alignment horizontal="center" vertical="center"/>
      <protection locked="0"/>
    </xf>
    <xf numFmtId="1" fontId="0" fillId="5" borderId="164" xfId="0" applyNumberFormat="1" applyFill="1" applyBorder="1" applyAlignment="1">
      <alignment horizontal="center" vertical="center"/>
    </xf>
    <xf numFmtId="0" fontId="0" fillId="4" borderId="129" xfId="0" applyFill="1" applyBorder="1" applyAlignment="1" applyProtection="1">
      <alignment horizontal="center" vertical="center"/>
      <protection locked="0"/>
    </xf>
    <xf numFmtId="0" fontId="0" fillId="5" borderId="161" xfId="0" applyFill="1" applyBorder="1" applyAlignment="1">
      <alignment horizontal="right" wrapText="1"/>
    </xf>
    <xf numFmtId="0" fontId="0" fillId="5" borderId="157" xfId="0" applyFill="1" applyBorder="1" applyAlignment="1">
      <alignment horizontal="right"/>
    </xf>
    <xf numFmtId="164" fontId="0" fillId="5" borderId="5" xfId="0" applyNumberFormat="1" applyFill="1" applyBorder="1" applyAlignment="1">
      <alignment horizontal="center" vertical="center"/>
    </xf>
    <xf numFmtId="0" fontId="0" fillId="5" borderId="2" xfId="0" applyFill="1" applyBorder="1" applyAlignment="1">
      <alignment horizontal="center" vertical="center"/>
    </xf>
    <xf numFmtId="0" fontId="111" fillId="0" borderId="165" xfId="0" applyFont="1" applyBorder="1" applyAlignment="1">
      <alignment horizontal="right"/>
    </xf>
    <xf numFmtId="166" fontId="0" fillId="5" borderId="161" xfId="0" applyNumberFormat="1" applyFill="1" applyBorder="1" applyAlignment="1">
      <alignment horizontal="center" vertical="center"/>
    </xf>
    <xf numFmtId="166" fontId="0" fillId="5" borderId="159" xfId="0" applyNumberFormat="1" applyFill="1" applyBorder="1" applyAlignment="1">
      <alignment horizontal="center" vertical="center"/>
    </xf>
    <xf numFmtId="166" fontId="0" fillId="5" borderId="158" xfId="0" applyNumberFormat="1" applyFill="1" applyBorder="1" applyAlignment="1">
      <alignment horizontal="center" vertical="center"/>
    </xf>
    <xf numFmtId="166" fontId="0" fillId="5" borderId="160" xfId="0" applyNumberFormat="1" applyFill="1" applyBorder="1" applyAlignment="1">
      <alignment horizontal="center" vertical="center"/>
    </xf>
    <xf numFmtId="1" fontId="25" fillId="5" borderId="160" xfId="0" applyNumberFormat="1" applyFont="1" applyFill="1" applyBorder="1" applyAlignment="1" applyProtection="1">
      <alignment horizontal="center" vertical="center"/>
      <protection locked="0"/>
    </xf>
    <xf numFmtId="0" fontId="0" fillId="5" borderId="157" xfId="0" applyFill="1" applyBorder="1" applyAlignment="1">
      <alignment horizontal="center" vertical="center"/>
    </xf>
    <xf numFmtId="0" fontId="55" fillId="12" borderId="82" xfId="0" applyFont="1" applyFill="1" applyBorder="1"/>
    <xf numFmtId="0" fontId="55" fillId="12" borderId="15" xfId="0" applyFont="1" applyFill="1" applyBorder="1"/>
    <xf numFmtId="0" fontId="55" fillId="12" borderId="83" xfId="0" applyFont="1" applyFill="1" applyBorder="1"/>
    <xf numFmtId="0" fontId="55" fillId="12" borderId="0" xfId="0" applyFont="1" applyFill="1"/>
    <xf numFmtId="0" fontId="0" fillId="5" borderId="163" xfId="0" applyFill="1" applyBorder="1" applyAlignment="1">
      <alignment horizontal="center" vertical="center"/>
    </xf>
    <xf numFmtId="0" fontId="0" fillId="5" borderId="163" xfId="0" applyFill="1" applyBorder="1" applyAlignment="1" applyProtection="1">
      <alignment horizontal="center" vertical="center"/>
      <protection locked="0"/>
    </xf>
    <xf numFmtId="0" fontId="0" fillId="5" borderId="158" xfId="0" applyFill="1" applyBorder="1" applyAlignment="1">
      <alignment horizontal="center" vertical="center"/>
    </xf>
    <xf numFmtId="9" fontId="0" fillId="4" borderId="157" xfId="0" applyNumberFormat="1" applyFill="1" applyBorder="1" applyAlignment="1" applyProtection="1">
      <alignment horizontal="center" vertical="center"/>
      <protection locked="0"/>
    </xf>
    <xf numFmtId="2" fontId="25" fillId="4" borderId="166" xfId="0" applyNumberFormat="1" applyFont="1" applyFill="1" applyBorder="1" applyAlignment="1" applyProtection="1">
      <alignment horizontal="center" vertical="center"/>
      <protection locked="0"/>
    </xf>
    <xf numFmtId="2" fontId="0" fillId="4" borderId="45" xfId="0" applyNumberFormat="1" applyFill="1" applyBorder="1" applyAlignment="1" applyProtection="1">
      <alignment horizontal="center" vertical="center"/>
      <protection locked="0"/>
    </xf>
    <xf numFmtId="9" fontId="0" fillId="4" borderId="130" xfId="0" applyNumberFormat="1" applyFill="1" applyBorder="1" applyAlignment="1" applyProtection="1">
      <alignment horizontal="center" vertical="center"/>
      <protection locked="0"/>
    </xf>
    <xf numFmtId="2" fontId="0" fillId="4" borderId="130" xfId="0" applyNumberFormat="1" applyFill="1" applyBorder="1" applyAlignment="1" applyProtection="1">
      <alignment horizontal="center" vertical="center"/>
      <protection locked="0"/>
    </xf>
    <xf numFmtId="2" fontId="25" fillId="4" borderId="163" xfId="0" applyNumberFormat="1" applyFont="1" applyFill="1" applyBorder="1" applyAlignment="1" applyProtection="1">
      <alignment horizontal="center" vertical="center"/>
      <protection locked="0"/>
    </xf>
    <xf numFmtId="9" fontId="25" fillId="4" borderId="163" xfId="0" applyNumberFormat="1" applyFont="1" applyFill="1" applyBorder="1" applyAlignment="1" applyProtection="1">
      <alignment horizontal="center" vertical="center"/>
      <protection locked="0"/>
    </xf>
    <xf numFmtId="0" fontId="0" fillId="5" borderId="43" xfId="0" applyFill="1" applyBorder="1" applyAlignment="1">
      <alignment horizontal="right"/>
    </xf>
    <xf numFmtId="0" fontId="0" fillId="4" borderId="2" xfId="0" applyFill="1" applyBorder="1" applyAlignment="1" applyProtection="1">
      <alignment horizontal="center" vertical="center"/>
      <protection locked="0"/>
    </xf>
    <xf numFmtId="1" fontId="0" fillId="5" borderId="183" xfId="0" applyNumberFormat="1" applyFill="1" applyBorder="1" applyAlignment="1">
      <alignment horizontal="center" vertical="center"/>
    </xf>
    <xf numFmtId="0" fontId="25" fillId="4" borderId="0" xfId="0" applyFont="1" applyFill="1" applyAlignment="1" applyProtection="1">
      <alignment horizontal="left" vertical="center"/>
      <protection locked="0"/>
    </xf>
    <xf numFmtId="9" fontId="0" fillId="4" borderId="166" xfId="0" applyNumberFormat="1" applyFill="1" applyBorder="1" applyAlignment="1" applyProtection="1">
      <alignment horizontal="center" vertical="center"/>
      <protection locked="0"/>
    </xf>
    <xf numFmtId="0" fontId="0" fillId="5" borderId="166" xfId="0" applyFill="1" applyBorder="1" applyAlignment="1" applyProtection="1">
      <alignment horizontal="center" vertical="center"/>
      <protection locked="0"/>
    </xf>
    <xf numFmtId="2" fontId="0" fillId="4" borderId="45" xfId="0" applyNumberFormat="1" applyFill="1" applyBorder="1" applyAlignment="1" applyProtection="1">
      <alignment horizontal="center" vertical="center" wrapText="1"/>
      <protection locked="0"/>
    </xf>
    <xf numFmtId="2" fontId="0" fillId="4" borderId="157" xfId="0" applyNumberFormat="1" applyFill="1" applyBorder="1" applyAlignment="1" applyProtection="1">
      <alignment horizontal="center" vertical="center" wrapText="1"/>
      <protection locked="0"/>
    </xf>
    <xf numFmtId="0" fontId="0" fillId="5" borderId="166" xfId="0" applyFill="1" applyBorder="1" applyAlignment="1">
      <alignment horizontal="center" vertical="center"/>
    </xf>
    <xf numFmtId="0" fontId="0" fillId="5" borderId="161" xfId="0" applyFill="1" applyBorder="1" applyAlignment="1">
      <alignment horizontal="center" vertical="center"/>
    </xf>
    <xf numFmtId="0" fontId="0" fillId="5" borderId="159" xfId="0" applyFill="1" applyBorder="1" applyAlignment="1">
      <alignment horizontal="center" vertical="center"/>
    </xf>
    <xf numFmtId="0" fontId="69" fillId="2" borderId="12" xfId="0" applyFont="1" applyFill="1" applyBorder="1" applyAlignment="1" applyProtection="1">
      <alignment wrapText="1"/>
      <protection hidden="1"/>
    </xf>
    <xf numFmtId="9" fontId="62" fillId="5" borderId="107" xfId="2" applyFont="1" applyFill="1" applyBorder="1" applyAlignment="1" applyProtection="1">
      <alignment horizontal="center" vertical="center"/>
      <protection hidden="1"/>
    </xf>
    <xf numFmtId="9" fontId="62" fillId="5" borderId="101" xfId="2" applyFont="1" applyFill="1" applyBorder="1" applyAlignment="1" applyProtection="1">
      <alignment horizontal="center" vertical="center"/>
      <protection hidden="1"/>
    </xf>
    <xf numFmtId="164" fontId="62" fillId="5" borderId="101" xfId="2" applyNumberFormat="1" applyFont="1" applyFill="1" applyBorder="1" applyAlignment="1" applyProtection="1">
      <alignment horizontal="center" vertical="center"/>
      <protection hidden="1"/>
    </xf>
    <xf numFmtId="0" fontId="69" fillId="2" borderId="15" xfId="0" applyFont="1" applyFill="1" applyBorder="1" applyAlignment="1" applyProtection="1">
      <alignment wrapText="1"/>
      <protection hidden="1"/>
    </xf>
    <xf numFmtId="0" fontId="65" fillId="2" borderId="5" xfId="0" applyFont="1" applyFill="1" applyBorder="1" applyAlignment="1" applyProtection="1">
      <alignment horizontal="center" wrapText="1"/>
      <protection hidden="1"/>
    </xf>
    <xf numFmtId="0" fontId="62" fillId="5" borderId="128" xfId="0" applyFont="1" applyFill="1" applyBorder="1" applyAlignment="1" applyProtection="1">
      <alignment horizontal="center" vertical="center"/>
      <protection hidden="1"/>
    </xf>
    <xf numFmtId="0" fontId="62" fillId="5" borderId="124" xfId="0" applyFont="1" applyFill="1" applyBorder="1" applyAlignment="1" applyProtection="1">
      <alignment horizontal="center" vertical="center"/>
      <protection hidden="1"/>
    </xf>
    <xf numFmtId="0" fontId="61" fillId="5" borderId="124" xfId="0" applyFont="1" applyFill="1" applyBorder="1" applyAlignment="1" applyProtection="1">
      <alignment horizontal="center" vertical="center"/>
      <protection hidden="1"/>
    </xf>
    <xf numFmtId="164" fontId="62" fillId="5" borderId="107" xfId="2" applyNumberFormat="1" applyFont="1" applyFill="1" applyBorder="1" applyAlignment="1" applyProtection="1">
      <alignment horizontal="center" vertical="center"/>
      <protection hidden="1"/>
    </xf>
    <xf numFmtId="164" fontId="61" fillId="5" borderId="101" xfId="2" applyNumberFormat="1" applyFont="1" applyFill="1" applyBorder="1" applyAlignment="1" applyProtection="1">
      <alignment horizontal="center" vertical="center"/>
      <protection hidden="1"/>
    </xf>
    <xf numFmtId="164" fontId="55" fillId="4" borderId="0" xfId="0" applyNumberFormat="1" applyFont="1" applyFill="1" applyProtection="1">
      <protection hidden="1"/>
    </xf>
    <xf numFmtId="0" fontId="64" fillId="3" borderId="100" xfId="0" applyFont="1" applyFill="1" applyBorder="1" applyAlignment="1" applyProtection="1">
      <alignment horizontal="left" vertical="center"/>
      <protection hidden="1"/>
    </xf>
    <xf numFmtId="0" fontId="64" fillId="3" borderId="100" xfId="0" applyFont="1" applyFill="1" applyBorder="1" applyAlignment="1" applyProtection="1">
      <alignment horizontal="right" vertical="center"/>
      <protection hidden="1"/>
    </xf>
    <xf numFmtId="164" fontId="62" fillId="5" borderId="102" xfId="2" applyNumberFormat="1" applyFont="1" applyFill="1" applyBorder="1" applyAlignment="1" applyProtection="1">
      <alignment horizontal="center" vertical="center"/>
      <protection hidden="1"/>
    </xf>
    <xf numFmtId="10" fontId="9" fillId="5" borderId="5" xfId="4" applyNumberFormat="1" applyFont="1" applyFill="1" applyBorder="1" applyAlignment="1" applyProtection="1">
      <alignment horizontal="center" vertical="center"/>
    </xf>
    <xf numFmtId="0" fontId="9" fillId="5" borderId="5" xfId="0" applyFont="1" applyFill="1" applyBorder="1" applyAlignment="1">
      <alignment horizontal="center" vertical="center"/>
    </xf>
    <xf numFmtId="0" fontId="25" fillId="5" borderId="161" xfId="0" applyFont="1" applyFill="1" applyBorder="1" applyAlignment="1">
      <alignment horizontal="right"/>
    </xf>
    <xf numFmtId="0" fontId="25" fillId="5" borderId="158" xfId="0" applyFont="1" applyFill="1" applyBorder="1" applyAlignment="1">
      <alignment horizontal="right"/>
    </xf>
    <xf numFmtId="1" fontId="25" fillId="5" borderId="2" xfId="0" applyNumberFormat="1" applyFont="1" applyFill="1" applyBorder="1" applyAlignment="1">
      <alignment horizontal="center" vertical="center"/>
    </xf>
    <xf numFmtId="10" fontId="25" fillId="5" borderId="2" xfId="0" applyNumberFormat="1" applyFont="1" applyFill="1" applyBorder="1" applyAlignment="1">
      <alignment horizontal="center" vertical="center"/>
    </xf>
    <xf numFmtId="164" fontId="25" fillId="5" borderId="5" xfId="0" applyNumberFormat="1" applyFont="1" applyFill="1" applyBorder="1" applyAlignment="1">
      <alignment horizontal="center" vertical="center"/>
    </xf>
    <xf numFmtId="0" fontId="9" fillId="5" borderId="13" xfId="0" applyFont="1" applyFill="1" applyBorder="1" applyAlignment="1">
      <alignment horizontal="center" vertical="center"/>
    </xf>
    <xf numFmtId="0" fontId="9" fillId="5" borderId="1" xfId="0" applyFont="1" applyFill="1" applyBorder="1" applyAlignment="1">
      <alignment horizontal="center" vertical="center"/>
    </xf>
    <xf numFmtId="0" fontId="22" fillId="21" borderId="78" xfId="0" applyFont="1" applyFill="1" applyBorder="1" applyAlignment="1">
      <alignment horizontal="center" wrapText="1"/>
    </xf>
    <xf numFmtId="0" fontId="22" fillId="28" borderId="78" xfId="0" applyFont="1" applyFill="1" applyBorder="1" applyAlignment="1">
      <alignment horizontal="center" wrapText="1"/>
    </xf>
    <xf numFmtId="0" fontId="22" fillId="29" borderId="143" xfId="0" applyFont="1" applyFill="1" applyBorder="1" applyAlignment="1">
      <alignment horizontal="center" wrapText="1"/>
    </xf>
    <xf numFmtId="0" fontId="22" fillId="30" borderId="143" xfId="0" applyFont="1" applyFill="1" applyBorder="1" applyAlignment="1">
      <alignment horizontal="center" wrapText="1"/>
    </xf>
    <xf numFmtId="0" fontId="7" fillId="3" borderId="15" xfId="0" applyFont="1" applyFill="1" applyBorder="1" applyAlignment="1" applyProtection="1">
      <alignment horizontal="right" vertical="top"/>
      <protection hidden="1"/>
    </xf>
    <xf numFmtId="0" fontId="7" fillId="3" borderId="15" xfId="0" applyFont="1" applyFill="1" applyBorder="1" applyAlignment="1" applyProtection="1">
      <alignment horizontal="right" vertical="center" wrapText="1"/>
      <protection hidden="1"/>
    </xf>
    <xf numFmtId="0" fontId="1" fillId="0" borderId="2" xfId="0" applyFont="1" applyBorder="1" applyAlignment="1" applyProtection="1">
      <alignment horizontal="left" vertical="center" wrapText="1"/>
      <protection locked="0"/>
    </xf>
    <xf numFmtId="0" fontId="1" fillId="31" borderId="2" xfId="0" applyFont="1" applyFill="1" applyBorder="1" applyAlignment="1" applyProtection="1">
      <alignment vertical="center" wrapText="1"/>
      <protection locked="0"/>
    </xf>
    <xf numFmtId="0" fontId="31" fillId="2" borderId="1" xfId="0" applyFont="1" applyFill="1" applyBorder="1" applyAlignment="1" applyProtection="1">
      <alignment horizontal="center"/>
      <protection hidden="1"/>
    </xf>
    <xf numFmtId="3" fontId="1" fillId="0" borderId="2" xfId="0" applyNumberFormat="1" applyFont="1" applyBorder="1" applyAlignment="1" applyProtection="1">
      <alignment vertical="center" wrapText="1"/>
      <protection locked="0"/>
    </xf>
    <xf numFmtId="0" fontId="0" fillId="5" borderId="27" xfId="0" applyFill="1" applyBorder="1" applyAlignment="1">
      <alignment horizontal="left"/>
    </xf>
    <xf numFmtId="0" fontId="0" fillId="5" borderId="28" xfId="0" applyFill="1" applyBorder="1" applyAlignment="1">
      <alignment horizontal="left"/>
    </xf>
    <xf numFmtId="0" fontId="0" fillId="5" borderId="6" xfId="0" applyFill="1" applyBorder="1" applyAlignment="1">
      <alignment vertical="top"/>
    </xf>
    <xf numFmtId="0" fontId="0" fillId="5" borderId="2" xfId="0" applyFill="1" applyBorder="1" applyAlignment="1">
      <alignment vertical="top"/>
    </xf>
    <xf numFmtId="0" fontId="25" fillId="4" borderId="166" xfId="0" applyFont="1" applyFill="1" applyBorder="1" applyAlignment="1" applyProtection="1">
      <alignment horizontal="center" vertical="center" wrapText="1"/>
      <protection locked="0"/>
    </xf>
    <xf numFmtId="0" fontId="25" fillId="4" borderId="47" xfId="0" applyFont="1" applyFill="1" applyBorder="1" applyAlignment="1" applyProtection="1">
      <alignment horizontal="center" vertical="center" wrapText="1"/>
      <protection locked="0"/>
    </xf>
    <xf numFmtId="0" fontId="25" fillId="4" borderId="130" xfId="0" applyFont="1" applyFill="1" applyBorder="1" applyAlignment="1" applyProtection="1">
      <alignment horizontal="center" vertical="center" wrapText="1"/>
      <protection locked="0"/>
    </xf>
    <xf numFmtId="0" fontId="0" fillId="5" borderId="46" xfId="0" applyFill="1" applyBorder="1" applyAlignment="1">
      <alignment horizontal="right" vertical="center"/>
    </xf>
    <xf numFmtId="0" fontId="0" fillId="5" borderId="159" xfId="0" applyFill="1" applyBorder="1" applyAlignment="1">
      <alignment horizontal="right" vertical="center"/>
    </xf>
    <xf numFmtId="0" fontId="0" fillId="5" borderId="157" xfId="0" applyFill="1" applyBorder="1" applyAlignment="1">
      <alignment horizontal="right" vertical="center"/>
    </xf>
    <xf numFmtId="166" fontId="25" fillId="4" borderId="166" xfId="0" applyNumberFormat="1" applyFont="1" applyFill="1" applyBorder="1" applyAlignment="1" applyProtection="1">
      <alignment horizontal="center" vertical="center"/>
      <protection locked="0"/>
    </xf>
    <xf numFmtId="166" fontId="0" fillId="4" borderId="45" xfId="0" applyNumberFormat="1" applyFill="1" applyBorder="1" applyAlignment="1" applyProtection="1">
      <alignment horizontal="center" vertical="center"/>
      <protection locked="0"/>
    </xf>
    <xf numFmtId="0" fontId="0" fillId="0" borderId="0" xfId="0" applyAlignment="1">
      <alignment vertical="center"/>
    </xf>
    <xf numFmtId="0" fontId="22" fillId="6" borderId="0" xfId="0" applyFont="1" applyFill="1"/>
    <xf numFmtId="0" fontId="22" fillId="6" borderId="0" xfId="0" applyFont="1" applyFill="1" applyProtection="1">
      <protection locked="0"/>
    </xf>
    <xf numFmtId="0" fontId="25" fillId="5" borderId="46" xfId="0" applyFont="1" applyFill="1" applyBorder="1" applyAlignment="1">
      <alignment horizontal="right"/>
    </xf>
    <xf numFmtId="0" fontId="0" fillId="5" borderId="45" xfId="0" applyFill="1" applyBorder="1" applyAlignment="1" applyProtection="1">
      <alignment horizontal="center" vertical="center"/>
      <protection locked="0"/>
    </xf>
    <xf numFmtId="9" fontId="0" fillId="5" borderId="130" xfId="0" applyNumberFormat="1" applyFill="1" applyBorder="1" applyAlignment="1" applyProtection="1">
      <alignment horizontal="center" vertical="center"/>
      <protection locked="0"/>
    </xf>
    <xf numFmtId="0" fontId="65" fillId="2" borderId="13" xfId="0" applyFont="1" applyFill="1" applyBorder="1" applyAlignment="1" applyProtection="1">
      <alignment horizontal="center" wrapText="1"/>
      <protection hidden="1"/>
    </xf>
    <xf numFmtId="0" fontId="22" fillId="4" borderId="0" xfId="0" applyFont="1" applyFill="1" applyProtection="1">
      <protection hidden="1"/>
    </xf>
    <xf numFmtId="0" fontId="0" fillId="5" borderId="25" xfId="0" applyFill="1" applyBorder="1" applyAlignment="1" applyProtection="1">
      <alignment horizontal="left"/>
      <protection hidden="1"/>
    </xf>
    <xf numFmtId="0" fontId="0" fillId="5" borderId="30" xfId="0" applyFill="1" applyBorder="1" applyAlignment="1" applyProtection="1">
      <alignment horizontal="left"/>
      <protection hidden="1"/>
    </xf>
    <xf numFmtId="0" fontId="0" fillId="5" borderId="42" xfId="0" applyFill="1" applyBorder="1" applyAlignment="1" applyProtection="1">
      <alignment horizontal="left"/>
      <protection hidden="1"/>
    </xf>
    <xf numFmtId="0" fontId="31" fillId="5" borderId="25" xfId="0" applyFont="1" applyFill="1" applyBorder="1" applyAlignment="1" applyProtection="1">
      <alignment horizontal="center"/>
      <protection hidden="1"/>
    </xf>
    <xf numFmtId="0" fontId="0" fillId="5" borderId="25" xfId="0" applyFill="1" applyBorder="1" applyAlignment="1" applyProtection="1">
      <alignment horizontal="center"/>
      <protection hidden="1"/>
    </xf>
    <xf numFmtId="0" fontId="0" fillId="5" borderId="24" xfId="0" applyFill="1" applyBorder="1" applyAlignment="1" applyProtection="1">
      <alignment horizontal="left"/>
      <protection hidden="1"/>
    </xf>
    <xf numFmtId="0" fontId="34" fillId="2" borderId="0" xfId="0" applyFont="1" applyFill="1" applyAlignment="1" applyProtection="1">
      <alignment horizontal="left" vertical="top"/>
      <protection hidden="1"/>
    </xf>
    <xf numFmtId="0" fontId="43" fillId="2" borderId="1" xfId="0" applyFont="1" applyFill="1" applyBorder="1" applyAlignment="1">
      <alignment horizontal="center" wrapText="1"/>
    </xf>
    <xf numFmtId="0" fontId="31" fillId="29" borderId="3" xfId="0" applyFont="1" applyFill="1" applyBorder="1"/>
    <xf numFmtId="0" fontId="31" fillId="29" borderId="50" xfId="0" applyFont="1" applyFill="1" applyBorder="1"/>
    <xf numFmtId="0" fontId="31" fillId="29" borderId="53" xfId="0" applyFont="1" applyFill="1" applyBorder="1"/>
    <xf numFmtId="0" fontId="31" fillId="29" borderId="55" xfId="0" applyFont="1" applyFill="1" applyBorder="1"/>
    <xf numFmtId="0" fontId="91" fillId="29" borderId="2" xfId="0" applyFont="1" applyFill="1" applyBorder="1" applyAlignment="1">
      <alignment horizontal="left" indent="2"/>
    </xf>
    <xf numFmtId="0" fontId="105" fillId="29" borderId="2" xfId="0" applyFont="1" applyFill="1" applyBorder="1" applyAlignment="1">
      <alignment horizontal="left" indent="2"/>
    </xf>
    <xf numFmtId="0" fontId="105" fillId="29" borderId="56" xfId="0" applyFont="1" applyFill="1" applyBorder="1" applyAlignment="1">
      <alignment horizontal="left" indent="2"/>
    </xf>
    <xf numFmtId="0" fontId="117" fillId="2" borderId="0" xfId="0" applyFont="1" applyFill="1" applyAlignment="1" applyProtection="1">
      <alignment horizontal="left" wrapText="1"/>
      <protection locked="0" hidden="1"/>
    </xf>
    <xf numFmtId="0" fontId="23" fillId="4" borderId="0" xfId="0" applyFont="1" applyFill="1" applyAlignment="1" applyProtection="1">
      <alignment horizontal="right" vertical="center" wrapText="1"/>
      <protection hidden="1"/>
    </xf>
    <xf numFmtId="0" fontId="23" fillId="4" borderId="0" xfId="0" applyFont="1" applyFill="1" applyAlignment="1" applyProtection="1">
      <alignment horizontal="right" vertical="center"/>
      <protection hidden="1"/>
    </xf>
    <xf numFmtId="0" fontId="23" fillId="4" borderId="0" xfId="0" applyFont="1" applyFill="1" applyAlignment="1">
      <alignment horizontal="right" vertical="center"/>
    </xf>
    <xf numFmtId="0" fontId="31" fillId="0" borderId="3" xfId="0" applyFont="1" applyBorder="1" applyAlignment="1">
      <alignment vertical="top" wrapText="1"/>
    </xf>
    <xf numFmtId="0" fontId="55" fillId="8" borderId="53" xfId="0" applyFont="1" applyFill="1" applyBorder="1"/>
    <xf numFmtId="0" fontId="0" fillId="5" borderId="24" xfId="0" applyFill="1" applyBorder="1" applyAlignment="1">
      <alignment horizontal="left" vertical="center" indent="5"/>
    </xf>
    <xf numFmtId="164" fontId="25" fillId="8" borderId="7" xfId="0" applyNumberFormat="1" applyFont="1" applyFill="1" applyBorder="1" applyAlignment="1" applyProtection="1">
      <alignment horizontal="center" vertical="center"/>
      <protection locked="0"/>
    </xf>
    <xf numFmtId="0" fontId="55" fillId="8" borderId="54" xfId="0" applyFont="1" applyFill="1" applyBorder="1"/>
    <xf numFmtId="0" fontId="0" fillId="5" borderId="159" xfId="0" applyFill="1" applyBorder="1" applyAlignment="1">
      <alignment horizontal="center"/>
    </xf>
    <xf numFmtId="0" fontId="0" fillId="5" borderId="158" xfId="0" applyFill="1" applyBorder="1" applyAlignment="1">
      <alignment horizontal="right" wrapText="1"/>
    </xf>
    <xf numFmtId="10" fontId="0" fillId="4" borderId="163" xfId="0" applyNumberFormat="1" applyFill="1" applyBorder="1" applyAlignment="1" applyProtection="1">
      <alignment horizontal="center" vertical="center"/>
      <protection locked="0"/>
    </xf>
    <xf numFmtId="0" fontId="0" fillId="5" borderId="157" xfId="0" applyFill="1" applyBorder="1" applyAlignment="1" applyProtection="1">
      <alignment horizontal="center"/>
      <protection locked="0"/>
    </xf>
    <xf numFmtId="0" fontId="0" fillId="5" borderId="159" xfId="0" applyFill="1" applyBorder="1" applyAlignment="1">
      <alignment horizontal="right" wrapText="1"/>
    </xf>
    <xf numFmtId="0" fontId="0" fillId="5" borderId="164" xfId="0" applyFill="1" applyBorder="1" applyAlignment="1">
      <alignment horizontal="right" wrapText="1"/>
    </xf>
    <xf numFmtId="0" fontId="7" fillId="3" borderId="184" xfId="0" applyFont="1" applyFill="1" applyBorder="1" applyAlignment="1">
      <alignment horizontal="left" vertical="center"/>
    </xf>
    <xf numFmtId="0" fontId="7" fillId="3" borderId="185" xfId="0" applyFont="1" applyFill="1" applyBorder="1" applyAlignment="1">
      <alignment horizontal="left" vertical="center"/>
    </xf>
    <xf numFmtId="164" fontId="0" fillId="5" borderId="13" xfId="0" applyNumberFormat="1" applyFill="1" applyBorder="1" applyAlignment="1">
      <alignment horizontal="center" vertical="center"/>
    </xf>
    <xf numFmtId="9" fontId="25" fillId="8" borderId="7" xfId="0" applyNumberFormat="1" applyFont="1" applyFill="1" applyBorder="1" applyAlignment="1" applyProtection="1">
      <alignment horizontal="center" vertical="center"/>
      <protection locked="0"/>
    </xf>
    <xf numFmtId="16" fontId="0" fillId="8" borderId="2" xfId="0" applyNumberFormat="1" applyFill="1" applyBorder="1"/>
    <xf numFmtId="0" fontId="0" fillId="8" borderId="2" xfId="0" applyFill="1" applyBorder="1" applyAlignment="1">
      <alignment wrapText="1"/>
    </xf>
    <xf numFmtId="0" fontId="98" fillId="5" borderId="6" xfId="0" applyFont="1" applyFill="1" applyBorder="1" applyProtection="1">
      <protection locked="0"/>
    </xf>
    <xf numFmtId="0" fontId="98" fillId="5" borderId="186" xfId="0" applyFont="1" applyFill="1" applyBorder="1" applyProtection="1">
      <protection locked="0"/>
    </xf>
    <xf numFmtId="0" fontId="34" fillId="8" borderId="0" xfId="0" applyFont="1" applyFill="1" applyAlignment="1">
      <alignment horizontal="center" vertical="center"/>
    </xf>
    <xf numFmtId="166" fontId="55" fillId="12" borderId="2" xfId="0" applyNumberFormat="1" applyFont="1" applyFill="1" applyBorder="1"/>
    <xf numFmtId="164" fontId="0" fillId="4" borderId="129" xfId="0" applyNumberFormat="1" applyFill="1" applyBorder="1" applyAlignment="1" applyProtection="1">
      <alignment horizontal="center" vertical="center"/>
      <protection locked="0"/>
    </xf>
    <xf numFmtId="164" fontId="0" fillId="4" borderId="130" xfId="0" applyNumberFormat="1" applyFill="1" applyBorder="1" applyAlignment="1" applyProtection="1">
      <alignment horizontal="center" vertical="center"/>
      <protection locked="0"/>
    </xf>
    <xf numFmtId="164" fontId="0" fillId="4" borderId="157" xfId="0" applyNumberFormat="1" applyFill="1" applyBorder="1" applyAlignment="1" applyProtection="1">
      <alignment horizontal="center" vertical="center"/>
      <protection locked="0"/>
    </xf>
    <xf numFmtId="16" fontId="0" fillId="0" borderId="2" xfId="0" applyNumberFormat="1" applyBorder="1"/>
    <xf numFmtId="0" fontId="25" fillId="27" borderId="0" xfId="0" applyFont="1" applyFill="1"/>
    <xf numFmtId="1" fontId="55" fillId="12" borderId="54" xfId="0" applyNumberFormat="1" applyFont="1" applyFill="1" applyBorder="1"/>
    <xf numFmtId="0" fontId="55" fillId="0" borderId="3" xfId="0" applyFont="1" applyBorder="1"/>
    <xf numFmtId="0" fontId="55" fillId="0" borderId="64" xfId="0" applyFont="1" applyBorder="1"/>
    <xf numFmtId="0" fontId="0" fillId="12" borderId="21" xfId="0" applyFill="1" applyBorder="1"/>
    <xf numFmtId="0" fontId="31" fillId="12" borderId="56" xfId="0" applyFont="1" applyFill="1" applyBorder="1"/>
    <xf numFmtId="1" fontId="31" fillId="12" borderId="57" xfId="0" applyNumberFormat="1" applyFont="1" applyFill="1" applyBorder="1"/>
    <xf numFmtId="0" fontId="118" fillId="2" borderId="0" xfId="0" applyFont="1" applyFill="1" applyProtection="1">
      <protection hidden="1"/>
    </xf>
    <xf numFmtId="1" fontId="25" fillId="4" borderId="130" xfId="0" applyNumberFormat="1" applyFont="1" applyFill="1" applyBorder="1" applyAlignment="1" applyProtection="1">
      <alignment horizontal="center" vertical="center"/>
      <protection locked="0"/>
    </xf>
    <xf numFmtId="1" fontId="0" fillId="20" borderId="2" xfId="0" applyNumberFormat="1" applyFill="1" applyBorder="1" applyAlignment="1">
      <alignment horizontal="right"/>
    </xf>
    <xf numFmtId="0" fontId="0" fillId="8" borderId="0" xfId="0" applyFill="1" applyAlignment="1">
      <alignment vertical="center"/>
    </xf>
    <xf numFmtId="0" fontId="35" fillId="2" borderId="48" xfId="0" applyFont="1" applyFill="1" applyBorder="1" applyAlignment="1" applyProtection="1">
      <alignment horizontal="left"/>
      <protection hidden="1"/>
    </xf>
    <xf numFmtId="0" fontId="28" fillId="2" borderId="122" xfId="0" applyFont="1" applyFill="1" applyBorder="1" applyAlignment="1" applyProtection="1">
      <alignment horizontal="center" vertical="center"/>
      <protection hidden="1"/>
    </xf>
    <xf numFmtId="0" fontId="28" fillId="2" borderId="94" xfId="0" applyFont="1" applyFill="1" applyBorder="1" applyAlignment="1" applyProtection="1">
      <alignment horizontal="right" vertical="center"/>
      <protection hidden="1"/>
    </xf>
    <xf numFmtId="0" fontId="28" fillId="2" borderId="109" xfId="0" applyFont="1" applyFill="1" applyBorder="1" applyAlignment="1" applyProtection="1">
      <alignment horizontal="left" vertical="center"/>
      <protection hidden="1"/>
    </xf>
    <xf numFmtId="0" fontId="27" fillId="6" borderId="4" xfId="0" applyFont="1" applyFill="1" applyBorder="1" applyProtection="1">
      <protection hidden="1"/>
    </xf>
    <xf numFmtId="0" fontId="27" fillId="6" borderId="6" xfId="0" applyFont="1" applyFill="1" applyBorder="1" applyProtection="1">
      <protection hidden="1"/>
    </xf>
    <xf numFmtId="0" fontId="25" fillId="3" borderId="6" xfId="0" applyFont="1" applyFill="1" applyBorder="1" applyAlignment="1" applyProtection="1">
      <alignment horizontal="center" vertical="center"/>
      <protection hidden="1"/>
    </xf>
    <xf numFmtId="0" fontId="22" fillId="6" borderId="40" xfId="0" applyFont="1" applyFill="1" applyBorder="1" applyAlignment="1" applyProtection="1">
      <alignment horizontal="left"/>
      <protection hidden="1"/>
    </xf>
    <xf numFmtId="166" fontId="0" fillId="5" borderId="42" xfId="0" applyNumberFormat="1" applyFill="1" applyBorder="1" applyAlignment="1" applyProtection="1">
      <alignment horizontal="right"/>
      <protection hidden="1"/>
    </xf>
    <xf numFmtId="0" fontId="0" fillId="5" borderId="31" xfId="0" applyFill="1" applyBorder="1" applyAlignment="1" applyProtection="1">
      <alignment horizontal="left"/>
      <protection hidden="1"/>
    </xf>
    <xf numFmtId="0" fontId="0" fillId="5" borderId="25" xfId="0" applyFill="1" applyBorder="1" applyAlignment="1" applyProtection="1">
      <alignment horizontal="right"/>
      <protection hidden="1"/>
    </xf>
    <xf numFmtId="14" fontId="0" fillId="5" borderId="25" xfId="0" applyNumberFormat="1" applyFill="1" applyBorder="1" applyAlignment="1" applyProtection="1">
      <alignment horizontal="right"/>
      <protection hidden="1"/>
    </xf>
    <xf numFmtId="0" fontId="0" fillId="5" borderId="171" xfId="0" applyFill="1" applyBorder="1" applyAlignment="1" applyProtection="1">
      <alignment horizontal="left"/>
      <protection hidden="1"/>
    </xf>
    <xf numFmtId="0" fontId="0" fillId="5" borderId="99" xfId="0" applyFill="1" applyBorder="1" applyAlignment="1" applyProtection="1">
      <alignment horizontal="left"/>
      <protection hidden="1"/>
    </xf>
    <xf numFmtId="166" fontId="0" fillId="5" borderId="99" xfId="0" applyNumberFormat="1" applyFill="1" applyBorder="1" applyAlignment="1" applyProtection="1">
      <alignment horizontal="right"/>
      <protection hidden="1"/>
    </xf>
    <xf numFmtId="0" fontId="0" fillId="5" borderId="144" xfId="0" applyFill="1" applyBorder="1" applyAlignment="1" applyProtection="1">
      <alignment horizontal="left"/>
      <protection hidden="1"/>
    </xf>
    <xf numFmtId="9" fontId="0" fillId="5" borderId="25" xfId="0" applyNumberFormat="1" applyFill="1" applyBorder="1" applyAlignment="1" applyProtection="1">
      <alignment horizontal="right"/>
      <protection hidden="1"/>
    </xf>
    <xf numFmtId="0" fontId="0" fillId="5" borderId="25" xfId="0" applyFill="1" applyBorder="1" applyAlignment="1" applyProtection="1">
      <alignment horizontal="left" wrapText="1"/>
      <protection hidden="1"/>
    </xf>
    <xf numFmtId="164" fontId="0" fillId="5" borderId="25" xfId="0" applyNumberFormat="1" applyFill="1" applyBorder="1" applyAlignment="1" applyProtection="1">
      <alignment horizontal="right"/>
      <protection hidden="1"/>
    </xf>
    <xf numFmtId="0" fontId="31" fillId="5" borderId="30" xfId="0" applyFont="1" applyFill="1" applyBorder="1" applyAlignment="1" applyProtection="1">
      <alignment horizontal="left"/>
      <protection hidden="1"/>
    </xf>
    <xf numFmtId="2" fontId="0" fillId="5" borderId="25" xfId="0" applyNumberFormat="1" applyFill="1" applyBorder="1" applyAlignment="1" applyProtection="1">
      <alignment horizontal="right"/>
      <protection hidden="1"/>
    </xf>
    <xf numFmtId="166" fontId="0" fillId="5" borderId="25" xfId="0" applyNumberFormat="1" applyFill="1" applyBorder="1" applyAlignment="1" applyProtection="1">
      <alignment horizontal="right"/>
      <protection hidden="1"/>
    </xf>
    <xf numFmtId="1" fontId="0" fillId="5" borderId="25" xfId="0" applyNumberFormat="1" applyFill="1" applyBorder="1" applyAlignment="1" applyProtection="1">
      <alignment horizontal="right"/>
      <protection hidden="1"/>
    </xf>
    <xf numFmtId="1" fontId="0" fillId="5" borderId="25" xfId="0" applyNumberFormat="1" applyFill="1" applyBorder="1" applyAlignment="1" applyProtection="1">
      <alignment horizontal="left"/>
      <protection hidden="1"/>
    </xf>
    <xf numFmtId="0" fontId="0" fillId="5" borderId="26" xfId="0" applyFill="1" applyBorder="1" applyAlignment="1" applyProtection="1">
      <alignment horizontal="left"/>
      <protection hidden="1"/>
    </xf>
    <xf numFmtId="0" fontId="0" fillId="5" borderId="27" xfId="0" applyFill="1" applyBorder="1" applyAlignment="1" applyProtection="1">
      <alignment horizontal="left"/>
      <protection hidden="1"/>
    </xf>
    <xf numFmtId="0" fontId="0" fillId="5" borderId="24" xfId="0" applyFill="1" applyBorder="1" applyAlignment="1" applyProtection="1">
      <alignment horizontal="right"/>
      <protection hidden="1"/>
    </xf>
    <xf numFmtId="9" fontId="0" fillId="5" borderId="24" xfId="0" applyNumberFormat="1" applyFill="1" applyBorder="1" applyAlignment="1" applyProtection="1">
      <alignment horizontal="right"/>
      <protection hidden="1"/>
    </xf>
    <xf numFmtId="0" fontId="0" fillId="4" borderId="0" xfId="0" applyFill="1" applyAlignment="1" applyProtection="1">
      <alignment horizontal="right"/>
      <protection hidden="1"/>
    </xf>
    <xf numFmtId="0" fontId="25" fillId="3" borderId="6" xfId="0" applyFont="1" applyFill="1" applyBorder="1" applyAlignment="1" applyProtection="1">
      <alignment horizontal="right" vertical="center"/>
      <protection hidden="1"/>
    </xf>
    <xf numFmtId="0" fontId="0" fillId="5" borderId="26" xfId="0" applyFill="1" applyBorder="1" applyProtection="1">
      <protection hidden="1"/>
    </xf>
    <xf numFmtId="0" fontId="0" fillId="5" borderId="27" xfId="0" applyFill="1" applyBorder="1" applyProtection="1">
      <protection hidden="1"/>
    </xf>
    <xf numFmtId="0" fontId="0" fillId="5" borderId="28" xfId="0" applyFill="1" applyBorder="1" applyProtection="1">
      <protection hidden="1"/>
    </xf>
    <xf numFmtId="0" fontId="31" fillId="5" borderId="25" xfId="0" applyFont="1" applyFill="1" applyBorder="1" applyAlignment="1" applyProtection="1">
      <alignment horizontal="right"/>
      <protection hidden="1"/>
    </xf>
    <xf numFmtId="0" fontId="31" fillId="5" borderId="25" xfId="0" applyFont="1" applyFill="1" applyBorder="1" applyAlignment="1" applyProtection="1">
      <alignment horizontal="left"/>
      <protection hidden="1"/>
    </xf>
    <xf numFmtId="0" fontId="27" fillId="6" borderId="9" xfId="0" applyFont="1" applyFill="1" applyBorder="1" applyProtection="1">
      <protection hidden="1"/>
    </xf>
    <xf numFmtId="0" fontId="22" fillId="6" borderId="11" xfId="0" applyFont="1" applyFill="1" applyBorder="1" applyProtection="1">
      <protection hidden="1"/>
    </xf>
    <xf numFmtId="0" fontId="25" fillId="3" borderId="11" xfId="0" applyFont="1" applyFill="1" applyBorder="1" applyAlignment="1" applyProtection="1">
      <alignment horizontal="center" vertical="center"/>
      <protection hidden="1"/>
    </xf>
    <xf numFmtId="0" fontId="22" fillId="6" borderId="170" xfId="0" applyFont="1" applyFill="1" applyBorder="1" applyAlignment="1" applyProtection="1">
      <alignment horizontal="left"/>
      <protection hidden="1"/>
    </xf>
    <xf numFmtId="0" fontId="0" fillId="5" borderId="2" xfId="0" applyFill="1" applyBorder="1" applyAlignment="1" applyProtection="1">
      <alignment vertical="top"/>
      <protection hidden="1"/>
    </xf>
    <xf numFmtId="0" fontId="0" fillId="5" borderId="4" xfId="0" applyFill="1" applyBorder="1" applyAlignment="1" applyProtection="1">
      <alignment vertical="top"/>
      <protection hidden="1"/>
    </xf>
    <xf numFmtId="0" fontId="0" fillId="5" borderId="6" xfId="0" applyFill="1" applyBorder="1" applyAlignment="1" applyProtection="1">
      <alignment vertical="top"/>
      <protection hidden="1"/>
    </xf>
    <xf numFmtId="0" fontId="0" fillId="5" borderId="7" xfId="0" applyFill="1" applyBorder="1" applyAlignment="1" applyProtection="1">
      <alignment vertical="top"/>
      <protection hidden="1"/>
    </xf>
    <xf numFmtId="0" fontId="28" fillId="2" borderId="122" xfId="0" applyFont="1" applyFill="1" applyBorder="1" applyAlignment="1" applyProtection="1">
      <alignment horizontal="left" vertical="center"/>
      <protection hidden="1"/>
    </xf>
    <xf numFmtId="0" fontId="28" fillId="2" borderId="122" xfId="0" applyFont="1" applyFill="1" applyBorder="1" applyAlignment="1" applyProtection="1">
      <alignment vertical="center"/>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center" vertical="center"/>
      <protection hidden="1"/>
    </xf>
    <xf numFmtId="0" fontId="23" fillId="0" borderId="0" xfId="0" applyFont="1" applyAlignment="1">
      <alignment vertical="center"/>
    </xf>
    <xf numFmtId="1" fontId="0" fillId="5" borderId="160" xfId="0" applyNumberFormat="1" applyFill="1" applyBorder="1" applyAlignment="1">
      <alignment horizontal="center"/>
    </xf>
    <xf numFmtId="1" fontId="0" fillId="5" borderId="157" xfId="0" applyNumberFormat="1" applyFill="1" applyBorder="1" applyAlignment="1">
      <alignment horizontal="center"/>
    </xf>
    <xf numFmtId="164" fontId="25" fillId="5" borderId="130" xfId="0" applyNumberFormat="1" applyFont="1" applyFill="1" applyBorder="1" applyAlignment="1">
      <alignment horizontal="center" vertical="center"/>
    </xf>
    <xf numFmtId="164" fontId="0" fillId="5" borderId="45" xfId="0" applyNumberFormat="1" applyFill="1" applyBorder="1" applyAlignment="1">
      <alignment horizontal="center" vertical="center"/>
    </xf>
    <xf numFmtId="2" fontId="25" fillId="5" borderId="166" xfId="0" applyNumberFormat="1" applyFont="1" applyFill="1" applyBorder="1" applyAlignment="1" applyProtection="1">
      <alignment horizontal="center" vertical="center"/>
      <protection locked="0"/>
    </xf>
    <xf numFmtId="0" fontId="34" fillId="0" borderId="0" xfId="0" applyFont="1" applyAlignment="1">
      <alignment vertical="center"/>
    </xf>
    <xf numFmtId="0" fontId="41" fillId="8" borderId="0" xfId="0" applyFont="1" applyFill="1"/>
    <xf numFmtId="0" fontId="67" fillId="0" borderId="0" xfId="0" applyFont="1" applyAlignment="1">
      <alignment vertical="center"/>
    </xf>
    <xf numFmtId="0" fontId="31" fillId="29" borderId="12" xfId="0" applyFont="1" applyFill="1" applyBorder="1"/>
    <xf numFmtId="0" fontId="119" fillId="18" borderId="0" xfId="0" applyFont="1" applyFill="1" applyAlignment="1">
      <alignment vertical="center"/>
    </xf>
    <xf numFmtId="0" fontId="34" fillId="18" borderId="0" xfId="0" applyFont="1" applyFill="1" applyAlignment="1">
      <alignment vertical="center"/>
    </xf>
    <xf numFmtId="0" fontId="0" fillId="8" borderId="0" xfId="0" applyFill="1" applyAlignment="1">
      <alignment wrapText="1"/>
    </xf>
    <xf numFmtId="0" fontId="0" fillId="4" borderId="163" xfId="0" applyFill="1" applyBorder="1" applyAlignment="1" applyProtection="1">
      <alignment horizontal="center" vertical="center"/>
      <protection locked="0" hidden="1"/>
    </xf>
    <xf numFmtId="0" fontId="123" fillId="0" borderId="0" xfId="0" applyFont="1" applyAlignment="1">
      <alignment horizontal="left" vertical="center" indent="10"/>
    </xf>
    <xf numFmtId="0" fontId="122" fillId="8" borderId="0" xfId="0" applyFont="1" applyFill="1" applyAlignment="1">
      <alignment horizontal="left" vertical="center" indent="1"/>
    </xf>
    <xf numFmtId="0" fontId="0" fillId="8" borderId="0" xfId="0" applyFill="1" applyAlignment="1">
      <alignment horizontal="left" vertical="center" indent="1"/>
    </xf>
    <xf numFmtId="0" fontId="25" fillId="8" borderId="0" xfId="0" applyFont="1" applyFill="1" applyAlignment="1">
      <alignment horizontal="left" vertical="center" indent="1"/>
    </xf>
    <xf numFmtId="0" fontId="128" fillId="0" borderId="0" xfId="0" applyFont="1" applyAlignment="1">
      <alignment vertical="center"/>
    </xf>
    <xf numFmtId="0" fontId="0" fillId="8" borderId="0" xfId="0" applyFill="1" applyAlignment="1">
      <alignment horizontal="left" vertical="center" indent="4"/>
    </xf>
    <xf numFmtId="0" fontId="125" fillId="8" borderId="0" xfId="0" applyFont="1" applyFill="1" applyAlignment="1">
      <alignment horizontal="left" vertical="center" indent="9"/>
    </xf>
    <xf numFmtId="0" fontId="127" fillId="8" borderId="0" xfId="0" applyFont="1" applyFill="1" applyAlignment="1">
      <alignment horizontal="left" vertical="center" indent="14"/>
    </xf>
    <xf numFmtId="0" fontId="1" fillId="18" borderId="2" xfId="0" applyFont="1" applyFill="1" applyBorder="1" applyAlignment="1" applyProtection="1">
      <alignment vertical="center" wrapText="1"/>
      <protection locked="0" hidden="1"/>
    </xf>
    <xf numFmtId="0" fontId="0" fillId="2" borderId="2" xfId="0" applyFill="1" applyBorder="1" applyProtection="1">
      <protection locked="0" hidden="1"/>
    </xf>
    <xf numFmtId="0" fontId="0" fillId="0" borderId="0" xfId="0" applyAlignment="1">
      <alignment horizontal="left" vertical="top" wrapText="1"/>
    </xf>
    <xf numFmtId="0" fontId="81" fillId="0" borderId="0" xfId="0" applyFont="1" applyAlignment="1">
      <alignment horizontal="left" vertical="top"/>
    </xf>
    <xf numFmtId="0" fontId="34" fillId="2" borderId="0" xfId="0" applyFont="1" applyFill="1" applyAlignment="1" applyProtection="1">
      <alignment horizontal="left" vertical="top" wrapText="1"/>
      <protection hidden="1"/>
    </xf>
    <xf numFmtId="0" fontId="34" fillId="2" borderId="11" xfId="0" applyFont="1" applyFill="1" applyBorder="1" applyAlignment="1" applyProtection="1">
      <alignment horizontal="left" vertical="top" wrapText="1"/>
      <protection hidden="1"/>
    </xf>
    <xf numFmtId="0" fontId="34" fillId="4" borderId="0" xfId="0" applyFont="1" applyFill="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0" fillId="18" borderId="0" xfId="0" applyFill="1" applyAlignment="1">
      <alignment horizontal="center"/>
    </xf>
    <xf numFmtId="0" fontId="55" fillId="18" borderId="16" xfId="0" applyFont="1" applyFill="1" applyBorder="1" applyAlignment="1">
      <alignment horizontal="center"/>
    </xf>
    <xf numFmtId="0" fontId="55" fillId="18" borderId="0" xfId="0" applyFont="1" applyFill="1" applyAlignment="1">
      <alignment horizontal="center"/>
    </xf>
    <xf numFmtId="0" fontId="9" fillId="2" borderId="8"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12" xfId="0" applyFont="1" applyFill="1" applyBorder="1" applyAlignment="1" applyProtection="1">
      <alignment horizontal="left" vertical="top"/>
      <protection locked="0"/>
    </xf>
    <xf numFmtId="0" fontId="9" fillId="2" borderId="13" xfId="0" applyFont="1" applyFill="1" applyBorder="1" applyAlignment="1" applyProtection="1">
      <alignment horizontal="left" vertical="top"/>
      <protection locked="0"/>
    </xf>
    <xf numFmtId="0" fontId="9" fillId="2" borderId="1" xfId="0" applyFont="1" applyFill="1" applyBorder="1" applyAlignment="1" applyProtection="1">
      <alignment horizontal="left" vertical="top"/>
      <protection locked="0"/>
    </xf>
    <xf numFmtId="0" fontId="9" fillId="2" borderId="14" xfId="0" applyFont="1" applyFill="1" applyBorder="1" applyAlignment="1" applyProtection="1">
      <alignment horizontal="left" vertical="top"/>
      <protection locked="0"/>
    </xf>
    <xf numFmtId="0" fontId="9" fillId="2" borderId="9" xfId="0" applyFont="1" applyFill="1" applyBorder="1" applyAlignment="1" applyProtection="1">
      <alignment horizontal="left" vertical="top"/>
      <protection locked="0"/>
    </xf>
    <xf numFmtId="0" fontId="9" fillId="2" borderId="11" xfId="0" applyFont="1" applyFill="1" applyBorder="1" applyAlignment="1" applyProtection="1">
      <alignment horizontal="left" vertical="top"/>
      <protection locked="0"/>
    </xf>
    <xf numFmtId="0" fontId="9" fillId="2" borderId="10" xfId="0" applyFont="1" applyFill="1" applyBorder="1" applyAlignment="1" applyProtection="1">
      <alignment horizontal="left" vertical="top"/>
      <protection locked="0"/>
    </xf>
    <xf numFmtId="0" fontId="9" fillId="2" borderId="9"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0" fillId="0" borderId="53" xfId="0" applyBorder="1" applyAlignment="1">
      <alignment horizontal="center"/>
    </xf>
    <xf numFmtId="0" fontId="0" fillId="0" borderId="2" xfId="0" applyBorder="1" applyAlignment="1">
      <alignment horizontal="center"/>
    </xf>
    <xf numFmtId="0" fontId="0" fillId="0" borderId="54" xfId="0" applyBorder="1" applyAlignment="1">
      <alignment horizontal="center"/>
    </xf>
    <xf numFmtId="0" fontId="22" fillId="10" borderId="2" xfId="0" applyFont="1" applyFill="1" applyBorder="1" applyAlignment="1" applyProtection="1">
      <alignment horizontal="center"/>
      <protection hidden="1"/>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36" fillId="8" borderId="10" xfId="0" applyFont="1" applyFill="1" applyBorder="1" applyAlignment="1">
      <alignment horizontal="center" wrapText="1"/>
    </xf>
    <xf numFmtId="0" fontId="36" fillId="8" borderId="3" xfId="0" applyFont="1" applyFill="1" applyBorder="1" applyAlignment="1">
      <alignment horizontal="center" wrapText="1"/>
    </xf>
    <xf numFmtId="0" fontId="0" fillId="9" borderId="21"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8" borderId="69" xfId="0" applyFill="1" applyBorder="1" applyAlignment="1">
      <alignment horizontal="center"/>
    </xf>
    <xf numFmtId="0" fontId="0" fillId="8" borderId="70" xfId="0" applyFill="1" applyBorder="1" applyAlignment="1">
      <alignment horizontal="center"/>
    </xf>
    <xf numFmtId="0" fontId="0" fillId="8" borderId="71" xfId="0" applyFill="1" applyBorder="1" applyAlignment="1">
      <alignment horizontal="center"/>
    </xf>
    <xf numFmtId="0" fontId="87" fillId="10" borderId="4" xfId="0" applyFont="1" applyFill="1" applyBorder="1" applyAlignment="1">
      <alignment horizontal="center" vertical="center"/>
    </xf>
    <xf numFmtId="0" fontId="87" fillId="10" borderId="6" xfId="0" applyFont="1" applyFill="1" applyBorder="1" applyAlignment="1">
      <alignment horizontal="center" vertical="center"/>
    </xf>
    <xf numFmtId="0" fontId="87" fillId="10" borderId="7" xfId="0" applyFont="1" applyFill="1" applyBorder="1" applyAlignment="1">
      <alignment horizontal="center" vertical="center"/>
    </xf>
    <xf numFmtId="0" fontId="22" fillId="10" borderId="76" xfId="0" applyFont="1" applyFill="1" applyBorder="1" applyAlignment="1" applyProtection="1">
      <alignment horizontal="center" wrapText="1"/>
      <protection hidden="1"/>
    </xf>
    <xf numFmtId="0" fontId="22" fillId="10" borderId="51" xfId="0" applyFont="1" applyFill="1" applyBorder="1" applyAlignment="1" applyProtection="1">
      <alignment horizontal="center" wrapText="1"/>
      <protection hidden="1"/>
    </xf>
    <xf numFmtId="0" fontId="22" fillId="10" borderId="52" xfId="0" applyFont="1" applyFill="1" applyBorder="1" applyAlignment="1" applyProtection="1">
      <alignment horizontal="center" wrapText="1"/>
      <protection hidden="1"/>
    </xf>
    <xf numFmtId="0" fontId="22" fillId="10" borderId="21" xfId="0" applyFont="1" applyFill="1" applyBorder="1" applyAlignment="1">
      <alignment horizontal="center"/>
    </xf>
    <xf numFmtId="0" fontId="22" fillId="10" borderId="22" xfId="0" applyFont="1" applyFill="1" applyBorder="1" applyAlignment="1">
      <alignment horizontal="center"/>
    </xf>
    <xf numFmtId="0" fontId="22" fillId="10" borderId="50" xfId="0" applyFont="1" applyFill="1" applyBorder="1" applyAlignment="1" applyProtection="1">
      <alignment horizontal="center" wrapText="1"/>
      <protection hidden="1"/>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9" fillId="4" borderId="37" xfId="0" applyFont="1" applyFill="1" applyBorder="1" applyAlignment="1">
      <alignment horizontal="center" vertical="top" wrapText="1"/>
    </xf>
    <xf numFmtId="0" fontId="9" fillId="4" borderId="0" xfId="0" applyFont="1" applyFill="1" applyAlignment="1">
      <alignment horizontal="center" vertical="top" wrapText="1"/>
    </xf>
    <xf numFmtId="0" fontId="43" fillId="2" borderId="48" xfId="0" applyFont="1" applyFill="1" applyBorder="1" applyAlignment="1">
      <alignment horizontal="center" wrapText="1"/>
    </xf>
    <xf numFmtId="0" fontId="43" fillId="2" borderId="1" xfId="0" applyFont="1" applyFill="1" applyBorder="1" applyAlignment="1">
      <alignment horizontal="center" wrapText="1"/>
    </xf>
    <xf numFmtId="0" fontId="43" fillId="2" borderId="38" xfId="0" applyFont="1" applyFill="1" applyBorder="1" applyAlignment="1">
      <alignment horizontal="center" wrapText="1"/>
    </xf>
    <xf numFmtId="0" fontId="0" fillId="5" borderId="131" xfId="0" applyFill="1" applyBorder="1" applyAlignment="1">
      <alignment horizontal="left" vertical="top" wrapText="1"/>
    </xf>
    <xf numFmtId="0" fontId="0" fillId="5" borderId="129" xfId="0" applyFill="1" applyBorder="1" applyAlignment="1">
      <alignment horizontal="left" vertical="top" wrapText="1"/>
    </xf>
    <xf numFmtId="0" fontId="53" fillId="0" borderId="0" xfId="0" applyFont="1" applyAlignment="1" applyProtection="1">
      <alignment horizontal="left" vertical="top"/>
      <protection locked="0"/>
    </xf>
    <xf numFmtId="0" fontId="53" fillId="0" borderId="145" xfId="0" applyFont="1" applyBorder="1" applyAlignment="1" applyProtection="1">
      <alignment horizontal="left" vertical="top"/>
      <protection locked="0"/>
    </xf>
    <xf numFmtId="0" fontId="53" fillId="0" borderId="116" xfId="0" applyFont="1" applyBorder="1" applyAlignment="1" applyProtection="1">
      <alignment horizontal="left" vertical="top"/>
      <protection locked="0"/>
    </xf>
    <xf numFmtId="0" fontId="53" fillId="0" borderId="117" xfId="0" applyFont="1" applyBorder="1" applyAlignment="1" applyProtection="1">
      <alignment horizontal="left" vertical="top"/>
      <protection locked="0"/>
    </xf>
    <xf numFmtId="0" fontId="53" fillId="0" borderId="118" xfId="0" applyFont="1" applyBorder="1" applyAlignment="1" applyProtection="1">
      <alignment horizontal="left" vertical="top"/>
      <protection locked="0"/>
    </xf>
    <xf numFmtId="0" fontId="0" fillId="0" borderId="0" xfId="0" applyAlignment="1">
      <alignment horizontal="center"/>
    </xf>
    <xf numFmtId="0" fontId="53" fillId="0" borderId="116" xfId="0" applyFont="1" applyBorder="1" applyAlignment="1" applyProtection="1">
      <alignment horizontal="left" vertical="center"/>
      <protection locked="0"/>
    </xf>
    <xf numFmtId="0" fontId="53" fillId="0" borderId="117" xfId="0" applyFont="1" applyBorder="1" applyAlignment="1" applyProtection="1">
      <alignment horizontal="left" vertical="center"/>
      <protection locked="0"/>
    </xf>
    <xf numFmtId="0" fontId="53" fillId="0" borderId="118" xfId="0" applyFont="1" applyBorder="1" applyAlignment="1" applyProtection="1">
      <alignment horizontal="left" vertical="center"/>
      <protection locked="0"/>
    </xf>
    <xf numFmtId="0" fontId="53" fillId="0" borderId="138" xfId="0" applyFont="1" applyBorder="1" applyAlignment="1" applyProtection="1">
      <alignment horizontal="left" vertical="top"/>
      <protection locked="0"/>
    </xf>
    <xf numFmtId="0" fontId="53" fillId="0" borderId="139" xfId="0" applyFont="1" applyBorder="1" applyAlignment="1" applyProtection="1">
      <alignment horizontal="left" vertical="top"/>
      <protection locked="0"/>
    </xf>
    <xf numFmtId="0" fontId="53" fillId="0" borderId="140" xfId="0" applyFont="1" applyBorder="1" applyAlignment="1" applyProtection="1">
      <alignment horizontal="left" vertical="top"/>
      <protection locked="0"/>
    </xf>
    <xf numFmtId="0" fontId="53" fillId="0" borderId="141" xfId="0" applyFont="1" applyBorder="1" applyAlignment="1" applyProtection="1">
      <alignment horizontal="left" vertical="top"/>
      <protection locked="0"/>
    </xf>
    <xf numFmtId="0" fontId="65" fillId="4" borderId="13" xfId="0" applyFont="1" applyFill="1" applyBorder="1" applyAlignment="1" applyProtection="1">
      <alignment horizontal="center" vertical="center"/>
      <protection hidden="1"/>
    </xf>
    <xf numFmtId="0" fontId="65" fillId="4" borderId="14" xfId="0" applyFont="1" applyFill="1" applyBorder="1" applyAlignment="1" applyProtection="1">
      <alignment horizontal="center" vertical="center"/>
      <protection hidden="1"/>
    </xf>
    <xf numFmtId="0" fontId="67" fillId="4" borderId="4" xfId="0" applyFont="1" applyFill="1" applyBorder="1" applyAlignment="1" applyProtection="1">
      <alignment horizontal="center"/>
      <protection locked="0" hidden="1"/>
    </xf>
    <xf numFmtId="0" fontId="67" fillId="4" borderId="7" xfId="0" applyFont="1" applyFill="1" applyBorder="1" applyAlignment="1" applyProtection="1">
      <alignment horizontal="center"/>
      <protection locked="0" hidden="1"/>
    </xf>
    <xf numFmtId="0" fontId="68" fillId="2" borderId="0" xfId="0" applyFont="1" applyFill="1" applyAlignment="1" applyProtection="1">
      <alignment horizontal="left" vertical="top" wrapText="1"/>
      <protection hidden="1"/>
    </xf>
    <xf numFmtId="0" fontId="67" fillId="5" borderId="97" xfId="0" applyFont="1" applyFill="1" applyBorder="1" applyAlignment="1" applyProtection="1">
      <alignment horizontal="center"/>
      <protection hidden="1"/>
    </xf>
    <xf numFmtId="0" fontId="67" fillId="5" borderId="104" xfId="0" applyFont="1" applyFill="1" applyBorder="1" applyAlignment="1" applyProtection="1">
      <alignment horizontal="center"/>
      <protection hidden="1"/>
    </xf>
    <xf numFmtId="164" fontId="67" fillId="5" borderId="98" xfId="0" applyNumberFormat="1" applyFont="1" applyFill="1" applyBorder="1" applyAlignment="1" applyProtection="1">
      <alignment horizontal="center"/>
      <protection hidden="1"/>
    </xf>
    <xf numFmtId="164" fontId="67" fillId="5" borderId="101" xfId="0" applyNumberFormat="1" applyFont="1" applyFill="1" applyBorder="1" applyAlignment="1" applyProtection="1">
      <alignment horizontal="center"/>
      <protection hidden="1"/>
    </xf>
    <xf numFmtId="0" fontId="67" fillId="5" borderId="110" xfId="0" applyFont="1" applyFill="1" applyBorder="1" applyAlignment="1" applyProtection="1">
      <alignment horizontal="center"/>
      <protection hidden="1"/>
    </xf>
    <xf numFmtId="0" fontId="67" fillId="5" borderId="102" xfId="0" applyFont="1" applyFill="1" applyBorder="1" applyAlignment="1" applyProtection="1">
      <alignment horizontal="center"/>
      <protection hidden="1"/>
    </xf>
    <xf numFmtId="0" fontId="31" fillId="4" borderId="2"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protection hidden="1"/>
    </xf>
    <xf numFmtId="0" fontId="106" fillId="2" borderId="4" xfId="0" applyFont="1" applyFill="1" applyBorder="1" applyAlignment="1" applyProtection="1">
      <alignment horizontal="left" vertical="center" wrapText="1"/>
      <protection hidden="1"/>
    </xf>
    <xf numFmtId="0" fontId="106" fillId="2" borderId="6" xfId="0" applyFont="1" applyFill="1" applyBorder="1" applyAlignment="1" applyProtection="1">
      <alignment horizontal="left" vertical="center" wrapText="1"/>
      <protection hidden="1"/>
    </xf>
    <xf numFmtId="0" fontId="106" fillId="2" borderId="7"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wrapText="1"/>
      <protection hidden="1"/>
    </xf>
    <xf numFmtId="0" fontId="14" fillId="2" borderId="0" xfId="0" applyFont="1" applyFill="1" applyAlignment="1" applyProtection="1">
      <alignment vertical="center" wrapText="1"/>
      <protection hidden="1"/>
    </xf>
    <xf numFmtId="0" fontId="14" fillId="0" borderId="0" xfId="0" applyFont="1" applyAlignment="1" applyProtection="1">
      <alignment vertical="center" wrapText="1"/>
      <protection hidden="1"/>
    </xf>
    <xf numFmtId="0" fontId="0" fillId="4" borderId="2" xfId="0" applyFill="1" applyBorder="1" applyAlignment="1" applyProtection="1">
      <alignment wrapText="1"/>
      <protection hidden="1"/>
    </xf>
    <xf numFmtId="0" fontId="0" fillId="4" borderId="2" xfId="0" applyFill="1" applyBorder="1" applyProtection="1">
      <protection hidden="1"/>
    </xf>
    <xf numFmtId="0" fontId="106"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top" wrapText="1"/>
      <protection hidden="1"/>
    </xf>
    <xf numFmtId="0" fontId="20" fillId="3" borderId="74" xfId="0" applyFont="1" applyFill="1" applyBorder="1" applyAlignment="1" applyProtection="1">
      <alignment horizontal="left" vertical="top" wrapText="1"/>
      <protection hidden="1"/>
    </xf>
    <xf numFmtId="0" fontId="20" fillId="3" borderId="103" xfId="0" applyFont="1" applyFill="1" applyBorder="1" applyAlignment="1" applyProtection="1">
      <alignment horizontal="left" vertical="top" wrapText="1"/>
      <protection hidden="1"/>
    </xf>
    <xf numFmtId="0" fontId="7" fillId="3" borderId="4" xfId="0" applyFont="1" applyFill="1" applyBorder="1" applyAlignment="1" applyProtection="1">
      <alignment horizontal="left"/>
      <protection hidden="1"/>
    </xf>
    <xf numFmtId="0" fontId="7" fillId="3" borderId="6"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2" fontId="0" fillId="5" borderId="45" xfId="0" applyNumberFormat="1" applyFill="1" applyBorder="1" applyAlignment="1">
      <alignment horizontal="center" vertical="center"/>
    </xf>
  </cellXfs>
  <cellStyles count="6">
    <cellStyle name="Good" xfId="5" builtinId="26"/>
    <cellStyle name="Good 2" xfId="3" xr:uid="{00000000-0005-0000-0000-000000000000}"/>
    <cellStyle name="Normal" xfId="0" builtinId="0"/>
    <cellStyle name="Normal 3" xfId="1" xr:uid="{00000000-0005-0000-0000-000002000000}"/>
    <cellStyle name="Percent" xfId="2" builtinId="5"/>
    <cellStyle name="Percent 2" xfId="4" xr:uid="{15D37735-AF0C-44E8-B054-191CE06AB89F}"/>
  </cellStyles>
  <dxfs count="215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16161"/>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rgb="FFFFD146"/>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theme="0" tint="-0.1499679555650502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tint="-0.1499679555650502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F16161"/>
        </patternFill>
      </fill>
    </dxf>
    <dxf>
      <fill>
        <patternFill>
          <bgColor rgb="FFFFD146"/>
        </patternFill>
      </fill>
    </dxf>
    <dxf>
      <fill>
        <patternFill>
          <bgColor theme="0" tint="-0.14996795556505021"/>
        </patternFill>
      </fill>
    </dxf>
    <dxf>
      <fill>
        <patternFill>
          <bgColor theme="0"/>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tint="-0.1499679555650502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tint="-0.1499679555650502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dxf>
    <dxf>
      <fill>
        <patternFill>
          <bgColor theme="0" tint="-0.1499679555650502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theme="0" tint="-0.14996795556505021"/>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theme="0" tint="-0.14996795556505021"/>
        </patternFill>
      </fill>
    </dxf>
    <dxf>
      <font>
        <color theme="0"/>
      </font>
      <fill>
        <patternFill>
          <bgColor theme="0"/>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56B146"/>
        </patternFill>
      </fill>
    </dxf>
    <dxf>
      <fill>
        <patternFill>
          <bgColor theme="0" tint="-0.1499679555650502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tint="-0.1499679555650502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theme="0" tint="-0.1499679555650502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theme="0" tint="-0.1499679555650502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FD146"/>
        </patternFill>
      </fill>
    </dxf>
    <dxf>
      <fill>
        <patternFill>
          <bgColor theme="0"/>
        </patternFill>
      </fill>
    </dxf>
    <dxf>
      <fill>
        <patternFill>
          <bgColor rgb="FFF16161"/>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rgb="FFFFD146"/>
        </patternFill>
      </fill>
    </dxf>
    <dxf>
      <fill>
        <patternFill>
          <bgColor rgb="FFF16161"/>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rgb="FF56B146"/>
        </patternFill>
      </fill>
    </dxf>
    <dxf>
      <fill>
        <patternFill>
          <bgColor theme="0" tint="-0.14996795556505021"/>
        </patternFill>
      </fill>
    </dxf>
    <dxf>
      <fill>
        <patternFill>
          <bgColor rgb="FFF16161"/>
        </patternFill>
      </fill>
    </dxf>
    <dxf>
      <fill>
        <patternFill>
          <bgColor rgb="FFFFD146"/>
        </patternFill>
      </fill>
    </dxf>
    <dxf>
      <font>
        <color theme="0"/>
      </font>
      <fill>
        <patternFill>
          <bgColor theme="0"/>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theme="0" tint="-0.14996795556505021"/>
        </patternFill>
      </fill>
    </dxf>
    <dxf>
      <fill>
        <patternFill>
          <bgColor rgb="FFFFD146"/>
        </patternFill>
      </fill>
    </dxf>
    <dxf>
      <fill>
        <patternFill>
          <bgColor rgb="FF56B146"/>
        </patternFill>
      </fill>
    </dxf>
    <dxf>
      <fill>
        <patternFill>
          <bgColor theme="0"/>
        </patternFill>
      </fill>
    </dxf>
    <dxf>
      <fill>
        <patternFill>
          <bgColor rgb="FFF16161"/>
        </patternFill>
      </fill>
    </dxf>
    <dxf>
      <font>
        <color theme="0"/>
      </font>
      <fill>
        <patternFill>
          <bgColor theme="0"/>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FD146"/>
        </patternFill>
      </fill>
    </dxf>
    <dxf>
      <fill>
        <patternFill>
          <bgColor rgb="FF56B146"/>
        </patternFill>
      </fill>
    </dxf>
    <dxf>
      <fill>
        <patternFill>
          <bgColor rgb="FFF16161"/>
        </patternFill>
      </fill>
    </dxf>
    <dxf>
      <fill>
        <patternFill>
          <bgColor theme="0"/>
        </patternFill>
      </fill>
    </dxf>
    <dxf>
      <font>
        <color theme="0"/>
      </font>
      <fill>
        <patternFill>
          <bgColor theme="0"/>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fill>
        <patternFill>
          <bgColor rgb="FFFFD146"/>
        </patternFill>
      </fill>
    </dxf>
    <dxf>
      <fill>
        <patternFill>
          <bgColor rgb="FF56B146"/>
        </patternFill>
      </fill>
    </dxf>
    <dxf>
      <fill>
        <patternFill>
          <bgColor rgb="FFF16161"/>
        </patternFill>
      </fill>
    </dxf>
    <dxf>
      <fill>
        <patternFill>
          <bgColor theme="0"/>
        </patternFill>
      </fill>
    </dxf>
    <dxf>
      <font>
        <color theme="0"/>
      </font>
      <fill>
        <patternFill>
          <bgColor theme="0"/>
        </patternFill>
      </fill>
    </dxf>
    <dxf>
      <fill>
        <patternFill>
          <bgColor rgb="FF56B146"/>
        </patternFill>
      </fill>
    </dxf>
    <dxf>
      <fill>
        <patternFill>
          <bgColor theme="0"/>
        </patternFill>
      </fill>
    </dxf>
    <dxf>
      <fill>
        <patternFill>
          <bgColor rgb="FFF16161"/>
        </patternFill>
      </fill>
    </dxf>
    <dxf>
      <fill>
        <patternFill>
          <bgColor rgb="FFFFD146"/>
        </patternFill>
      </fill>
    </dxf>
    <dxf>
      <font>
        <color theme="0"/>
      </font>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dxf>
    <dxf>
      <fill>
        <patternFill>
          <bgColor theme="0"/>
        </patternFill>
      </fill>
    </dxf>
    <dxf>
      <fill>
        <patternFill>
          <bgColor rgb="FFF16161"/>
        </patternFill>
      </fill>
    </dxf>
    <dxf>
      <fill>
        <patternFill>
          <bgColor rgb="FF56B146"/>
        </patternFill>
      </fill>
    </dxf>
    <dxf>
      <fill>
        <patternFill>
          <bgColor rgb="FFFFD146"/>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FD146"/>
        </patternFill>
      </fill>
    </dxf>
    <dxf>
      <fill>
        <patternFill>
          <bgColor rgb="FFF16161"/>
        </patternFill>
      </fill>
    </dxf>
    <dxf>
      <border>
        <left style="thin">
          <color theme="0"/>
        </left>
        <right style="thin">
          <color theme="0"/>
        </right>
        <top style="thin">
          <color theme="0"/>
        </top>
        <bottom style="thin">
          <color theme="0"/>
        </bottom>
        <vertical/>
        <horizontal/>
      </border>
    </dxf>
    <dxf>
      <fill>
        <patternFill>
          <bgColor rgb="FF56B146"/>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border>
        <left style="thin">
          <color theme="0"/>
        </left>
        <right style="thin">
          <color theme="0"/>
        </right>
        <top style="thin">
          <color theme="0"/>
        </top>
        <bottom style="thin">
          <color theme="0"/>
        </bottom>
        <vertical/>
        <horizontal/>
      </border>
    </dxf>
    <dxf>
      <fill>
        <patternFill>
          <bgColor rgb="FFFFD146"/>
        </patternFill>
      </fill>
    </dxf>
    <dxf>
      <fill>
        <patternFill>
          <bgColor rgb="FF56B146"/>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rgb="FF56B146"/>
        </patternFill>
      </fill>
    </dxf>
    <dxf>
      <fill>
        <patternFill>
          <bgColor theme="0"/>
        </patternFill>
      </fill>
    </dxf>
    <dxf>
      <border>
        <left style="thin">
          <color theme="0"/>
        </left>
        <right style="thin">
          <color theme="0"/>
        </right>
        <top style="thin">
          <color theme="0"/>
        </top>
        <bottom style="thin">
          <color theme="0"/>
        </bottom>
        <vertical/>
        <horizontal/>
      </border>
    </dxf>
    <dxf>
      <fill>
        <patternFill>
          <bgColor rgb="FFFFD146"/>
        </patternFill>
      </fill>
    </dxf>
    <dxf>
      <fill>
        <patternFill>
          <bgColor rgb="FFF16161"/>
        </patternFill>
      </fill>
    </dxf>
    <dxf>
      <font>
        <color theme="0"/>
      </font>
      <fill>
        <patternFill>
          <bgColor theme="0"/>
        </patternFill>
      </fill>
      <border>
        <vertical/>
        <horizontal/>
      </border>
    </dxf>
    <dxf>
      <font>
        <color theme="0"/>
      </font>
      <fill>
        <patternFill>
          <bgColor theme="0"/>
        </patternFill>
      </fill>
      <border>
        <vertical/>
        <horizontal/>
      </border>
    </dxf>
    <dxf>
      <fill>
        <patternFill>
          <bgColor theme="0"/>
        </patternFill>
      </fill>
    </dxf>
    <dxf>
      <fill>
        <patternFill>
          <bgColor rgb="FFF16161"/>
        </patternFill>
      </fill>
    </dxf>
    <dxf>
      <fill>
        <patternFill>
          <bgColor rgb="FFFFD146"/>
        </patternFill>
      </fill>
    </dxf>
    <dxf>
      <border>
        <left style="thin">
          <color theme="0"/>
        </left>
        <right style="thin">
          <color theme="0"/>
        </right>
        <top style="thin">
          <color theme="0"/>
        </top>
        <bottom style="thin">
          <color theme="0"/>
        </bottom>
        <vertical/>
        <horizontal/>
      </border>
    </dxf>
    <dxf>
      <fill>
        <patternFill>
          <bgColor rgb="FF56B146"/>
        </patternFill>
      </fill>
    </dxf>
    <dxf>
      <fill>
        <patternFill>
          <bgColor rgb="FFFFD146"/>
        </patternFill>
      </fill>
    </dxf>
    <dxf>
      <fill>
        <patternFill>
          <bgColor rgb="FFF16161"/>
        </patternFill>
      </fill>
    </dxf>
    <dxf>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ill>
        <patternFill>
          <bgColor theme="0"/>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ont>
        <b/>
        <i val="0"/>
        <color rgb="FFFF0000"/>
      </font>
    </dxf>
    <dxf>
      <font>
        <b/>
        <i val="0"/>
        <color rgb="FFFF0000"/>
      </font>
    </dxf>
    <dxf>
      <font>
        <b/>
        <i val="0"/>
        <color rgb="FFFF0000"/>
      </font>
    </dxf>
    <dxf>
      <font>
        <color theme="0"/>
      </font>
      <fill>
        <patternFill>
          <bgColor theme="0"/>
        </patternFill>
      </fill>
    </dxf>
    <dxf>
      <font>
        <b/>
        <i val="0"/>
        <color rgb="FFFF0000"/>
      </font>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font>
        <b/>
        <i val="0"/>
        <color rgb="FFFF0000"/>
      </font>
    </dxf>
    <dxf>
      <font>
        <b/>
        <i val="0"/>
        <color rgb="FFFF0000"/>
      </font>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theme="0" tint="-0.14996795556505021"/>
        </patternFill>
      </fill>
    </dxf>
    <dxf>
      <fill>
        <patternFill>
          <bgColor rgb="FFF16161"/>
        </patternFill>
      </fill>
    </dxf>
    <dxf>
      <fill>
        <patternFill>
          <bgColor theme="0"/>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16161"/>
        </patternFill>
      </fill>
    </dxf>
    <dxf>
      <fill>
        <patternFill>
          <bgColor rgb="FFFFD146"/>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16161"/>
        </patternFill>
      </fill>
    </dxf>
    <dxf>
      <fill>
        <patternFill>
          <bgColor rgb="FFFFD146"/>
        </patternFill>
      </fill>
    </dxf>
    <dxf>
      <fill>
        <patternFill>
          <bgColor rgb="FF56B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ont>
        <color theme="0"/>
      </font>
      <fill>
        <patternFill>
          <bgColor theme="0"/>
        </patternFill>
      </fill>
      <border>
        <vertical/>
        <horizontal/>
      </border>
    </dxf>
    <dxf>
      <fill>
        <patternFill>
          <bgColor theme="0" tint="-0.14996795556505021"/>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FD146"/>
        </patternFill>
      </fill>
    </dxf>
    <dxf>
      <fill>
        <patternFill>
          <bgColor rgb="FF56B146"/>
        </patternFill>
      </fill>
    </dxf>
    <dxf>
      <fill>
        <patternFill>
          <bgColor rgb="FFF16161"/>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rgb="FFFFD146"/>
        </patternFill>
      </fill>
    </dxf>
    <dxf>
      <fill>
        <patternFill>
          <bgColor theme="0" tint="-0.14996795556505021"/>
        </patternFill>
      </fill>
    </dxf>
    <dxf>
      <fill>
        <patternFill>
          <bgColor rgb="FF56B146"/>
        </patternFill>
      </fill>
    </dxf>
    <dxf>
      <font>
        <color theme="0"/>
      </font>
      <fill>
        <patternFill>
          <bgColor theme="0"/>
        </patternFill>
      </fill>
      <border>
        <vertical/>
        <horizontal/>
      </border>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tint="-0.14996795556505021"/>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theme="0" tint="-0.14996795556505021"/>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F16161"/>
        </patternFill>
      </fill>
    </dxf>
    <dxf>
      <fill>
        <patternFill>
          <bgColor rgb="FF56B146"/>
        </patternFill>
      </fill>
    </dxf>
    <dxf>
      <fill>
        <patternFill>
          <bgColor rgb="FFFFD146"/>
        </patternFill>
      </fill>
    </dxf>
    <dxf>
      <border>
        <left style="thin">
          <color theme="0"/>
        </left>
        <right style="thin">
          <color theme="0"/>
        </right>
        <top style="thin">
          <color theme="0"/>
        </top>
        <bottom style="thin">
          <color theme="0"/>
        </bottom>
        <vertical/>
        <horizontal/>
      </border>
    </dxf>
    <dxf>
      <fill>
        <patternFill>
          <bgColor theme="0"/>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theme="0" tint="-0.14996795556505021"/>
        </patternFill>
      </fill>
    </dxf>
    <dxf>
      <fill>
        <patternFill>
          <bgColor rgb="FF56B146"/>
        </patternFill>
      </fill>
    </dxf>
    <dxf>
      <font>
        <color theme="0"/>
      </font>
      <fill>
        <patternFill>
          <bgColor theme="0"/>
        </patternFill>
      </fill>
      <border>
        <vertical/>
        <horizontal/>
      </border>
    </dxf>
    <dxf>
      <fill>
        <patternFill>
          <bgColor theme="0"/>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FFD146"/>
        </patternFill>
      </fill>
    </dxf>
    <dxf>
      <font>
        <color theme="0"/>
      </font>
      <fill>
        <patternFill>
          <bgColor theme="0"/>
        </patternFill>
      </fill>
      <border>
        <vertical/>
        <horizontal/>
      </border>
    </dxf>
    <dxf>
      <fill>
        <patternFill>
          <bgColor rgb="FF56B146"/>
        </patternFill>
      </fill>
    </dxf>
    <dxf>
      <font>
        <color theme="0"/>
      </font>
      <fill>
        <patternFill>
          <bgColor theme="0"/>
        </patternFill>
      </fill>
      <border>
        <vertical/>
        <horizontal/>
      </border>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56B146"/>
        </patternFill>
      </fill>
    </dxf>
    <dxf>
      <fill>
        <patternFill>
          <bgColor theme="0"/>
        </patternFill>
      </fill>
    </dxf>
    <dxf>
      <font>
        <color theme="0"/>
      </font>
      <fill>
        <patternFill>
          <bgColor theme="0"/>
        </patternFill>
      </fill>
      <border>
        <vertical/>
        <horizontal/>
      </border>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patternFill>
      </fill>
    </dxf>
    <dxf>
      <fill>
        <patternFill>
          <bgColor rgb="FF56B146"/>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theme="0"/>
        </patternFill>
      </fill>
    </dxf>
    <dxf>
      <fill>
        <patternFill>
          <bgColor rgb="FF56B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rgb="FFFFD146"/>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border>
        <vertical/>
        <horizontal/>
      </border>
    </dxf>
    <dxf>
      <fill>
        <patternFill>
          <bgColor theme="0"/>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ont>
        <b/>
        <i val="0"/>
        <color rgb="FFFF0000"/>
      </font>
    </dxf>
    <dxf>
      <font>
        <b/>
        <i val="0"/>
        <color rgb="FFFF0000"/>
      </font>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1"/>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border>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b/>
        <i val="0"/>
        <color rgb="FFFF0000"/>
      </font>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fill>
        <patternFill>
          <bgColor theme="0" tint="-0.14996795556505021"/>
        </patternFill>
      </fill>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border>
        <vertical/>
        <horizontal/>
      </border>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ont>
        <b/>
        <i val="0"/>
        <color rgb="FFFF0000"/>
      </font>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tint="-0.1499679555650502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tint="-0.14996795556505021"/>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theme="0" tint="-0.1499679555650502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0" tint="-0.14996795556505021"/>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b/>
        <i val="0"/>
        <color rgb="FFFF0000"/>
      </font>
    </dxf>
    <dxf>
      <font>
        <color theme="0"/>
      </font>
      <fill>
        <patternFill>
          <bgColor theme="0"/>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theme="1"/>
        </left>
        <right style="thin">
          <color theme="1"/>
        </right>
        <top style="thin">
          <color theme="1"/>
        </top>
        <bottom style="thin">
          <color theme="1"/>
        </bottom>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style="thin">
          <color theme="0"/>
        </left>
        <right style="thin">
          <color theme="0"/>
        </right>
        <top style="thin">
          <color theme="1"/>
        </top>
        <bottom style="thin">
          <color theme="1"/>
        </bottom>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bottom style="thin">
          <color auto="1"/>
        </bottom>
        <vertical/>
        <horizontal/>
      </border>
    </dxf>
    <dxf>
      <font>
        <color theme="0"/>
      </font>
      <fill>
        <patternFill>
          <bgColor theme="0"/>
        </patternFill>
      </fill>
      <border>
        <left style="thin">
          <color theme="0"/>
        </left>
        <right style="thin">
          <color theme="0"/>
        </right>
        <top style="thin">
          <color theme="0"/>
        </top>
        <bottom style="thin">
          <color theme="1"/>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bottom/>
        <vertical/>
        <horizontal/>
      </border>
    </dxf>
    <dxf>
      <border>
        <top style="thin">
          <color auto="1"/>
        </top>
        <vertical/>
        <horizontal/>
      </border>
    </dxf>
    <dxf>
      <fill>
        <patternFill>
          <bgColor theme="2" tint="-9.9948118533890809E-2"/>
        </patternFill>
      </fill>
    </dxf>
    <dxf>
      <font>
        <color theme="0"/>
      </font>
      <fill>
        <patternFill>
          <bgColor theme="0"/>
        </patternFill>
      </fill>
      <border>
        <left/>
        <right/>
        <top style="thin">
          <color auto="1"/>
        </top>
        <bottom/>
        <vertical/>
        <horizontal/>
      </border>
    </dxf>
    <dxf>
      <font>
        <color theme="0"/>
      </font>
      <fill>
        <patternFill>
          <bgColor theme="0"/>
        </patternFill>
      </fill>
      <border>
        <left style="thin">
          <color theme="1"/>
        </left>
        <vertical/>
        <horizontal/>
      </border>
    </dxf>
    <dxf>
      <font>
        <color theme="0"/>
      </font>
      <fill>
        <patternFill>
          <bgColor theme="0"/>
        </patternFill>
      </fill>
    </dxf>
    <dxf>
      <font>
        <color theme="0"/>
      </font>
      <fill>
        <patternFill>
          <bgColor theme="0"/>
        </patternFill>
      </fill>
    </dxf>
    <dxf>
      <font>
        <color theme="1"/>
      </font>
    </dxf>
    <dxf>
      <font>
        <color theme="5"/>
      </font>
    </dxf>
    <dxf>
      <font>
        <color theme="0" tint="-0.14996795556505021"/>
      </font>
    </dxf>
    <dxf>
      <font>
        <color theme="0" tint="-0.14996795556505021"/>
      </font>
    </dxf>
    <dxf>
      <font>
        <color theme="0" tint="-0.14996795556505021"/>
      </font>
    </dxf>
    <dxf>
      <fill>
        <patternFill>
          <bgColor rgb="FFFF0000"/>
        </patternFill>
      </fill>
    </dxf>
    <dxf>
      <fill>
        <patternFill>
          <bgColor rgb="FFFF0000"/>
        </patternFill>
      </fill>
    </dxf>
    <dxf>
      <fill>
        <patternFill>
          <bgColor rgb="FFFF0000"/>
        </patternFill>
      </fill>
    </dxf>
    <dxf>
      <font>
        <b/>
        <i val="0"/>
        <color rgb="FFFF0000"/>
      </font>
    </dxf>
    <dxf>
      <fill>
        <patternFill>
          <bgColor theme="0" tint="-0.14996795556505021"/>
        </patternFill>
      </fill>
    </dxf>
  </dxfs>
  <tableStyles count="0" defaultTableStyle="TableStyleMedium9" defaultPivotStyle="PivotStyleLight16"/>
  <colors>
    <mruColors>
      <color rgb="FF3D6864"/>
      <color rgb="FF56B146"/>
      <color rgb="FFFFD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'Assessment Rating'!$AC$20</c:f>
              <c:strCache>
                <c:ptCount val="1"/>
                <c:pt idx="0">
                  <c:v>Section score available</c:v>
                </c:pt>
              </c:strCache>
            </c:strRef>
          </c:tx>
          <c:spPr>
            <a:solidFill>
              <a:srgbClr val="406864"/>
            </a:solidFill>
          </c:spPr>
          <c:invertIfNegative val="0"/>
          <c:cat>
            <c:strRef>
              <c:f>'Assessment Rating'!$AB$21:$AB$30</c:f>
              <c:strCache>
                <c:ptCount val="10"/>
                <c:pt idx="0">
                  <c:v>Man</c:v>
                </c:pt>
                <c:pt idx="1">
                  <c:v>Hea</c:v>
                </c:pt>
                <c:pt idx="2">
                  <c:v>Ene</c:v>
                </c:pt>
                <c:pt idx="3">
                  <c:v>Tra</c:v>
                </c:pt>
                <c:pt idx="4">
                  <c:v>Wat</c:v>
                </c:pt>
                <c:pt idx="5">
                  <c:v>Mat</c:v>
                </c:pt>
                <c:pt idx="6">
                  <c:v>Wst</c:v>
                </c:pt>
                <c:pt idx="7">
                  <c:v>LE</c:v>
                </c:pt>
                <c:pt idx="8">
                  <c:v>Pol</c:v>
                </c:pt>
                <c:pt idx="9">
                  <c:v>Inn</c:v>
                </c:pt>
              </c:strCache>
            </c:strRef>
          </c:cat>
          <c:val>
            <c:numRef>
              <c:f>'Assessment Rating'!$AC$21:$AC$30</c:f>
              <c:numCache>
                <c:formatCode>0%</c:formatCode>
                <c:ptCount val="10"/>
                <c:pt idx="0">
                  <c:v>0.13</c:v>
                </c:pt>
                <c:pt idx="1">
                  <c:v>0.16</c:v>
                </c:pt>
                <c:pt idx="2">
                  <c:v>0.14000000000000001</c:v>
                </c:pt>
                <c:pt idx="3">
                  <c:v>0.1</c:v>
                </c:pt>
                <c:pt idx="4">
                  <c:v>0.04</c:v>
                </c:pt>
                <c:pt idx="5">
                  <c:v>0.17</c:v>
                </c:pt>
                <c:pt idx="6">
                  <c:v>7.0000000000000007E-2</c:v>
                </c:pt>
                <c:pt idx="7">
                  <c:v>0.15</c:v>
                </c:pt>
                <c:pt idx="8">
                  <c:v>0.04</c:v>
                </c:pt>
                <c:pt idx="9">
                  <c:v>0.1</c:v>
                </c:pt>
              </c:numCache>
            </c:numRef>
          </c:val>
          <c:extLst>
            <c:ext xmlns:c16="http://schemas.microsoft.com/office/drawing/2014/chart" uri="{C3380CC4-5D6E-409C-BE32-E72D297353CC}">
              <c16:uniqueId val="{00000000-F474-4344-A64F-9500F3F284CF}"/>
            </c:ext>
          </c:extLst>
        </c:ser>
        <c:ser>
          <c:idx val="1"/>
          <c:order val="1"/>
          <c:tx>
            <c:strRef>
              <c:f>'Assessment Rating'!$AD$20</c:f>
              <c:strCache>
                <c:ptCount val="1"/>
                <c:pt idx="0">
                  <c:v>Building Performance</c:v>
                </c:pt>
              </c:strCache>
            </c:strRef>
          </c:tx>
          <c:spPr>
            <a:solidFill>
              <a:srgbClr val="56B146"/>
            </a:solidFill>
          </c:spPr>
          <c:invertIfNegative val="0"/>
          <c:cat>
            <c:strRef>
              <c:f>'Assessment Rating'!$AB$21:$AB$30</c:f>
              <c:strCache>
                <c:ptCount val="10"/>
                <c:pt idx="0">
                  <c:v>Man</c:v>
                </c:pt>
                <c:pt idx="1">
                  <c:v>Hea</c:v>
                </c:pt>
                <c:pt idx="2">
                  <c:v>Ene</c:v>
                </c:pt>
                <c:pt idx="3">
                  <c:v>Tra</c:v>
                </c:pt>
                <c:pt idx="4">
                  <c:v>Wat</c:v>
                </c:pt>
                <c:pt idx="5">
                  <c:v>Mat</c:v>
                </c:pt>
                <c:pt idx="6">
                  <c:v>Wst</c:v>
                </c:pt>
                <c:pt idx="7">
                  <c:v>LE</c:v>
                </c:pt>
                <c:pt idx="8">
                  <c:v>Pol</c:v>
                </c:pt>
                <c:pt idx="9">
                  <c:v>Inn</c:v>
                </c:pt>
              </c:strCache>
            </c:strRef>
          </c:cat>
          <c:val>
            <c:numRef>
              <c:f>'Assessment Rating'!$AD$21:$AD$30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dLbls>
          <c:showLegendKey val="0"/>
          <c:showVal val="0"/>
          <c:showCatName val="0"/>
          <c:showSerName val="0"/>
          <c:showPercent val="0"/>
          <c:showBubbleSize val="0"/>
        </c:dLbls>
        <c:gapWidth val="75"/>
        <c:overlap val="-25"/>
        <c:axId val="621716544"/>
        <c:axId val="621717720"/>
      </c:barChart>
      <c:catAx>
        <c:axId val="6217165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7720"/>
        <c:crosses val="autoZero"/>
        <c:auto val="1"/>
        <c:lblAlgn val="ctr"/>
        <c:lblOffset val="100"/>
        <c:noMultiLvlLbl val="0"/>
      </c:catAx>
      <c:valAx>
        <c:axId val="62171772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21716544"/>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'Assessment Rating'!$AC$34</c:f>
              <c:strCache>
                <c:ptCount val="1"/>
                <c:pt idx="0">
                  <c:v>Building Performance</c:v>
                </c:pt>
              </c:strCache>
            </c:strRef>
          </c:tx>
          <c:spPr>
            <a:solidFill>
              <a:srgbClr val="56B146"/>
            </a:solidFill>
          </c:spPr>
          <c:invertIfNegative val="0"/>
          <c:cat>
            <c:strRef>
              <c:f>'Assessment Rating'!$AB$35:$AB$56</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'Assessment Rating'!$AC$35:$AC$56</c:f>
              <c:numCache>
                <c:formatCode>General</c:formatCode>
                <c:ptCount val="22"/>
                <c:pt idx="0">
                  <c:v>3</c:v>
                </c:pt>
                <c:pt idx="1">
                  <c:v>0</c:v>
                </c:pt>
                <c:pt idx="2">
                  <c:v>0</c:v>
                </c:pt>
                <c:pt idx="3">
                  <c:v>3</c:v>
                </c:pt>
                <c:pt idx="4">
                  <c:v>0</c:v>
                </c:pt>
                <c:pt idx="5">
                  <c:v>2</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0-F474-4344-A64F-9500F3F284CF}"/>
            </c:ext>
          </c:extLst>
        </c:ser>
        <c:dLbls>
          <c:showLegendKey val="0"/>
          <c:showVal val="0"/>
          <c:showCatName val="0"/>
          <c:showSerName val="0"/>
          <c:showPercent val="0"/>
          <c:showBubbleSize val="0"/>
        </c:dLbls>
        <c:gapWidth val="75"/>
        <c:overlap val="-25"/>
        <c:axId val="621713800"/>
        <c:axId val="621718504"/>
      </c:barChart>
      <c:catAx>
        <c:axId val="621713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8504"/>
        <c:crosses val="autoZero"/>
        <c:auto val="1"/>
        <c:lblAlgn val="ctr"/>
        <c:lblOffset val="100"/>
        <c:noMultiLvlLbl val="0"/>
      </c:catAx>
      <c:valAx>
        <c:axId val="621718504"/>
        <c:scaling>
          <c:orientation val="minMax"/>
          <c:max val="5"/>
        </c:scaling>
        <c:delete val="1"/>
        <c:axPos val="l"/>
        <c:majorGridlines/>
        <c:numFmt formatCode="0%" sourceLinked="0"/>
        <c:majorTickMark val="none"/>
        <c:minorTickMark val="none"/>
        <c:tickLblPos val="nextTo"/>
        <c:crossAx val="621713800"/>
        <c:crosses val="autoZero"/>
        <c:crossBetween val="between"/>
        <c:majorUnit val="1"/>
      </c:valAx>
    </c:plotArea>
    <c:legend>
      <c:legendPos val="b"/>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hyperlink" Target="#ELI"/><Relationship Id="rId3" Type="http://schemas.openxmlformats.org/officeDocument/2006/relationships/hyperlink" Target="#WAT"/><Relationship Id="rId7" Type="http://schemas.openxmlformats.org/officeDocument/2006/relationships/hyperlink" Target="#POL"/><Relationship Id="rId2" Type="http://schemas.openxmlformats.org/officeDocument/2006/relationships/hyperlink" Target="#TRA"/><Relationship Id="rId1" Type="http://schemas.openxmlformats.org/officeDocument/2006/relationships/hyperlink" Target="#ENE"/><Relationship Id="rId6" Type="http://schemas.openxmlformats.org/officeDocument/2006/relationships/hyperlink" Target="#LE"/><Relationship Id="rId11" Type="http://schemas.openxmlformats.org/officeDocument/2006/relationships/image" Target="../media/image7.png"/><Relationship Id="rId5" Type="http://schemas.openxmlformats.org/officeDocument/2006/relationships/hyperlink" Target="#WST"/><Relationship Id="rId10" Type="http://schemas.openxmlformats.org/officeDocument/2006/relationships/hyperlink" Target="#MAN"/><Relationship Id="rId4" Type="http://schemas.openxmlformats.org/officeDocument/2006/relationships/hyperlink" Target="#MAT"/><Relationship Id="rId9" Type="http://schemas.openxmlformats.org/officeDocument/2006/relationships/hyperlink" Target="#HEA"/></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47944</xdr:colOff>
      <xdr:row>9</xdr:row>
      <xdr:rowOff>9524</xdr:rowOff>
    </xdr:from>
    <xdr:to>
      <xdr:col>3</xdr:col>
      <xdr:colOff>985923</xdr:colOff>
      <xdr:row>18</xdr:row>
      <xdr:rowOff>110489</xdr:rowOff>
    </xdr:to>
    <xdr:pic>
      <xdr:nvPicPr>
        <xdr:cNvPr id="8" name="Picture 7">
          <a:extLst>
            <a:ext uri="{FF2B5EF4-FFF2-40B4-BE49-F238E27FC236}">
              <a16:creationId xmlns:a16="http://schemas.microsoft.com/office/drawing/2014/main" id="{514DB9FE-E69C-44D8-90E6-192BCA61C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544" y="4724399"/>
          <a:ext cx="2199089" cy="1724025"/>
        </a:xfrm>
        <a:prstGeom prst="rect">
          <a:avLst/>
        </a:prstGeom>
      </xdr:spPr>
    </xdr:pic>
    <xdr:clientData/>
  </xdr:twoCellAnchor>
  <xdr:twoCellAnchor editAs="oneCell">
    <xdr:from>
      <xdr:col>11</xdr:col>
      <xdr:colOff>352425</xdr:colOff>
      <xdr:row>0</xdr:row>
      <xdr:rowOff>142875</xdr:rowOff>
    </xdr:from>
    <xdr:to>
      <xdr:col>16</xdr:col>
      <xdr:colOff>41910</xdr:colOff>
      <xdr:row>4</xdr:row>
      <xdr:rowOff>34043</xdr:rowOff>
    </xdr:to>
    <xdr:pic>
      <xdr:nvPicPr>
        <xdr:cNvPr id="9" name="Bilde 7">
          <a:extLst>
            <a:ext uri="{FF2B5EF4-FFF2-40B4-BE49-F238E27FC236}">
              <a16:creationId xmlns:a16="http://schemas.microsoft.com/office/drawing/2014/main" id="{2E416739-5696-4333-80A2-9773A284A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8975" y="142875"/>
          <a:ext cx="2823210" cy="670313"/>
        </a:xfrm>
        <a:prstGeom prst="rect">
          <a:avLst/>
        </a:prstGeom>
      </xdr:spPr>
    </xdr:pic>
    <xdr:clientData/>
  </xdr:twoCellAnchor>
  <xdr:twoCellAnchor editAs="oneCell">
    <xdr:from>
      <xdr:col>5</xdr:col>
      <xdr:colOff>219074</xdr:colOff>
      <xdr:row>14</xdr:row>
      <xdr:rowOff>96843</xdr:rowOff>
    </xdr:from>
    <xdr:to>
      <xdr:col>8</xdr:col>
      <xdr:colOff>537210</xdr:colOff>
      <xdr:row>19</xdr:row>
      <xdr:rowOff>72411</xdr:rowOff>
    </xdr:to>
    <xdr:pic>
      <xdr:nvPicPr>
        <xdr:cNvPr id="3" name="Picture 2">
          <a:extLst>
            <a:ext uri="{FF2B5EF4-FFF2-40B4-BE49-F238E27FC236}">
              <a16:creationId xmlns:a16="http://schemas.microsoft.com/office/drawing/2014/main" id="{AA1CBD4F-DC3B-4EE6-AD68-16DE5317B1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2324" y="6307143"/>
          <a:ext cx="2095501" cy="9147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1669768</xdr:colOff>
      <xdr:row>120</xdr:row>
      <xdr:rowOff>66260</xdr:rowOff>
    </xdr:from>
    <xdr:to>
      <xdr:col>2</xdr:col>
      <xdr:colOff>5760720</xdr:colOff>
      <xdr:row>123</xdr:row>
      <xdr:rowOff>123825</xdr:rowOff>
    </xdr:to>
    <xdr:pic>
      <xdr:nvPicPr>
        <xdr:cNvPr id="2" name="Picture 1" descr="A screenshot of a computer&#10;&#10;Description automatically generated">
          <a:extLst>
            <a:ext uri="{FF2B5EF4-FFF2-40B4-BE49-F238E27FC236}">
              <a16:creationId xmlns:a16="http://schemas.microsoft.com/office/drawing/2014/main" id="{E2D5E60B-DCD9-0FE3-D838-B3CD9674B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594" y="24268043"/>
          <a:ext cx="4090952" cy="6290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127187</xdr:colOff>
      <xdr:row>43</xdr:row>
      <xdr:rowOff>786402</xdr:rowOff>
    </xdr:from>
    <xdr:to>
      <xdr:col>2</xdr:col>
      <xdr:colOff>2501452</xdr:colOff>
      <xdr:row>45</xdr:row>
      <xdr:rowOff>91996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2287" y="11463927"/>
          <a:ext cx="2374265" cy="534319"/>
        </a:xfrm>
        <a:prstGeom prst="rect">
          <a:avLst/>
        </a:prstGeom>
      </xdr:spPr>
    </xdr:pic>
    <xdr:clientData/>
  </xdr:twoCellAnchor>
  <xdr:twoCellAnchor>
    <xdr:from>
      <xdr:col>2</xdr:col>
      <xdr:colOff>3390900</xdr:colOff>
      <xdr:row>56</xdr:row>
      <xdr:rowOff>180975</xdr:rowOff>
    </xdr:from>
    <xdr:to>
      <xdr:col>4</xdr:col>
      <xdr:colOff>19050</xdr:colOff>
      <xdr:row>58</xdr:row>
      <xdr:rowOff>57150</xdr:rowOff>
    </xdr:to>
    <xdr:sp macro="" textlink="">
      <xdr:nvSpPr>
        <xdr:cNvPr id="6" name="TextBox 5">
          <a:extLst>
            <a:ext uri="{FF2B5EF4-FFF2-40B4-BE49-F238E27FC236}">
              <a16:creationId xmlns:a16="http://schemas.microsoft.com/office/drawing/2014/main" id="{A26ADC79-7EC8-47E4-B5D3-1CCBDADB2BE3}"/>
            </a:ext>
          </a:extLst>
        </xdr:cNvPr>
        <xdr:cNvSpPr txBox="1"/>
      </xdr:nvSpPr>
      <xdr:spPr>
        <a:xfrm>
          <a:off x="6096000" y="13611225"/>
          <a:ext cx="9906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Tool date:</a:t>
          </a:r>
        </a:p>
      </xdr:txBody>
    </xdr:sp>
    <xdr:clientData/>
  </xdr:twoCellAnchor>
  <xdr:twoCellAnchor editAs="oneCell">
    <xdr:from>
      <xdr:col>5</xdr:col>
      <xdr:colOff>981075</xdr:colOff>
      <xdr:row>0</xdr:row>
      <xdr:rowOff>123825</xdr:rowOff>
    </xdr:from>
    <xdr:to>
      <xdr:col>39</xdr:col>
      <xdr:colOff>33655</xdr:colOff>
      <xdr:row>2</xdr:row>
      <xdr:rowOff>71508</xdr:rowOff>
    </xdr:to>
    <xdr:pic>
      <xdr:nvPicPr>
        <xdr:cNvPr id="5" name="Bilde 6">
          <a:extLst>
            <a:ext uri="{FF2B5EF4-FFF2-40B4-BE49-F238E27FC236}">
              <a16:creationId xmlns:a16="http://schemas.microsoft.com/office/drawing/2014/main" id="{D6381F30-8EEF-46F6-8E0F-07F579C38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0" y="123825"/>
          <a:ext cx="2815590" cy="670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7615517</xdr:colOff>
      <xdr:row>7</xdr:row>
      <xdr:rowOff>127072</xdr:rowOff>
    </xdr:from>
    <xdr:to>
      <xdr:col>39</xdr:col>
      <xdr:colOff>483758</xdr:colOff>
      <xdr:row>8</xdr:row>
      <xdr:rowOff>186019</xdr:rowOff>
    </xdr:to>
    <xdr:sp macro="" textlink="">
      <xdr:nvSpPr>
        <xdr:cNvPr id="2" name="Rectangle 1">
          <a:extLst>
            <a:ext uri="{FF2B5EF4-FFF2-40B4-BE49-F238E27FC236}">
              <a16:creationId xmlns:a16="http://schemas.microsoft.com/office/drawing/2014/main" id="{E72E5E3C-91FF-49C1-85D0-98AFC45EED80}"/>
            </a:ext>
          </a:extLst>
        </xdr:cNvPr>
        <xdr:cNvSpPr/>
      </xdr:nvSpPr>
      <xdr:spPr>
        <a:xfrm>
          <a:off x="8135470" y="1758648"/>
          <a:ext cx="25598382" cy="25617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12954000</xdr:colOff>
      <xdr:row>7</xdr:row>
      <xdr:rowOff>56029</xdr:rowOff>
    </xdr:from>
    <xdr:to>
      <xdr:col>9</xdr:col>
      <xdr:colOff>248211</xdr:colOff>
      <xdr:row>9</xdr:row>
      <xdr:rowOff>3361</xdr:rowOff>
    </xdr:to>
    <xdr:sp macro="" textlink="">
      <xdr:nvSpPr>
        <xdr:cNvPr id="3" name="Rectangle 2">
          <a:extLst>
            <a:ext uri="{FF2B5EF4-FFF2-40B4-BE49-F238E27FC236}">
              <a16:creationId xmlns:a16="http://schemas.microsoft.com/office/drawing/2014/main" id="{F28487AA-F88D-4B9E-97F2-6C73545C517B}"/>
            </a:ext>
          </a:extLst>
        </xdr:cNvPr>
        <xdr:cNvSpPr/>
      </xdr:nvSpPr>
      <xdr:spPr>
        <a:xfrm>
          <a:off x="5486400" y="1389529"/>
          <a:ext cx="248211" cy="32833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9</xdr:col>
      <xdr:colOff>616324</xdr:colOff>
      <xdr:row>7</xdr:row>
      <xdr:rowOff>156883</xdr:rowOff>
    </xdr:from>
    <xdr:to>
      <xdr:col>9</xdr:col>
      <xdr:colOff>1402417</xdr:colOff>
      <xdr:row>9</xdr:row>
      <xdr:rowOff>104215</xdr:rowOff>
    </xdr:to>
    <xdr:sp macro="" textlink="">
      <xdr:nvSpPr>
        <xdr:cNvPr id="4" name="Rectangle 3">
          <a:extLst>
            <a:ext uri="{FF2B5EF4-FFF2-40B4-BE49-F238E27FC236}">
              <a16:creationId xmlns:a16="http://schemas.microsoft.com/office/drawing/2014/main" id="{622CDAF9-BE91-4166-8193-36F412176D89}"/>
            </a:ext>
          </a:extLst>
        </xdr:cNvPr>
        <xdr:cNvSpPr/>
      </xdr:nvSpPr>
      <xdr:spPr>
        <a:xfrm>
          <a:off x="6093199" y="1490383"/>
          <a:ext cx="5043" cy="32833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123265</xdr:colOff>
      <xdr:row>0</xdr:row>
      <xdr:rowOff>156883</xdr:rowOff>
    </xdr:from>
    <xdr:to>
      <xdr:col>41</xdr:col>
      <xdr:colOff>134471</xdr:colOff>
      <xdr:row>7</xdr:row>
      <xdr:rowOff>134470</xdr:rowOff>
    </xdr:to>
    <xdr:sp macro="" textlink="">
      <xdr:nvSpPr>
        <xdr:cNvPr id="5" name="Rectangle 4">
          <a:extLst>
            <a:ext uri="{FF2B5EF4-FFF2-40B4-BE49-F238E27FC236}">
              <a16:creationId xmlns:a16="http://schemas.microsoft.com/office/drawing/2014/main" id="{92884360-F78B-4F79-B9A6-D240B1A2D62B}"/>
            </a:ext>
          </a:extLst>
        </xdr:cNvPr>
        <xdr:cNvSpPr/>
      </xdr:nvSpPr>
      <xdr:spPr>
        <a:xfrm>
          <a:off x="14590059" y="156883"/>
          <a:ext cx="3070412" cy="1636058"/>
        </a:xfrm>
        <a:prstGeom prst="rect">
          <a:avLst/>
        </a:prstGeom>
        <a:solidFill>
          <a:srgbClr val="3D6864"/>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8</xdr:col>
      <xdr:colOff>390524</xdr:colOff>
      <xdr:row>0</xdr:row>
      <xdr:rowOff>100291</xdr:rowOff>
    </xdr:from>
    <xdr:to>
      <xdr:col>41</xdr:col>
      <xdr:colOff>67235</xdr:colOff>
      <xdr:row>3</xdr:row>
      <xdr:rowOff>85724</xdr:rowOff>
    </xdr:to>
    <xdr:sp macro="" textlink="">
      <xdr:nvSpPr>
        <xdr:cNvPr id="6" name="TextBox 5">
          <a:extLst>
            <a:ext uri="{FF2B5EF4-FFF2-40B4-BE49-F238E27FC236}">
              <a16:creationId xmlns:a16="http://schemas.microsoft.com/office/drawing/2014/main" id="{1079047C-36FB-4CF0-969B-2CC69AD0574E}"/>
            </a:ext>
          </a:extLst>
        </xdr:cNvPr>
        <xdr:cNvSpPr txBox="1"/>
      </xdr:nvSpPr>
      <xdr:spPr bwMode="auto">
        <a:xfrm>
          <a:off x="14857318" y="100291"/>
          <a:ext cx="2735917" cy="848286"/>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1100" b="0">
              <a:solidFill>
                <a:schemeClr val="bg1"/>
              </a:solidFill>
            </a:rPr>
            <a:t>Cells that are white with a black border require the user to input information,</a:t>
          </a:r>
          <a:r>
            <a:rPr lang="en-GB" sz="1100" b="0" baseline="0">
              <a:solidFill>
                <a:schemeClr val="bg1"/>
              </a:solidFill>
            </a:rPr>
            <a:t> either by selecting from the available options </a:t>
          </a:r>
          <a:r>
            <a:rPr lang="en-GB" sz="1100" b="0">
              <a:solidFill>
                <a:schemeClr val="bg1"/>
              </a:solidFill>
            </a:rPr>
            <a:t>or</a:t>
          </a:r>
          <a:r>
            <a:rPr lang="en-GB" sz="1100" b="0" baseline="0">
              <a:solidFill>
                <a:schemeClr val="bg1"/>
              </a:solidFill>
            </a:rPr>
            <a:t> entering the required </a:t>
          </a:r>
          <a:r>
            <a:rPr lang="en-GB" sz="1100" b="0">
              <a:solidFill>
                <a:schemeClr val="bg1"/>
              </a:solidFill>
            </a:rPr>
            <a:t>data.</a:t>
          </a:r>
        </a:p>
        <a:p>
          <a:pPr algn="l"/>
          <a:endParaRPr lang="en-GB" sz="1000" b="0">
            <a:solidFill>
              <a:schemeClr val="bg1"/>
            </a:solidFill>
          </a:endParaRPr>
        </a:p>
      </xdr:txBody>
    </xdr:sp>
    <xdr:clientData/>
  </xdr:twoCellAnchor>
  <xdr:twoCellAnchor>
    <xdr:from>
      <xdr:col>8</xdr:col>
      <xdr:colOff>428625</xdr:colOff>
      <xdr:row>3</xdr:row>
      <xdr:rowOff>66675</xdr:rowOff>
    </xdr:from>
    <xdr:to>
      <xdr:col>41</xdr:col>
      <xdr:colOff>11206</xdr:colOff>
      <xdr:row>8</xdr:row>
      <xdr:rowOff>9525</xdr:rowOff>
    </xdr:to>
    <xdr:sp macro="" textlink="">
      <xdr:nvSpPr>
        <xdr:cNvPr id="7" name="TextBox 6">
          <a:extLst>
            <a:ext uri="{FF2B5EF4-FFF2-40B4-BE49-F238E27FC236}">
              <a16:creationId xmlns:a16="http://schemas.microsoft.com/office/drawing/2014/main" id="{C2A92B43-D674-4738-AE4C-76B9CE31234D}"/>
            </a:ext>
          </a:extLst>
        </xdr:cNvPr>
        <xdr:cNvSpPr txBox="1"/>
      </xdr:nvSpPr>
      <xdr:spPr bwMode="auto">
        <a:xfrm>
          <a:off x="14895419" y="929528"/>
          <a:ext cx="2641787" cy="940173"/>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GB" sz="1100" b="0" i="0">
              <a:solidFill>
                <a:schemeClr val="bg1"/>
              </a:solidFill>
            </a:rPr>
            <a:t>Cells that are light</a:t>
          </a:r>
          <a:r>
            <a:rPr lang="en-GB" sz="1100" b="0" i="0" baseline="0">
              <a:solidFill>
                <a:schemeClr val="bg1"/>
              </a:solidFill>
            </a:rPr>
            <a:t> </a:t>
          </a:r>
          <a:r>
            <a:rPr lang="en-GB" sz="1100" b="0" i="0">
              <a:solidFill>
                <a:schemeClr val="bg1"/>
              </a:solidFill>
            </a:rPr>
            <a:t>grey (with</a:t>
          </a:r>
          <a:r>
            <a:rPr lang="en-GB" sz="1100" b="0" i="0" baseline="0">
              <a:solidFill>
                <a:schemeClr val="bg1"/>
              </a:solidFill>
            </a:rPr>
            <a:t>/without black border)</a:t>
          </a:r>
          <a:r>
            <a:rPr lang="en-GB" sz="1100" b="0" i="0">
              <a:solidFill>
                <a:schemeClr val="bg1"/>
              </a:solidFill>
            </a:rPr>
            <a:t> contain</a:t>
          </a:r>
          <a:r>
            <a:rPr lang="en-GB" sz="1100" b="0" i="0" baseline="0">
              <a:solidFill>
                <a:schemeClr val="bg1"/>
              </a:solidFill>
            </a:rPr>
            <a:t> </a:t>
          </a:r>
          <a:r>
            <a:rPr lang="en-GB" sz="1100" b="0" i="0">
              <a:solidFill>
                <a:schemeClr val="bg1"/>
              </a:solidFill>
            </a:rPr>
            <a:t>information for the user </a:t>
          </a:r>
          <a:r>
            <a:rPr lang="en-GB" sz="1100" b="0" i="0">
              <a:solidFill>
                <a:schemeClr val="bg1"/>
              </a:solidFill>
              <a:latin typeface="+mn-lt"/>
              <a:ea typeface="+mn-ea"/>
              <a:cs typeface="+mn-cs"/>
            </a:rPr>
            <a:t>and/or automated </a:t>
          </a:r>
          <a:r>
            <a:rPr lang="en-GB" sz="1100" b="0" i="0">
              <a:solidFill>
                <a:schemeClr val="bg1"/>
              </a:solidFill>
            </a:rPr>
            <a:t>calculation. They do not require the user to</a:t>
          </a:r>
          <a:r>
            <a:rPr lang="en-GB" sz="1100" b="0" i="0" baseline="0">
              <a:solidFill>
                <a:schemeClr val="bg1"/>
              </a:solidFill>
            </a:rPr>
            <a:t> </a:t>
          </a:r>
          <a:r>
            <a:rPr lang="en-GB" sz="1100" b="0" i="0">
              <a:solidFill>
                <a:schemeClr val="bg1"/>
              </a:solidFill>
            </a:rPr>
            <a:t>input</a:t>
          </a:r>
          <a:r>
            <a:rPr lang="en-GB" sz="1100" b="0" i="0" baseline="0">
              <a:solidFill>
                <a:schemeClr val="bg1"/>
              </a:solidFill>
            </a:rPr>
            <a:t> or select data.</a:t>
          </a:r>
          <a:endParaRPr lang="en-GB" sz="1100" b="0" i="0">
            <a:solidFill>
              <a:schemeClr val="bg1"/>
            </a:solidFill>
            <a:latin typeface="+mn-lt"/>
            <a:ea typeface="+mn-ea"/>
            <a:cs typeface="+mn-cs"/>
          </a:endParaRPr>
        </a:p>
      </xdr:txBody>
    </xdr:sp>
    <xdr:clientData/>
  </xdr:twoCellAnchor>
  <xdr:absoluteAnchor>
    <xdr:pos x="2842883" y="1658686"/>
    <xdr:ext cx="876609" cy="273112"/>
    <xdr:sp macro="" textlink="">
      <xdr:nvSpPr>
        <xdr:cNvPr id="8" name="TextBox 7">
          <a:hlinkClick xmlns:r="http://schemas.openxmlformats.org/officeDocument/2006/relationships" r:id="rId1"/>
          <a:extLst>
            <a:ext uri="{FF2B5EF4-FFF2-40B4-BE49-F238E27FC236}">
              <a16:creationId xmlns:a16="http://schemas.microsoft.com/office/drawing/2014/main" id="{3AB8086B-6974-41EB-A862-4661D7BBBF23}"/>
            </a:ext>
          </a:extLst>
        </xdr:cNvPr>
        <xdr:cNvSpPr txBox="1"/>
      </xdr:nvSpPr>
      <xdr:spPr>
        <a:xfrm>
          <a:off x="2842883" y="1658686"/>
          <a:ext cx="876609" cy="27311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Energy</a:t>
          </a:r>
        </a:p>
      </xdr:txBody>
    </xdr:sp>
    <xdr:clientData fPrintsWithSheet="0"/>
  </xdr:absoluteAnchor>
  <xdr:absoluteAnchor>
    <xdr:pos x="3796802" y="1659914"/>
    <xdr:ext cx="875098" cy="273112"/>
    <xdr:sp macro="" textlink="">
      <xdr:nvSpPr>
        <xdr:cNvPr id="9" name="TextBox 8">
          <a:hlinkClick xmlns:r="http://schemas.openxmlformats.org/officeDocument/2006/relationships" r:id="rId2"/>
          <a:extLst>
            <a:ext uri="{FF2B5EF4-FFF2-40B4-BE49-F238E27FC236}">
              <a16:creationId xmlns:a16="http://schemas.microsoft.com/office/drawing/2014/main" id="{197E01C4-1787-4F29-A232-CA0D3CA168CB}"/>
            </a:ext>
          </a:extLst>
        </xdr:cNvPr>
        <xdr:cNvSpPr txBox="1"/>
      </xdr:nvSpPr>
      <xdr:spPr>
        <a:xfrm>
          <a:off x="3796802" y="1659914"/>
          <a:ext cx="875098" cy="27311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Transport</a:t>
          </a:r>
          <a:endParaRPr lang="en-GB" sz="1200" b="0" u="none" cap="none" spc="0" baseline="0">
            <a:ln>
              <a:noFill/>
            </a:ln>
            <a:solidFill>
              <a:schemeClr val="tx1"/>
            </a:solidFill>
            <a:effectLst/>
          </a:endParaRPr>
        </a:p>
      </xdr:txBody>
    </xdr:sp>
    <xdr:clientData fPrintsWithSheet="0"/>
  </xdr:absoluteAnchor>
  <xdr:absoluteAnchor>
    <xdr:pos x="4749030" y="1643636"/>
    <xdr:ext cx="875430" cy="288352"/>
    <xdr:sp macro="" textlink="">
      <xdr:nvSpPr>
        <xdr:cNvPr id="10" name="TextBox 9">
          <a:hlinkClick xmlns:r="http://schemas.openxmlformats.org/officeDocument/2006/relationships" r:id="rId3"/>
          <a:extLst>
            <a:ext uri="{FF2B5EF4-FFF2-40B4-BE49-F238E27FC236}">
              <a16:creationId xmlns:a16="http://schemas.microsoft.com/office/drawing/2014/main" id="{81B49113-8D3F-47A3-866E-4884F5DFF7B6}"/>
            </a:ext>
          </a:extLst>
        </xdr:cNvPr>
        <xdr:cNvSpPr txBox="1"/>
      </xdr:nvSpPr>
      <xdr:spPr>
        <a:xfrm>
          <a:off x="4749030" y="1643636"/>
          <a:ext cx="875430" cy="288352"/>
        </a:xfrm>
        <a:prstGeom prst="rect">
          <a:avLst/>
        </a:prstGeom>
        <a:solidFill>
          <a:sysClr val="window" lastClr="FFFFFF"/>
        </a:solidFill>
        <a:ln w="12700" cap="rnd">
          <a:solidFill>
            <a:srgbClr val="3D6864"/>
          </a:solidFill>
          <a:bevel/>
        </a:ln>
        <a:effectLst>
          <a:outerShdw blurRad="50800" dist="38100" dir="8100000" algn="tr" rotWithShape="0">
            <a:schemeClr val="tx1">
              <a:alpha val="40000"/>
            </a:scheme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Water</a:t>
          </a:r>
          <a:endParaRPr lang="en-GB" sz="1200" b="0" u="none" cap="none" spc="0" baseline="0">
            <a:ln>
              <a:noFill/>
            </a:ln>
            <a:solidFill>
              <a:schemeClr val="tx1"/>
            </a:solidFill>
            <a:effectLst/>
          </a:endParaRPr>
        </a:p>
      </xdr:txBody>
    </xdr:sp>
    <xdr:clientData fPrintsWithSheet="0"/>
  </xdr:absoluteAnchor>
  <xdr:absoluteAnchor>
    <xdr:pos x="5731348" y="1643618"/>
    <xdr:ext cx="846721" cy="288742"/>
    <xdr:sp macro="" textlink="">
      <xdr:nvSpPr>
        <xdr:cNvPr id="11" name="TextBox 10">
          <a:hlinkClick xmlns:r="http://schemas.openxmlformats.org/officeDocument/2006/relationships" r:id="rId4"/>
          <a:extLst>
            <a:ext uri="{FF2B5EF4-FFF2-40B4-BE49-F238E27FC236}">
              <a16:creationId xmlns:a16="http://schemas.microsoft.com/office/drawing/2014/main" id="{C104A026-0AAB-4B8E-9C5B-B5908A4CB5AE}"/>
            </a:ext>
          </a:extLst>
        </xdr:cNvPr>
        <xdr:cNvSpPr txBox="1"/>
      </xdr:nvSpPr>
      <xdr:spPr>
        <a:xfrm>
          <a:off x="5731348" y="1643618"/>
          <a:ext cx="846721" cy="288742"/>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Materials</a:t>
          </a:r>
        </a:p>
      </xdr:txBody>
    </xdr:sp>
    <xdr:clientData fPrintsWithSheet="0"/>
  </xdr:absoluteAnchor>
  <xdr:absoluteAnchor>
    <xdr:pos x="6691960" y="1649507"/>
    <xdr:ext cx="868201" cy="282278"/>
    <xdr:sp macro="" textlink="">
      <xdr:nvSpPr>
        <xdr:cNvPr id="12" name="TextBox 11">
          <a:hlinkClick xmlns:r="http://schemas.openxmlformats.org/officeDocument/2006/relationships" r:id="rId5"/>
          <a:extLst>
            <a:ext uri="{FF2B5EF4-FFF2-40B4-BE49-F238E27FC236}">
              <a16:creationId xmlns:a16="http://schemas.microsoft.com/office/drawing/2014/main" id="{5FB5414B-133D-4281-8922-F62E4BA13959}"/>
            </a:ext>
          </a:extLst>
        </xdr:cNvPr>
        <xdr:cNvSpPr txBox="1"/>
      </xdr:nvSpPr>
      <xdr:spPr>
        <a:xfrm>
          <a:off x="6691960" y="1649507"/>
          <a:ext cx="868201" cy="282278"/>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Waste</a:t>
          </a:r>
          <a:endParaRPr lang="en-GB" sz="1200" b="0" u="none" cap="none" spc="0" baseline="0">
            <a:ln>
              <a:noFill/>
            </a:ln>
            <a:solidFill>
              <a:schemeClr val="tx1"/>
            </a:solidFill>
            <a:effectLst/>
          </a:endParaRPr>
        </a:p>
      </xdr:txBody>
    </xdr:sp>
    <xdr:clientData fPrintsWithSheet="0"/>
  </xdr:absoluteAnchor>
  <xdr:absoluteAnchor>
    <xdr:pos x="7606733" y="1644402"/>
    <xdr:ext cx="877333" cy="287631"/>
    <xdr:sp macro="" textlink="">
      <xdr:nvSpPr>
        <xdr:cNvPr id="13" name="TextBox 12">
          <a:hlinkClick xmlns:r="http://schemas.openxmlformats.org/officeDocument/2006/relationships" r:id="rId6"/>
          <a:extLst>
            <a:ext uri="{FF2B5EF4-FFF2-40B4-BE49-F238E27FC236}">
              <a16:creationId xmlns:a16="http://schemas.microsoft.com/office/drawing/2014/main" id="{0B1F06CD-61C2-49CB-AE15-2C6D1CF2C5BC}"/>
            </a:ext>
          </a:extLst>
        </xdr:cNvPr>
        <xdr:cNvSpPr txBox="1"/>
      </xdr:nvSpPr>
      <xdr:spPr>
        <a:xfrm>
          <a:off x="7606733" y="1644402"/>
          <a:ext cx="877333" cy="287631"/>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LU&amp;E</a:t>
          </a:r>
          <a:endParaRPr lang="en-GB" sz="1200" b="0" u="none" cap="none" spc="0" baseline="0">
            <a:ln>
              <a:noFill/>
            </a:ln>
            <a:solidFill>
              <a:schemeClr val="tx1"/>
            </a:solidFill>
            <a:effectLst/>
          </a:endParaRPr>
        </a:p>
      </xdr:txBody>
    </xdr:sp>
    <xdr:clientData fPrintsWithSheet="0"/>
  </xdr:absoluteAnchor>
  <xdr:absoluteAnchor>
    <xdr:pos x="8598295" y="1660803"/>
    <xdr:ext cx="836895" cy="271000"/>
    <xdr:sp macro="" textlink="">
      <xdr:nvSpPr>
        <xdr:cNvPr id="14" name="TextBox 13">
          <a:hlinkClick xmlns:r="http://schemas.openxmlformats.org/officeDocument/2006/relationships" r:id="rId7"/>
          <a:extLst>
            <a:ext uri="{FF2B5EF4-FFF2-40B4-BE49-F238E27FC236}">
              <a16:creationId xmlns:a16="http://schemas.microsoft.com/office/drawing/2014/main" id="{37BEBCC0-8E92-4C57-8B9E-EB0B129254C2}"/>
            </a:ext>
          </a:extLst>
        </xdr:cNvPr>
        <xdr:cNvSpPr txBox="1"/>
      </xdr:nvSpPr>
      <xdr:spPr>
        <a:xfrm>
          <a:off x="8598295" y="1660803"/>
          <a:ext cx="836895" cy="271000"/>
        </a:xfrm>
        <a:prstGeom prst="rect">
          <a:avLst/>
        </a:prstGeom>
        <a:solidFill>
          <a:sysClr val="window" lastClr="FFFFFF"/>
        </a:solidFill>
        <a:ln w="12700" cap="rnd">
          <a:solidFill>
            <a:srgbClr val="3D6864"/>
          </a:solidFill>
          <a:bevel/>
        </a:ln>
        <a:effectLst>
          <a:outerShdw blurRad="50800" dist="38100" dir="8100000" algn="tr" rotWithShape="0">
            <a:schemeClr val="tx1">
              <a:alpha val="40000"/>
            </a:scheme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algn="ctr"/>
          <a:r>
            <a:rPr lang="en-GB" sz="1200" b="0" u="none" cap="none" spc="0">
              <a:ln>
                <a:noFill/>
              </a:ln>
              <a:solidFill>
                <a:schemeClr val="tx1"/>
              </a:solidFill>
              <a:effectLst/>
            </a:rPr>
            <a:t>Pollution</a:t>
          </a:r>
          <a:endParaRPr lang="en-GB" sz="1200" b="0" u="none" cap="none" spc="0" baseline="0">
            <a:ln>
              <a:noFill/>
            </a:ln>
            <a:solidFill>
              <a:schemeClr val="tx1"/>
            </a:solidFill>
            <a:effectLst/>
          </a:endParaRPr>
        </a:p>
      </xdr:txBody>
    </xdr:sp>
    <xdr:clientData fPrintsWithSheet="0"/>
  </xdr:absoluteAnchor>
  <xdr:absoluteAnchor>
    <xdr:pos x="9519329" y="1649506"/>
    <xdr:ext cx="877335" cy="282308"/>
    <xdr:sp macro="" textlink="">
      <xdr:nvSpPr>
        <xdr:cNvPr id="15" name="TextBox 14">
          <a:hlinkClick xmlns:r="http://schemas.openxmlformats.org/officeDocument/2006/relationships" r:id="rId8"/>
          <a:extLst>
            <a:ext uri="{FF2B5EF4-FFF2-40B4-BE49-F238E27FC236}">
              <a16:creationId xmlns:a16="http://schemas.microsoft.com/office/drawing/2014/main" id="{239CCC00-624A-426B-BEA8-EE15460A3B58}"/>
            </a:ext>
          </a:extLst>
        </xdr:cNvPr>
        <xdr:cNvSpPr txBox="1"/>
      </xdr:nvSpPr>
      <xdr:spPr>
        <a:xfrm>
          <a:off x="9519329" y="1649506"/>
          <a:ext cx="877335" cy="282308"/>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Exmp L&amp;In</a:t>
          </a:r>
        </a:p>
      </xdr:txBody>
    </xdr:sp>
    <xdr:clientData fPrintsWithSheet="0"/>
  </xdr:absoluteAnchor>
  <xdr:absoluteAnchor>
    <xdr:pos x="1890383" y="1662110"/>
    <xdr:ext cx="869715" cy="269707"/>
    <xdr:sp macro="" textlink="">
      <xdr:nvSpPr>
        <xdr:cNvPr id="16" name="TextBox 15">
          <a:hlinkClick xmlns:r="http://schemas.openxmlformats.org/officeDocument/2006/relationships" r:id="rId9"/>
          <a:extLst>
            <a:ext uri="{FF2B5EF4-FFF2-40B4-BE49-F238E27FC236}">
              <a16:creationId xmlns:a16="http://schemas.microsoft.com/office/drawing/2014/main" id="{98040B6A-F470-492A-8C59-A3E4215766F0}"/>
            </a:ext>
          </a:extLst>
        </xdr:cNvPr>
        <xdr:cNvSpPr txBox="1"/>
      </xdr:nvSpPr>
      <xdr:spPr>
        <a:xfrm>
          <a:off x="1890383" y="1662110"/>
          <a:ext cx="869715" cy="269707"/>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H&amp;W</a:t>
          </a:r>
        </a:p>
      </xdr:txBody>
    </xdr:sp>
    <xdr:clientData fPrintsWithSheet="0"/>
  </xdr:absoluteAnchor>
  <xdr:absoluteAnchor>
    <xdr:pos x="969422" y="1662166"/>
    <xdr:ext cx="875430" cy="269707"/>
    <xdr:sp macro="" textlink="">
      <xdr:nvSpPr>
        <xdr:cNvPr id="17" name="TextBox 16">
          <a:hlinkClick xmlns:r="http://schemas.openxmlformats.org/officeDocument/2006/relationships" r:id="rId10"/>
          <a:extLst>
            <a:ext uri="{FF2B5EF4-FFF2-40B4-BE49-F238E27FC236}">
              <a16:creationId xmlns:a16="http://schemas.microsoft.com/office/drawing/2014/main" id="{7396BB7D-43E2-4EB0-ACB4-2F4BB7249578}"/>
            </a:ext>
          </a:extLst>
        </xdr:cNvPr>
        <xdr:cNvSpPr txBox="1"/>
      </xdr:nvSpPr>
      <xdr:spPr>
        <a:xfrm>
          <a:off x="969422" y="1662166"/>
          <a:ext cx="875430" cy="269707"/>
        </a:xfrm>
        <a:prstGeom prst="rect">
          <a:avLst/>
        </a:prstGeom>
        <a:solidFill>
          <a:sysClr val="window" lastClr="FFFFFF"/>
        </a:solidFill>
        <a:ln w="12700" cap="rnd">
          <a:solidFill>
            <a:srgbClr val="3D6864"/>
          </a:solidFill>
          <a:bevel/>
        </a:ln>
        <a:effectLst>
          <a:outerShdw blurRad="50800" dist="38100" dir="8100000" algn="tr"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wrap="square" rtlCol="0" anchor="t"/>
        <a:lstStyle/>
        <a:p>
          <a:pPr marL="0" indent="0" algn="ctr"/>
          <a:r>
            <a:rPr lang="en-GB" sz="1200" b="0" u="none" cap="none" spc="0">
              <a:ln>
                <a:noFill/>
              </a:ln>
              <a:solidFill>
                <a:schemeClr val="tx1"/>
              </a:solidFill>
              <a:effectLst/>
              <a:latin typeface="+mn-lt"/>
              <a:ea typeface="+mn-ea"/>
              <a:cs typeface="+mn-cs"/>
            </a:rPr>
            <a:t>Man</a:t>
          </a:r>
        </a:p>
      </xdr:txBody>
    </xdr:sp>
    <xdr:clientData fPrintsWithSheet="0"/>
  </xdr:absoluteAnchor>
  <xdr:twoCellAnchor>
    <xdr:from>
      <xdr:col>8</xdr:col>
      <xdr:colOff>147357</xdr:colOff>
      <xdr:row>3</xdr:row>
      <xdr:rowOff>169209</xdr:rowOff>
    </xdr:from>
    <xdr:to>
      <xdr:col>8</xdr:col>
      <xdr:colOff>457200</xdr:colOff>
      <xdr:row>5</xdr:row>
      <xdr:rowOff>28575</xdr:rowOff>
    </xdr:to>
    <xdr:sp macro="" textlink="">
      <xdr:nvSpPr>
        <xdr:cNvPr id="18" name="Rectangle 10">
          <a:extLst>
            <a:ext uri="{FF2B5EF4-FFF2-40B4-BE49-F238E27FC236}">
              <a16:creationId xmlns:a16="http://schemas.microsoft.com/office/drawing/2014/main" id="{724DE404-C992-4DB0-90E8-C4BAF4173104}"/>
            </a:ext>
          </a:extLst>
        </xdr:cNvPr>
        <xdr:cNvSpPr/>
      </xdr:nvSpPr>
      <xdr:spPr bwMode="auto">
        <a:xfrm>
          <a:off x="5024157" y="740709"/>
          <a:ext cx="309843" cy="24036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132789</xdr:colOff>
      <xdr:row>1</xdr:row>
      <xdr:rowOff>14009</xdr:rowOff>
    </xdr:from>
    <xdr:to>
      <xdr:col>8</xdr:col>
      <xdr:colOff>442632</xdr:colOff>
      <xdr:row>1</xdr:row>
      <xdr:rowOff>254375</xdr:rowOff>
    </xdr:to>
    <xdr:sp macro="" textlink="">
      <xdr:nvSpPr>
        <xdr:cNvPr id="19" name="Rectangle 10">
          <a:extLst>
            <a:ext uri="{FF2B5EF4-FFF2-40B4-BE49-F238E27FC236}">
              <a16:creationId xmlns:a16="http://schemas.microsoft.com/office/drawing/2014/main" id="{8824C110-88B2-45F0-A57E-3E59597654E8}"/>
            </a:ext>
          </a:extLst>
        </xdr:cNvPr>
        <xdr:cNvSpPr/>
      </xdr:nvSpPr>
      <xdr:spPr bwMode="auto">
        <a:xfrm>
          <a:off x="5009589" y="204509"/>
          <a:ext cx="309843" cy="17369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oneCellAnchor>
    <xdr:from>
      <xdr:col>6</xdr:col>
      <xdr:colOff>324971</xdr:colOff>
      <xdr:row>0</xdr:row>
      <xdr:rowOff>134470</xdr:rowOff>
    </xdr:from>
    <xdr:ext cx="2417444" cy="599915"/>
    <xdr:pic>
      <xdr:nvPicPr>
        <xdr:cNvPr id="20" name="Bilde 27">
          <a:extLst>
            <a:ext uri="{FF2B5EF4-FFF2-40B4-BE49-F238E27FC236}">
              <a16:creationId xmlns:a16="http://schemas.microsoft.com/office/drawing/2014/main" id="{DCA09335-770E-401F-83B5-CF72E57D9B9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82571" y="134470"/>
          <a:ext cx="2417444" cy="5999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206082</xdr:colOff>
      <xdr:row>0</xdr:row>
      <xdr:rowOff>107373</xdr:rowOff>
    </xdr:from>
    <xdr:to>
      <xdr:col>6</xdr:col>
      <xdr:colOff>3045109</xdr:colOff>
      <xdr:row>2</xdr:row>
      <xdr:rowOff>117286</xdr:rowOff>
    </xdr:to>
    <xdr:pic>
      <xdr:nvPicPr>
        <xdr:cNvPr id="2" name="Bilde 14">
          <a:extLst>
            <a:ext uri="{FF2B5EF4-FFF2-40B4-BE49-F238E27FC236}">
              <a16:creationId xmlns:a16="http://schemas.microsoft.com/office/drawing/2014/main" id="{E7A3BE6F-586F-4152-8584-ABBD5BC51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7907" y="107373"/>
          <a:ext cx="2825692" cy="6766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64</xdr:col>
      <xdr:colOff>69476</xdr:colOff>
      <xdr:row>272</xdr:row>
      <xdr:rowOff>80902</xdr:rowOff>
    </xdr:from>
    <xdr:to>
      <xdr:col>72</xdr:col>
      <xdr:colOff>119001</xdr:colOff>
      <xdr:row>277</xdr:row>
      <xdr:rowOff>223967</xdr:rowOff>
    </xdr:to>
    <xdr:pic>
      <xdr:nvPicPr>
        <xdr:cNvPr id="2" name="Picture 1">
          <a:extLst>
            <a:ext uri="{FF2B5EF4-FFF2-40B4-BE49-F238E27FC236}">
              <a16:creationId xmlns:a16="http://schemas.microsoft.com/office/drawing/2014/main" id="{855A0ECF-4CAF-4CEB-806C-D2BD151BA4A2}"/>
            </a:ext>
          </a:extLst>
        </xdr:cNvPr>
        <xdr:cNvPicPr>
          <a:picLocks noChangeAspect="1"/>
        </xdr:cNvPicPr>
      </xdr:nvPicPr>
      <xdr:blipFill>
        <a:blip xmlns:r="http://schemas.openxmlformats.org/officeDocument/2006/relationships" r:embed="rId1"/>
        <a:stretch>
          <a:fillRect/>
        </a:stretch>
      </xdr:blipFill>
      <xdr:spPr>
        <a:xfrm>
          <a:off x="42371682" y="58127373"/>
          <a:ext cx="5654374" cy="10917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661588</xdr:colOff>
      <xdr:row>0</xdr:row>
      <xdr:rowOff>38100</xdr:rowOff>
    </xdr:from>
    <xdr:to>
      <xdr:col>25</xdr:col>
      <xdr:colOff>1871453</xdr:colOff>
      <xdr:row>2</xdr:row>
      <xdr:rowOff>1247</xdr:rowOff>
    </xdr:to>
    <xdr:pic>
      <xdr:nvPicPr>
        <xdr:cNvPr id="3" name="Bilde 2">
          <a:extLst>
            <a:ext uri="{FF2B5EF4-FFF2-40B4-BE49-F238E27FC236}">
              <a16:creationId xmlns:a16="http://schemas.microsoft.com/office/drawing/2014/main" id="{D95C09B3-24AB-4E08-9EEA-97C098452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99"/>
        <a:stretch/>
      </xdr:blipFill>
      <xdr:spPr>
        <a:xfrm>
          <a:off x="18243617" y="38100"/>
          <a:ext cx="2883351" cy="579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8967</xdr:colOff>
      <xdr:row>12</xdr:row>
      <xdr:rowOff>96932</xdr:rowOff>
    </xdr:from>
    <xdr:to>
      <xdr:col>7</xdr:col>
      <xdr:colOff>259773</xdr:colOff>
      <xdr:row>29</xdr:row>
      <xdr:rowOff>141755</xdr:rowOff>
    </xdr:to>
    <xdr:graphicFrame macro="">
      <xdr:nvGraphicFramePr>
        <xdr:cNvPr id="6" name="Chart 4">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372342</xdr:colOff>
      <xdr:row>12</xdr:row>
      <xdr:rowOff>87404</xdr:rowOff>
    </xdr:from>
    <xdr:to>
      <xdr:col>14</xdr:col>
      <xdr:colOff>857250</xdr:colOff>
      <xdr:row>29</xdr:row>
      <xdr:rowOff>159683</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412173</xdr:colOff>
      <xdr:row>25</xdr:row>
      <xdr:rowOff>9525</xdr:rowOff>
    </xdr:from>
    <xdr:to>
      <xdr:col>8</xdr:col>
      <xdr:colOff>688398</xdr:colOff>
      <xdr:row>26</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685559" y="6010275"/>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8</xdr:col>
      <xdr:colOff>40698</xdr:colOff>
      <xdr:row>22</xdr:row>
      <xdr:rowOff>76199</xdr:rowOff>
    </xdr:from>
    <xdr:to>
      <xdr:col>8</xdr:col>
      <xdr:colOff>516948</xdr:colOff>
      <xdr:row>23</xdr:row>
      <xdr:rowOff>142874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050107" y="5505449"/>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8</xdr:col>
      <xdr:colOff>12123</xdr:colOff>
      <xdr:row>19</xdr:row>
      <xdr:rowOff>190499</xdr:rowOff>
    </xdr:from>
    <xdr:to>
      <xdr:col>8</xdr:col>
      <xdr:colOff>497898</xdr:colOff>
      <xdr:row>21</xdr:row>
      <xdr:rowOff>66674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21532" y="5048249"/>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497898</xdr:colOff>
      <xdr:row>17</xdr:row>
      <xdr:rowOff>85725</xdr:rowOff>
    </xdr:from>
    <xdr:to>
      <xdr:col>8</xdr:col>
      <xdr:colOff>535998</xdr:colOff>
      <xdr:row>18</xdr:row>
      <xdr:rowOff>180975</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5771284" y="4562475"/>
          <a:ext cx="77412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574098</xdr:colOff>
      <xdr:row>15</xdr:row>
      <xdr:rowOff>9525</xdr:rowOff>
    </xdr:from>
    <xdr:to>
      <xdr:col>8</xdr:col>
      <xdr:colOff>516948</xdr:colOff>
      <xdr:row>16</xdr:row>
      <xdr:rowOff>66675</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847484" y="4105275"/>
          <a:ext cx="678873"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421698</xdr:colOff>
      <xdr:row>12</xdr:row>
      <xdr:rowOff>95250</xdr:rowOff>
    </xdr:from>
    <xdr:to>
      <xdr:col>8</xdr:col>
      <xdr:colOff>697923</xdr:colOff>
      <xdr:row>13</xdr:row>
      <xdr:rowOff>133350</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5695084" y="3619500"/>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12</xdr:col>
      <xdr:colOff>206082</xdr:colOff>
      <xdr:row>0</xdr:row>
      <xdr:rowOff>107373</xdr:rowOff>
    </xdr:from>
    <xdr:to>
      <xdr:col>14</xdr:col>
      <xdr:colOff>842929</xdr:colOff>
      <xdr:row>2</xdr:row>
      <xdr:rowOff>71566</xdr:rowOff>
    </xdr:to>
    <xdr:pic>
      <xdr:nvPicPr>
        <xdr:cNvPr id="14" name="Bilde 14">
          <a:extLst>
            <a:ext uri="{FF2B5EF4-FFF2-40B4-BE49-F238E27FC236}">
              <a16:creationId xmlns:a16="http://schemas.microsoft.com/office/drawing/2014/main" id="{1C2864DC-DD23-4B28-9CDE-E141AEDE13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22423" y="107373"/>
          <a:ext cx="2826558" cy="6801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2581275</xdr:colOff>
      <xdr:row>0</xdr:row>
      <xdr:rowOff>142875</xdr:rowOff>
    </xdr:from>
    <xdr:ext cx="2423432" cy="572701"/>
    <xdr:pic>
      <xdr:nvPicPr>
        <xdr:cNvPr id="3" name="Bilde 2">
          <a:extLst>
            <a:ext uri="{FF2B5EF4-FFF2-40B4-BE49-F238E27FC236}">
              <a16:creationId xmlns:a16="http://schemas.microsoft.com/office/drawing/2014/main" id="{6DF28BB1-EA10-409D-AB12-FAAB95055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24825" y="2419350"/>
          <a:ext cx="2423432" cy="57270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11</xdr:col>
      <xdr:colOff>247650</xdr:colOff>
      <xdr:row>0</xdr:row>
      <xdr:rowOff>142875</xdr:rowOff>
    </xdr:from>
    <xdr:to>
      <xdr:col>16</xdr:col>
      <xdr:colOff>41910</xdr:colOff>
      <xdr:row>2</xdr:row>
      <xdr:rowOff>79763</xdr:rowOff>
    </xdr:to>
    <xdr:pic>
      <xdr:nvPicPr>
        <xdr:cNvPr id="4" name="Bilde 2">
          <a:extLst>
            <a:ext uri="{FF2B5EF4-FFF2-40B4-BE49-F238E27FC236}">
              <a16:creationId xmlns:a16="http://schemas.microsoft.com/office/drawing/2014/main" id="{BAD9EE81-3374-42DE-8AFE-1DDEF62D0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6175" y="142875"/>
          <a:ext cx="2846070" cy="662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7"/>
  <sheetViews>
    <sheetView showGridLines="0" tabSelected="1" zoomScaleNormal="100" workbookViewId="0">
      <selection activeCell="S7" sqref="S7"/>
    </sheetView>
  </sheetViews>
  <sheetFormatPr defaultColWidth="8.85546875" defaultRowHeight="15" x14ac:dyDescent="0.25"/>
  <cols>
    <col min="1" max="1" width="3.42578125" style="466" customWidth="1"/>
    <col min="2" max="2" width="10.28515625" style="466" customWidth="1"/>
    <col min="3" max="3" width="8.85546875" style="466"/>
    <col min="4" max="4" width="15.7109375" style="466" bestFit="1" customWidth="1"/>
    <col min="5" max="11" width="8.85546875" style="466"/>
    <col min="12" max="12" width="11.42578125" style="466" customWidth="1"/>
    <col min="13" max="17" width="8.85546875" style="466"/>
    <col min="18" max="18" width="7.42578125" style="466" customWidth="1"/>
    <col min="19" max="16384" width="8.85546875" style="466"/>
  </cols>
  <sheetData>
    <row r="2" spans="2:16" ht="21" x14ac:dyDescent="0.25">
      <c r="B2" s="542" t="s">
        <v>1919</v>
      </c>
      <c r="C2" s="468"/>
      <c r="D2" s="468"/>
      <c r="E2" s="468"/>
      <c r="F2" s="468"/>
      <c r="G2" s="468"/>
      <c r="H2" s="468"/>
      <c r="I2" s="468"/>
      <c r="J2" s="468"/>
      <c r="K2" s="468"/>
      <c r="L2" s="469"/>
      <c r="M2" s="469"/>
      <c r="N2" s="469"/>
      <c r="O2" s="469"/>
      <c r="P2" s="476" t="str">
        <f>IF('Manuell filtrering og justering'!I2='Manuell filtrering og justering'!J2,"Bespoke","")</f>
        <v/>
      </c>
    </row>
    <row r="3" spans="2:16" ht="21" x14ac:dyDescent="0.25">
      <c r="B3" s="467" t="s">
        <v>5</v>
      </c>
      <c r="C3" s="470" t="str">
        <f>TVC_current_version</f>
        <v>1.2</v>
      </c>
      <c r="D3" s="471">
        <f>TVC_current_date</f>
        <v>45327</v>
      </c>
      <c r="E3" s="468"/>
      <c r="F3" s="468"/>
      <c r="G3" s="468"/>
      <c r="H3" s="468"/>
      <c r="I3" s="468"/>
      <c r="J3" s="468"/>
      <c r="K3" s="468"/>
      <c r="L3" s="469"/>
      <c r="M3" s="469"/>
      <c r="N3" s="469"/>
      <c r="O3" s="469"/>
      <c r="P3" s="469"/>
    </row>
    <row r="4" spans="2:16" ht="4.5" customHeight="1" x14ac:dyDescent="0.25">
      <c r="B4" s="472"/>
    </row>
    <row r="5" spans="2:16" ht="126.75" customHeight="1" x14ac:dyDescent="0.25">
      <c r="B5" s="1520" t="s">
        <v>1916</v>
      </c>
      <c r="C5" s="1521"/>
      <c r="D5" s="1521"/>
      <c r="E5" s="1521"/>
      <c r="F5" s="1521"/>
      <c r="G5" s="1521"/>
      <c r="H5" s="1521"/>
      <c r="I5" s="1521"/>
      <c r="J5" s="1521"/>
      <c r="K5" s="1521"/>
      <c r="L5" s="1521"/>
      <c r="M5" s="1521"/>
      <c r="N5" s="1521"/>
      <c r="O5" s="1521"/>
      <c r="P5" s="1521"/>
    </row>
    <row r="6" spans="2:16" ht="85.5" customHeight="1" x14ac:dyDescent="0.25">
      <c r="B6" s="1520" t="s">
        <v>1917</v>
      </c>
      <c r="C6" s="1521"/>
      <c r="D6" s="1521"/>
      <c r="E6" s="1521"/>
      <c r="F6" s="1521"/>
      <c r="G6" s="1521"/>
      <c r="H6" s="1521"/>
      <c r="I6" s="1521"/>
      <c r="J6" s="1521"/>
      <c r="K6" s="1521"/>
      <c r="L6" s="1521"/>
      <c r="M6" s="1521"/>
      <c r="N6" s="1521"/>
      <c r="O6" s="1521"/>
      <c r="P6" s="1521"/>
    </row>
    <row r="7" spans="2:16" ht="80.25" customHeight="1" x14ac:dyDescent="0.25">
      <c r="B7" s="1520"/>
      <c r="C7" s="1521"/>
      <c r="D7" s="1521"/>
      <c r="E7" s="1521"/>
      <c r="F7" s="1521"/>
      <c r="G7" s="1521"/>
      <c r="H7" s="1521"/>
      <c r="I7" s="1521"/>
      <c r="J7" s="1521"/>
      <c r="K7" s="1521"/>
      <c r="L7" s="1521"/>
      <c r="M7" s="1521"/>
      <c r="N7" s="1521"/>
      <c r="O7" s="1521"/>
      <c r="P7" s="1521"/>
    </row>
    <row r="8" spans="2:16" ht="2.25" customHeight="1" x14ac:dyDescent="0.25">
      <c r="P8" s="472"/>
    </row>
    <row r="9" spans="2:16" x14ac:dyDescent="0.25">
      <c r="B9" s="121" t="s">
        <v>990</v>
      </c>
    </row>
    <row r="10" spans="2:16" ht="9" customHeight="1" x14ac:dyDescent="0.25"/>
    <row r="17" spans="9:9" x14ac:dyDescent="0.25">
      <c r="I17" s="473"/>
    </row>
  </sheetData>
  <sheetProtection algorithmName="SHA-512" hashValue="54q8R+waBOSZw7ERuT4k1U0KhAANaDQ67hF+fwGGiehFCszPhXbQNXi1ma1u7osnIWNG7OYbROZnS7Jk28nMqg==" saltValue="bMusBohxelE2P8sHTlEBxQ==" spinCount="100000" sheet="1" objects="1" scenarios="1"/>
  <mergeCells count="3">
    <mergeCell ref="B5:P5"/>
    <mergeCell ref="B6:P6"/>
    <mergeCell ref="B7:P7"/>
  </mergeCells>
  <pageMargins left="0.7" right="0.7" top="0.75" bottom="0.75" header="0.3" footer="0.3"/>
  <pageSetup paperSize="9" scale="91" orientation="landscape" r:id="rId1"/>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257E-AA1C-4B3B-89BD-A387E57BF4A0}">
  <dimension ref="A1:BW560"/>
  <sheetViews>
    <sheetView showGridLines="0" workbookViewId="0">
      <selection activeCell="C8" sqref="C8"/>
    </sheetView>
  </sheetViews>
  <sheetFormatPr defaultRowHeight="15" x14ac:dyDescent="0.25"/>
  <cols>
    <col min="1" max="1" width="4.7109375" customWidth="1"/>
    <col min="2" max="2" width="10.5703125" customWidth="1"/>
    <col min="3" max="3" width="109.42578125" customWidth="1"/>
    <col min="4" max="4" width="14.28515625" style="576" customWidth="1"/>
    <col min="5" max="5" width="40" customWidth="1"/>
    <col min="6" max="6" width="74.28515625" customWidth="1"/>
    <col min="7" max="7" width="0" hidden="1" customWidth="1"/>
    <col min="8" max="59" width="9.140625" hidden="1" customWidth="1"/>
  </cols>
  <sheetData>
    <row r="1" spans="1:75" x14ac:dyDescent="0.25">
      <c r="A1" s="1105"/>
      <c r="B1" s="1104"/>
      <c r="C1" s="1104"/>
      <c r="D1" s="1245"/>
      <c r="E1" s="1092"/>
      <c r="F1" s="1092"/>
      <c r="G1" s="1249"/>
      <c r="H1" s="1249"/>
      <c r="I1" s="1249"/>
      <c r="J1" s="1249"/>
      <c r="K1" s="1249"/>
      <c r="L1" s="1249"/>
      <c r="M1" s="1249"/>
      <c r="N1" s="1249"/>
      <c r="O1" s="1249"/>
      <c r="P1" s="1249"/>
      <c r="Q1" s="1249"/>
      <c r="R1" s="1249"/>
      <c r="S1" s="1249"/>
      <c r="T1" s="1249"/>
      <c r="U1" s="1249"/>
      <c r="V1" s="1249"/>
      <c r="W1" s="1249"/>
      <c r="X1" s="1249"/>
      <c r="Y1" s="1249"/>
      <c r="Z1" s="1249"/>
      <c r="AA1" s="1249"/>
      <c r="AB1" s="1249"/>
      <c r="AC1" s="1249"/>
      <c r="AD1" s="1249"/>
      <c r="AE1" s="1249"/>
      <c r="AF1" s="1249"/>
      <c r="AG1" s="1249"/>
      <c r="AH1" s="1249"/>
      <c r="AI1" s="1249"/>
      <c r="AJ1" s="1249"/>
      <c r="AK1" s="1249"/>
      <c r="AL1" s="1249"/>
      <c r="AM1" s="1249"/>
      <c r="AN1" s="1249"/>
      <c r="AO1" s="1249"/>
      <c r="AP1" s="1249"/>
      <c r="AQ1" s="1249"/>
      <c r="AR1" s="1249"/>
      <c r="AS1" s="1249"/>
      <c r="AT1" s="1249"/>
      <c r="AU1" s="1249"/>
      <c r="AV1" s="1249"/>
      <c r="AW1" s="1249"/>
      <c r="AX1" s="1249"/>
      <c r="AY1" s="1249"/>
      <c r="AZ1" s="1249"/>
      <c r="BA1" s="1249"/>
      <c r="BB1" s="1249"/>
      <c r="BC1" s="1249"/>
      <c r="BD1" s="1249"/>
      <c r="BE1" s="1249"/>
      <c r="BF1" s="1249"/>
      <c r="BG1" s="1249"/>
      <c r="BH1" s="1249"/>
      <c r="BI1" s="1249"/>
      <c r="BJ1" s="1249"/>
      <c r="BK1" s="1249"/>
      <c r="BL1" s="1249"/>
      <c r="BM1" s="1249"/>
      <c r="BN1" s="1249"/>
      <c r="BO1" s="1249"/>
      <c r="BP1" s="1249"/>
      <c r="BQ1" s="1249"/>
      <c r="BR1" s="1249"/>
      <c r="BS1" s="1249"/>
      <c r="BT1" s="1249"/>
      <c r="BU1" s="1249"/>
      <c r="BV1" s="1249"/>
      <c r="BW1" s="822"/>
    </row>
    <row r="2" spans="1:75" ht="35.25" customHeight="1" x14ac:dyDescent="0.25">
      <c r="A2" s="1061"/>
      <c r="B2" s="1103" t="s">
        <v>1925</v>
      </c>
      <c r="C2" s="1102"/>
      <c r="D2" s="1255"/>
      <c r="E2" s="1102"/>
      <c r="F2" s="1101"/>
      <c r="BW2" s="1250"/>
    </row>
    <row r="3" spans="1:75" x14ac:dyDescent="0.25">
      <c r="A3" s="1061"/>
      <c r="B3" s="1100"/>
      <c r="C3" s="1100"/>
      <c r="D3" s="6"/>
      <c r="E3" s="1"/>
      <c r="F3" s="395"/>
      <c r="BW3" s="1250"/>
    </row>
    <row r="4" spans="1:75" ht="31.5" x14ac:dyDescent="0.25">
      <c r="A4" s="1085"/>
      <c r="B4" s="1098" t="str">
        <f>"Scoring and Reporting tool, Version: "&amp;TVC_current_version</f>
        <v>Scoring and Reporting tool, Version: 1.2</v>
      </c>
      <c r="C4" s="1099"/>
      <c r="D4" s="1246" t="s">
        <v>374</v>
      </c>
      <c r="E4" s="1097" t="str">
        <f>IF(ADBN="","",ADBN)</f>
        <v/>
      </c>
      <c r="F4" s="1096"/>
      <c r="BW4" s="1250"/>
    </row>
    <row r="5" spans="1:75" x14ac:dyDescent="0.25">
      <c r="A5" s="1085"/>
      <c r="B5" s="14"/>
      <c r="C5" s="14"/>
      <c r="D5" s="902"/>
      <c r="E5" s="14"/>
      <c r="F5" s="14"/>
      <c r="BW5" s="1250"/>
    </row>
    <row r="6" spans="1:75" ht="31.5" x14ac:dyDescent="0.25">
      <c r="A6" s="1085"/>
      <c r="B6" s="1256" t="s">
        <v>1236</v>
      </c>
      <c r="C6" s="1257" t="s">
        <v>1235</v>
      </c>
      <c r="D6" s="1258" t="s">
        <v>1234</v>
      </c>
      <c r="E6" s="1257" t="s">
        <v>1233</v>
      </c>
      <c r="F6" s="1259" t="s">
        <v>1232</v>
      </c>
      <c r="H6" s="485" t="s">
        <v>87</v>
      </c>
      <c r="I6" s="485" t="s">
        <v>88</v>
      </c>
      <c r="J6" s="485" t="s">
        <v>89</v>
      </c>
      <c r="K6" s="485" t="s">
        <v>90</v>
      </c>
      <c r="L6" s="485" t="s">
        <v>91</v>
      </c>
      <c r="M6" s="485" t="s">
        <v>111</v>
      </c>
      <c r="N6" s="485" t="s">
        <v>112</v>
      </c>
      <c r="O6" s="485" t="s">
        <v>113</v>
      </c>
      <c r="P6" s="485" t="s">
        <v>115</v>
      </c>
      <c r="Q6" s="485" t="s">
        <v>116</v>
      </c>
      <c r="R6" s="485" t="s">
        <v>118</v>
      </c>
      <c r="S6" s="485" t="s">
        <v>129</v>
      </c>
      <c r="T6" s="485" t="s">
        <v>130</v>
      </c>
      <c r="U6" s="485" t="s">
        <v>131</v>
      </c>
      <c r="V6" s="485" t="s">
        <v>133</v>
      </c>
      <c r="W6" s="485" t="s">
        <v>134</v>
      </c>
      <c r="X6" s="485" t="s">
        <v>135</v>
      </c>
      <c r="Y6" s="485" t="s">
        <v>136</v>
      </c>
      <c r="Z6" s="485" t="s">
        <v>141</v>
      </c>
      <c r="AA6" s="485" t="s">
        <v>142</v>
      </c>
      <c r="AB6" s="485" t="s">
        <v>163</v>
      </c>
      <c r="AC6" s="485" t="s">
        <v>164</v>
      </c>
      <c r="AD6" s="485" t="s">
        <v>165</v>
      </c>
      <c r="AE6" s="485" t="s">
        <v>166</v>
      </c>
      <c r="AF6" s="485" t="s">
        <v>167</v>
      </c>
      <c r="AG6" s="485" t="s">
        <v>457</v>
      </c>
      <c r="AH6" s="485" t="s">
        <v>168</v>
      </c>
      <c r="AI6" s="485" t="s">
        <v>169</v>
      </c>
      <c r="AJ6" s="485" t="s">
        <v>170</v>
      </c>
      <c r="AK6" s="485" t="s">
        <v>458</v>
      </c>
      <c r="AL6" s="485" t="s">
        <v>171</v>
      </c>
      <c r="AM6" s="485" t="s">
        <v>926</v>
      </c>
      <c r="AN6" s="485" t="s">
        <v>173</v>
      </c>
      <c r="AO6" s="485" t="s">
        <v>174</v>
      </c>
      <c r="AP6" s="485" t="s">
        <v>175</v>
      </c>
      <c r="AQ6" s="485" t="s">
        <v>459</v>
      </c>
      <c r="AR6" s="485" t="s">
        <v>176</v>
      </c>
      <c r="AS6" s="485" t="s">
        <v>177</v>
      </c>
      <c r="AT6" s="485" t="s">
        <v>178</v>
      </c>
      <c r="AU6" s="485" t="s">
        <v>460</v>
      </c>
      <c r="AV6" s="485" t="s">
        <v>461</v>
      </c>
      <c r="AW6" s="485" t="s">
        <v>179</v>
      </c>
      <c r="AX6" s="485" t="s">
        <v>180</v>
      </c>
      <c r="AY6" s="485" t="s">
        <v>182</v>
      </c>
      <c r="AZ6" s="485" t="s">
        <v>183</v>
      </c>
      <c r="BA6" s="485" t="s">
        <v>1001</v>
      </c>
      <c r="BB6" s="485"/>
      <c r="BC6" s="485"/>
      <c r="BD6" s="485"/>
      <c r="BE6" s="485"/>
      <c r="BF6" s="485"/>
      <c r="BG6" s="485"/>
      <c r="BW6" s="1250"/>
    </row>
    <row r="7" spans="1:75" ht="30" x14ac:dyDescent="0.25">
      <c r="A7" s="1251"/>
      <c r="B7" s="462">
        <v>1</v>
      </c>
      <c r="C7" s="462" t="s">
        <v>1231</v>
      </c>
      <c r="D7" s="1244" t="s">
        <v>87</v>
      </c>
      <c r="E7" s="1050">
        <v>1</v>
      </c>
      <c r="F7" s="1244" t="s">
        <v>1230</v>
      </c>
      <c r="H7" s="43" t="str">
        <f t="shared" ref="H7:Q16" si="0">IF($D7=H$6,$B7&amp;", ","")</f>
        <v xml:space="preserve">1, </v>
      </c>
      <c r="I7" s="43" t="str">
        <f t="shared" si="0"/>
        <v/>
      </c>
      <c r="J7" s="43" t="str">
        <f t="shared" si="0"/>
        <v/>
      </c>
      <c r="K7" s="43" t="str">
        <f t="shared" si="0"/>
        <v/>
      </c>
      <c r="L7" s="43" t="str">
        <f t="shared" si="0"/>
        <v/>
      </c>
      <c r="M7" s="43" t="str">
        <f t="shared" si="0"/>
        <v/>
      </c>
      <c r="N7" s="43" t="str">
        <f t="shared" si="0"/>
        <v/>
      </c>
      <c r="O7" s="43" t="str">
        <f t="shared" si="0"/>
        <v/>
      </c>
      <c r="P7" s="43" t="str">
        <f t="shared" si="0"/>
        <v/>
      </c>
      <c r="Q7" s="43" t="str">
        <f t="shared" si="0"/>
        <v/>
      </c>
      <c r="R7" s="43" t="str">
        <f t="shared" ref="R7:AA16" si="1">IF($D7=R$6,$B7&amp;", ","")</f>
        <v/>
      </c>
      <c r="S7" s="43" t="str">
        <f t="shared" si="1"/>
        <v/>
      </c>
      <c r="T7" s="43" t="str">
        <f t="shared" si="1"/>
        <v/>
      </c>
      <c r="U7" s="43" t="str">
        <f t="shared" si="1"/>
        <v/>
      </c>
      <c r="V7" s="43" t="str">
        <f t="shared" si="1"/>
        <v/>
      </c>
      <c r="W7" s="43" t="str">
        <f t="shared" si="1"/>
        <v/>
      </c>
      <c r="X7" s="43" t="str">
        <f t="shared" si="1"/>
        <v/>
      </c>
      <c r="Y7" s="43" t="str">
        <f t="shared" si="1"/>
        <v/>
      </c>
      <c r="Z7" s="43" t="str">
        <f t="shared" si="1"/>
        <v/>
      </c>
      <c r="AA7" s="43" t="str">
        <f t="shared" si="1"/>
        <v/>
      </c>
      <c r="AB7" s="43" t="str">
        <f t="shared" ref="AB7:AK16" si="2">IF($D7=AB$6,$B7&amp;", ","")</f>
        <v/>
      </c>
      <c r="AC7" s="43" t="str">
        <f t="shared" si="2"/>
        <v/>
      </c>
      <c r="AD7" s="43" t="str">
        <f t="shared" si="2"/>
        <v/>
      </c>
      <c r="AE7" s="43" t="str">
        <f t="shared" si="2"/>
        <v/>
      </c>
      <c r="AF7" s="43" t="str">
        <f t="shared" si="2"/>
        <v/>
      </c>
      <c r="AG7" s="43" t="str">
        <f t="shared" si="2"/>
        <v/>
      </c>
      <c r="AH7" s="43" t="str">
        <f t="shared" si="2"/>
        <v/>
      </c>
      <c r="AI7" s="43" t="str">
        <f t="shared" si="2"/>
        <v/>
      </c>
      <c r="AJ7" s="43" t="str">
        <f t="shared" si="2"/>
        <v/>
      </c>
      <c r="AK7" s="43" t="str">
        <f t="shared" si="2"/>
        <v/>
      </c>
      <c r="AL7" s="43" t="str">
        <f t="shared" ref="AL7:AU16" si="3">IF($D7=AL$6,$B7&amp;", ","")</f>
        <v/>
      </c>
      <c r="AM7" s="43" t="str">
        <f t="shared" si="3"/>
        <v/>
      </c>
      <c r="AN7" s="43" t="str">
        <f t="shared" si="3"/>
        <v/>
      </c>
      <c r="AO7" s="43" t="str">
        <f t="shared" si="3"/>
        <v/>
      </c>
      <c r="AP7" s="43" t="str">
        <f t="shared" si="3"/>
        <v/>
      </c>
      <c r="AQ7" s="43" t="str">
        <f t="shared" si="3"/>
        <v/>
      </c>
      <c r="AR7" s="43" t="str">
        <f t="shared" si="3"/>
        <v/>
      </c>
      <c r="AS7" s="43" t="str">
        <f t="shared" si="3"/>
        <v/>
      </c>
      <c r="AT7" s="43" t="str">
        <f t="shared" si="3"/>
        <v/>
      </c>
      <c r="AU7" s="43" t="str">
        <f t="shared" si="3"/>
        <v/>
      </c>
      <c r="AV7" s="43" t="str">
        <f t="shared" ref="AV7:BA16" si="4">IF($D7=AV$6,$B7&amp;", ","")</f>
        <v/>
      </c>
      <c r="AW7" s="43" t="str">
        <f t="shared" si="4"/>
        <v/>
      </c>
      <c r="AX7" s="43" t="str">
        <f t="shared" si="4"/>
        <v/>
      </c>
      <c r="AY7" s="43" t="str">
        <f t="shared" si="4"/>
        <v/>
      </c>
      <c r="AZ7" s="43" t="str">
        <f t="shared" si="4"/>
        <v/>
      </c>
      <c r="BA7" s="43" t="str">
        <f t="shared" si="4"/>
        <v/>
      </c>
      <c r="BB7" s="43"/>
      <c r="BC7" s="43"/>
      <c r="BD7" s="43"/>
      <c r="BE7" s="43"/>
      <c r="BF7" s="43"/>
      <c r="BG7" s="43"/>
      <c r="BW7" s="1250"/>
    </row>
    <row r="8" spans="1:75" ht="30" x14ac:dyDescent="0.25">
      <c r="A8" s="1251"/>
      <c r="B8" s="462">
        <v>2</v>
      </c>
      <c r="C8" s="462" t="s">
        <v>1229</v>
      </c>
      <c r="D8" s="1244" t="s">
        <v>88</v>
      </c>
      <c r="E8" s="1050" t="s">
        <v>1228</v>
      </c>
      <c r="F8" s="1244" t="s">
        <v>1227</v>
      </c>
      <c r="H8" s="43" t="str">
        <f t="shared" si="0"/>
        <v/>
      </c>
      <c r="I8" s="43" t="str">
        <f t="shared" si="0"/>
        <v xml:space="preserve">2, </v>
      </c>
      <c r="J8" s="43" t="str">
        <f t="shared" si="0"/>
        <v/>
      </c>
      <c r="K8" s="43" t="str">
        <f t="shared" si="0"/>
        <v/>
      </c>
      <c r="L8" s="43" t="str">
        <f t="shared" si="0"/>
        <v/>
      </c>
      <c r="M8" s="43" t="str">
        <f t="shared" si="0"/>
        <v/>
      </c>
      <c r="N8" s="43" t="str">
        <f t="shared" si="0"/>
        <v/>
      </c>
      <c r="O8" s="43" t="str">
        <f t="shared" si="0"/>
        <v/>
      </c>
      <c r="P8" s="43" t="str">
        <f t="shared" si="0"/>
        <v/>
      </c>
      <c r="Q8" s="43" t="str">
        <f t="shared" si="0"/>
        <v/>
      </c>
      <c r="R8" s="43" t="str">
        <f t="shared" si="1"/>
        <v/>
      </c>
      <c r="S8" s="43" t="str">
        <f t="shared" si="1"/>
        <v/>
      </c>
      <c r="T8" s="43" t="str">
        <f t="shared" si="1"/>
        <v/>
      </c>
      <c r="U8" s="43" t="str">
        <f t="shared" si="1"/>
        <v/>
      </c>
      <c r="V8" s="43" t="str">
        <f t="shared" si="1"/>
        <v/>
      </c>
      <c r="W8" s="43" t="str">
        <f t="shared" si="1"/>
        <v/>
      </c>
      <c r="X8" s="43" t="str">
        <f t="shared" si="1"/>
        <v/>
      </c>
      <c r="Y8" s="43" t="str">
        <f t="shared" si="1"/>
        <v/>
      </c>
      <c r="Z8" s="43" t="str">
        <f t="shared" si="1"/>
        <v/>
      </c>
      <c r="AA8" s="43" t="str">
        <f t="shared" si="1"/>
        <v/>
      </c>
      <c r="AB8" s="43" t="str">
        <f t="shared" si="2"/>
        <v/>
      </c>
      <c r="AC8" s="43" t="str">
        <f t="shared" si="2"/>
        <v/>
      </c>
      <c r="AD8" s="43" t="str">
        <f t="shared" si="2"/>
        <v/>
      </c>
      <c r="AE8" s="43" t="str">
        <f t="shared" si="2"/>
        <v/>
      </c>
      <c r="AF8" s="43" t="str">
        <f t="shared" si="2"/>
        <v/>
      </c>
      <c r="AG8" s="43" t="str">
        <f t="shared" si="2"/>
        <v/>
      </c>
      <c r="AH8" s="43" t="str">
        <f t="shared" si="2"/>
        <v/>
      </c>
      <c r="AI8" s="43" t="str">
        <f t="shared" si="2"/>
        <v/>
      </c>
      <c r="AJ8" s="43" t="str">
        <f t="shared" si="2"/>
        <v/>
      </c>
      <c r="AK8" s="43" t="str">
        <f t="shared" si="2"/>
        <v/>
      </c>
      <c r="AL8" s="43" t="str">
        <f t="shared" si="3"/>
        <v/>
      </c>
      <c r="AM8" s="43" t="str">
        <f t="shared" si="3"/>
        <v/>
      </c>
      <c r="AN8" s="43" t="str">
        <f t="shared" si="3"/>
        <v/>
      </c>
      <c r="AO8" s="43" t="str">
        <f t="shared" si="3"/>
        <v/>
      </c>
      <c r="AP8" s="43" t="str">
        <f t="shared" si="3"/>
        <v/>
      </c>
      <c r="AQ8" s="43" t="str">
        <f t="shared" si="3"/>
        <v/>
      </c>
      <c r="AR8" s="43" t="str">
        <f t="shared" si="3"/>
        <v/>
      </c>
      <c r="AS8" s="43" t="str">
        <f t="shared" si="3"/>
        <v/>
      </c>
      <c r="AT8" s="43" t="str">
        <f t="shared" si="3"/>
        <v/>
      </c>
      <c r="AU8" s="43" t="str">
        <f t="shared" si="3"/>
        <v/>
      </c>
      <c r="AV8" s="43" t="str">
        <f t="shared" si="4"/>
        <v/>
      </c>
      <c r="AW8" s="43" t="str">
        <f t="shared" si="4"/>
        <v/>
      </c>
      <c r="AX8" s="43" t="str">
        <f t="shared" si="4"/>
        <v/>
      </c>
      <c r="AY8" s="43" t="str">
        <f t="shared" si="4"/>
        <v/>
      </c>
      <c r="AZ8" s="43" t="str">
        <f t="shared" si="4"/>
        <v/>
      </c>
      <c r="BA8" s="43" t="str">
        <f t="shared" si="4"/>
        <v/>
      </c>
      <c r="BB8" s="43"/>
      <c r="BC8" s="43"/>
      <c r="BD8" s="43"/>
      <c r="BE8" s="43"/>
      <c r="BF8" s="43"/>
      <c r="BG8" s="43"/>
      <c r="BW8" s="1250"/>
    </row>
    <row r="9" spans="1:75" x14ac:dyDescent="0.25">
      <c r="A9" s="1251"/>
      <c r="B9" s="462">
        <v>3</v>
      </c>
      <c r="C9" s="462"/>
      <c r="D9" s="1244"/>
      <c r="E9" s="1050"/>
      <c r="F9" s="1244"/>
      <c r="H9" s="43" t="str">
        <f t="shared" si="0"/>
        <v/>
      </c>
      <c r="I9" s="43" t="str">
        <f t="shared" si="0"/>
        <v/>
      </c>
      <c r="J9" s="43" t="str">
        <f t="shared" si="0"/>
        <v/>
      </c>
      <c r="K9" s="43" t="str">
        <f t="shared" si="0"/>
        <v/>
      </c>
      <c r="L9" s="43" t="str">
        <f t="shared" si="0"/>
        <v/>
      </c>
      <c r="M9" s="43" t="str">
        <f t="shared" si="0"/>
        <v/>
      </c>
      <c r="N9" s="43" t="str">
        <f t="shared" si="0"/>
        <v/>
      </c>
      <c r="O9" s="43" t="str">
        <f t="shared" si="0"/>
        <v/>
      </c>
      <c r="P9" s="43" t="str">
        <f t="shared" si="0"/>
        <v/>
      </c>
      <c r="Q9" s="43" t="str">
        <f t="shared" si="0"/>
        <v/>
      </c>
      <c r="R9" s="43" t="str">
        <f t="shared" si="1"/>
        <v/>
      </c>
      <c r="S9" s="43" t="str">
        <f t="shared" si="1"/>
        <v/>
      </c>
      <c r="T9" s="43" t="str">
        <f t="shared" si="1"/>
        <v/>
      </c>
      <c r="U9" s="43" t="str">
        <f t="shared" si="1"/>
        <v/>
      </c>
      <c r="V9" s="43" t="str">
        <f t="shared" si="1"/>
        <v/>
      </c>
      <c r="W9" s="43" t="str">
        <f t="shared" si="1"/>
        <v/>
      </c>
      <c r="X9" s="43" t="str">
        <f t="shared" si="1"/>
        <v/>
      </c>
      <c r="Y9" s="43" t="str">
        <f t="shared" si="1"/>
        <v/>
      </c>
      <c r="Z9" s="43" t="str">
        <f t="shared" si="1"/>
        <v/>
      </c>
      <c r="AA9" s="43" t="str">
        <f t="shared" si="1"/>
        <v/>
      </c>
      <c r="AB9" s="43" t="str">
        <f t="shared" si="2"/>
        <v/>
      </c>
      <c r="AC9" s="43" t="str">
        <f t="shared" si="2"/>
        <v/>
      </c>
      <c r="AD9" s="43" t="str">
        <f t="shared" si="2"/>
        <v/>
      </c>
      <c r="AE9" s="43" t="str">
        <f t="shared" si="2"/>
        <v/>
      </c>
      <c r="AF9" s="43" t="str">
        <f t="shared" si="2"/>
        <v/>
      </c>
      <c r="AG9" s="43" t="str">
        <f t="shared" si="2"/>
        <v/>
      </c>
      <c r="AH9" s="43" t="str">
        <f t="shared" si="2"/>
        <v/>
      </c>
      <c r="AI9" s="43" t="str">
        <f t="shared" si="2"/>
        <v/>
      </c>
      <c r="AJ9" s="43" t="str">
        <f t="shared" si="2"/>
        <v/>
      </c>
      <c r="AK9" s="43" t="str">
        <f t="shared" si="2"/>
        <v/>
      </c>
      <c r="AL9" s="43" t="str">
        <f t="shared" si="3"/>
        <v/>
      </c>
      <c r="AM9" s="43" t="str">
        <f t="shared" si="3"/>
        <v/>
      </c>
      <c r="AN9" s="43" t="str">
        <f t="shared" si="3"/>
        <v/>
      </c>
      <c r="AO9" s="43" t="str">
        <f t="shared" si="3"/>
        <v/>
      </c>
      <c r="AP9" s="43" t="str">
        <f t="shared" si="3"/>
        <v/>
      </c>
      <c r="AQ9" s="43" t="str">
        <f t="shared" si="3"/>
        <v/>
      </c>
      <c r="AR9" s="43" t="str">
        <f t="shared" si="3"/>
        <v/>
      </c>
      <c r="AS9" s="43" t="str">
        <f t="shared" si="3"/>
        <v/>
      </c>
      <c r="AT9" s="43" t="str">
        <f t="shared" si="3"/>
        <v/>
      </c>
      <c r="AU9" s="43" t="str">
        <f t="shared" si="3"/>
        <v/>
      </c>
      <c r="AV9" s="43" t="str">
        <f t="shared" si="4"/>
        <v/>
      </c>
      <c r="AW9" s="43" t="str">
        <f t="shared" si="4"/>
        <v/>
      </c>
      <c r="AX9" s="43" t="str">
        <f t="shared" si="4"/>
        <v/>
      </c>
      <c r="AY9" s="43" t="str">
        <f t="shared" si="4"/>
        <v/>
      </c>
      <c r="AZ9" s="43" t="str">
        <f t="shared" si="4"/>
        <v/>
      </c>
      <c r="BA9" s="43" t="str">
        <f t="shared" si="4"/>
        <v/>
      </c>
      <c r="BB9" s="43"/>
      <c r="BC9" s="43"/>
      <c r="BD9" s="43"/>
      <c r="BE9" s="43"/>
      <c r="BF9" s="43"/>
      <c r="BG9" s="43"/>
      <c r="BW9" s="1250"/>
    </row>
    <row r="10" spans="1:75" x14ac:dyDescent="0.25">
      <c r="A10" s="1251"/>
      <c r="B10" s="462">
        <v>4</v>
      </c>
      <c r="C10" s="462"/>
      <c r="D10" s="1244"/>
      <c r="E10" s="1050"/>
      <c r="F10" s="1244"/>
      <c r="H10" s="43" t="str">
        <f t="shared" si="0"/>
        <v/>
      </c>
      <c r="I10" s="43" t="str">
        <f t="shared" si="0"/>
        <v/>
      </c>
      <c r="J10" s="43" t="str">
        <f t="shared" si="0"/>
        <v/>
      </c>
      <c r="K10" s="43" t="str">
        <f t="shared" si="0"/>
        <v/>
      </c>
      <c r="L10" s="43" t="str">
        <f t="shared" si="0"/>
        <v/>
      </c>
      <c r="M10" s="43" t="str">
        <f t="shared" si="0"/>
        <v/>
      </c>
      <c r="N10" s="43" t="str">
        <f t="shared" si="0"/>
        <v/>
      </c>
      <c r="O10" s="43" t="str">
        <f t="shared" si="0"/>
        <v/>
      </c>
      <c r="P10" s="43" t="str">
        <f t="shared" si="0"/>
        <v/>
      </c>
      <c r="Q10" s="43" t="str">
        <f t="shared" si="0"/>
        <v/>
      </c>
      <c r="R10" s="43" t="str">
        <f t="shared" si="1"/>
        <v/>
      </c>
      <c r="S10" s="43" t="str">
        <f t="shared" si="1"/>
        <v/>
      </c>
      <c r="T10" s="43" t="str">
        <f t="shared" si="1"/>
        <v/>
      </c>
      <c r="U10" s="43" t="str">
        <f t="shared" si="1"/>
        <v/>
      </c>
      <c r="V10" s="43" t="str">
        <f t="shared" si="1"/>
        <v/>
      </c>
      <c r="W10" s="43" t="str">
        <f t="shared" si="1"/>
        <v/>
      </c>
      <c r="X10" s="43" t="str">
        <f t="shared" si="1"/>
        <v/>
      </c>
      <c r="Y10" s="43" t="str">
        <f t="shared" si="1"/>
        <v/>
      </c>
      <c r="Z10" s="43" t="str">
        <f t="shared" si="1"/>
        <v/>
      </c>
      <c r="AA10" s="43" t="str">
        <f t="shared" si="1"/>
        <v/>
      </c>
      <c r="AB10" s="43" t="str">
        <f t="shared" si="2"/>
        <v/>
      </c>
      <c r="AC10" s="43" t="str">
        <f t="shared" si="2"/>
        <v/>
      </c>
      <c r="AD10" s="43" t="str">
        <f t="shared" si="2"/>
        <v/>
      </c>
      <c r="AE10" s="43" t="str">
        <f t="shared" si="2"/>
        <v/>
      </c>
      <c r="AF10" s="43" t="str">
        <f t="shared" si="2"/>
        <v/>
      </c>
      <c r="AG10" s="43" t="str">
        <f t="shared" si="2"/>
        <v/>
      </c>
      <c r="AH10" s="43" t="str">
        <f t="shared" si="2"/>
        <v/>
      </c>
      <c r="AI10" s="43" t="str">
        <f t="shared" si="2"/>
        <v/>
      </c>
      <c r="AJ10" s="43" t="str">
        <f t="shared" si="2"/>
        <v/>
      </c>
      <c r="AK10" s="43" t="str">
        <f t="shared" si="2"/>
        <v/>
      </c>
      <c r="AL10" s="43" t="str">
        <f t="shared" si="3"/>
        <v/>
      </c>
      <c r="AM10" s="43" t="str">
        <f t="shared" si="3"/>
        <v/>
      </c>
      <c r="AN10" s="43" t="str">
        <f t="shared" si="3"/>
        <v/>
      </c>
      <c r="AO10" s="43" t="str">
        <f t="shared" si="3"/>
        <v/>
      </c>
      <c r="AP10" s="43" t="str">
        <f t="shared" si="3"/>
        <v/>
      </c>
      <c r="AQ10" s="43" t="str">
        <f t="shared" si="3"/>
        <v/>
      </c>
      <c r="AR10" s="43" t="str">
        <f t="shared" si="3"/>
        <v/>
      </c>
      <c r="AS10" s="43" t="str">
        <f t="shared" si="3"/>
        <v/>
      </c>
      <c r="AT10" s="43" t="str">
        <f t="shared" si="3"/>
        <v/>
      </c>
      <c r="AU10" s="43" t="str">
        <f t="shared" si="3"/>
        <v/>
      </c>
      <c r="AV10" s="43" t="str">
        <f t="shared" si="4"/>
        <v/>
      </c>
      <c r="AW10" s="43" t="str">
        <f t="shared" si="4"/>
        <v/>
      </c>
      <c r="AX10" s="43" t="str">
        <f t="shared" si="4"/>
        <v/>
      </c>
      <c r="AY10" s="43" t="str">
        <f t="shared" si="4"/>
        <v/>
      </c>
      <c r="AZ10" s="43" t="str">
        <f t="shared" si="4"/>
        <v/>
      </c>
      <c r="BA10" s="43" t="str">
        <f t="shared" si="4"/>
        <v/>
      </c>
      <c r="BB10" s="43"/>
      <c r="BC10" s="43"/>
      <c r="BD10" s="43"/>
      <c r="BE10" s="43"/>
      <c r="BF10" s="43"/>
      <c r="BG10" s="43"/>
      <c r="BW10" s="1250"/>
    </row>
    <row r="11" spans="1:75" x14ac:dyDescent="0.25">
      <c r="A11" s="1251"/>
      <c r="B11" s="462">
        <v>5</v>
      </c>
      <c r="C11" s="462"/>
      <c r="D11" s="1244"/>
      <c r="E11" s="1050"/>
      <c r="F11" s="1244"/>
      <c r="H11" s="43" t="str">
        <f t="shared" si="0"/>
        <v/>
      </c>
      <c r="I11" s="43" t="str">
        <f t="shared" si="0"/>
        <v/>
      </c>
      <c r="J11" s="43" t="str">
        <f t="shared" si="0"/>
        <v/>
      </c>
      <c r="K11" s="43" t="str">
        <f t="shared" si="0"/>
        <v/>
      </c>
      <c r="L11" s="43" t="str">
        <f t="shared" si="0"/>
        <v/>
      </c>
      <c r="M11" s="43" t="str">
        <f t="shared" si="0"/>
        <v/>
      </c>
      <c r="N11" s="43" t="str">
        <f t="shared" si="0"/>
        <v/>
      </c>
      <c r="O11" s="43" t="str">
        <f t="shared" si="0"/>
        <v/>
      </c>
      <c r="P11" s="43" t="str">
        <f t="shared" si="0"/>
        <v/>
      </c>
      <c r="Q11" s="43" t="str">
        <f t="shared" si="0"/>
        <v/>
      </c>
      <c r="R11" s="43" t="str">
        <f t="shared" si="1"/>
        <v/>
      </c>
      <c r="S11" s="43" t="str">
        <f t="shared" si="1"/>
        <v/>
      </c>
      <c r="T11" s="43" t="str">
        <f t="shared" si="1"/>
        <v/>
      </c>
      <c r="U11" s="43" t="str">
        <f t="shared" si="1"/>
        <v/>
      </c>
      <c r="V11" s="43" t="str">
        <f t="shared" si="1"/>
        <v/>
      </c>
      <c r="W11" s="43" t="str">
        <f t="shared" si="1"/>
        <v/>
      </c>
      <c r="X11" s="43" t="str">
        <f t="shared" si="1"/>
        <v/>
      </c>
      <c r="Y11" s="43" t="str">
        <f t="shared" si="1"/>
        <v/>
      </c>
      <c r="Z11" s="43" t="str">
        <f t="shared" si="1"/>
        <v/>
      </c>
      <c r="AA11" s="43" t="str">
        <f t="shared" si="1"/>
        <v/>
      </c>
      <c r="AB11" s="43" t="str">
        <f t="shared" si="2"/>
        <v/>
      </c>
      <c r="AC11" s="43" t="str">
        <f t="shared" si="2"/>
        <v/>
      </c>
      <c r="AD11" s="43" t="str">
        <f t="shared" si="2"/>
        <v/>
      </c>
      <c r="AE11" s="43" t="str">
        <f t="shared" si="2"/>
        <v/>
      </c>
      <c r="AF11" s="43" t="str">
        <f t="shared" si="2"/>
        <v/>
      </c>
      <c r="AG11" s="43" t="str">
        <f t="shared" si="2"/>
        <v/>
      </c>
      <c r="AH11" s="43" t="str">
        <f t="shared" si="2"/>
        <v/>
      </c>
      <c r="AI11" s="43" t="str">
        <f t="shared" si="2"/>
        <v/>
      </c>
      <c r="AJ11" s="43" t="str">
        <f t="shared" si="2"/>
        <v/>
      </c>
      <c r="AK11" s="43" t="str">
        <f t="shared" si="2"/>
        <v/>
      </c>
      <c r="AL11" s="43" t="str">
        <f t="shared" si="3"/>
        <v/>
      </c>
      <c r="AM11" s="43" t="str">
        <f t="shared" si="3"/>
        <v/>
      </c>
      <c r="AN11" s="43" t="str">
        <f t="shared" si="3"/>
        <v/>
      </c>
      <c r="AO11" s="43" t="str">
        <f t="shared" si="3"/>
        <v/>
      </c>
      <c r="AP11" s="43" t="str">
        <f t="shared" si="3"/>
        <v/>
      </c>
      <c r="AQ11" s="43" t="str">
        <f t="shared" si="3"/>
        <v/>
      </c>
      <c r="AR11" s="43" t="str">
        <f t="shared" si="3"/>
        <v/>
      </c>
      <c r="AS11" s="43" t="str">
        <f t="shared" si="3"/>
        <v/>
      </c>
      <c r="AT11" s="43" t="str">
        <f t="shared" si="3"/>
        <v/>
      </c>
      <c r="AU11" s="43" t="str">
        <f t="shared" si="3"/>
        <v/>
      </c>
      <c r="AV11" s="43" t="str">
        <f t="shared" si="4"/>
        <v/>
      </c>
      <c r="AW11" s="43" t="str">
        <f t="shared" si="4"/>
        <v/>
      </c>
      <c r="AX11" s="43" t="str">
        <f t="shared" si="4"/>
        <v/>
      </c>
      <c r="AY11" s="43" t="str">
        <f t="shared" si="4"/>
        <v/>
      </c>
      <c r="AZ11" s="43" t="str">
        <f t="shared" si="4"/>
        <v/>
      </c>
      <c r="BA11" s="43" t="str">
        <f t="shared" si="4"/>
        <v/>
      </c>
      <c r="BB11" s="43"/>
      <c r="BC11" s="43"/>
      <c r="BD11" s="43"/>
      <c r="BE11" s="43"/>
      <c r="BF11" s="43"/>
      <c r="BG11" s="43"/>
      <c r="BW11" s="1250"/>
    </row>
    <row r="12" spans="1:75" x14ac:dyDescent="0.25">
      <c r="A12" s="1251"/>
      <c r="B12" s="462">
        <v>6</v>
      </c>
      <c r="C12" s="462"/>
      <c r="D12" s="1244"/>
      <c r="E12" s="1050"/>
      <c r="F12" s="1244"/>
      <c r="H12" s="43" t="str">
        <f t="shared" si="0"/>
        <v/>
      </c>
      <c r="I12" s="43" t="str">
        <f t="shared" si="0"/>
        <v/>
      </c>
      <c r="J12" s="43" t="str">
        <f t="shared" si="0"/>
        <v/>
      </c>
      <c r="K12" s="43" t="str">
        <f t="shared" si="0"/>
        <v/>
      </c>
      <c r="L12" s="43" t="str">
        <f t="shared" si="0"/>
        <v/>
      </c>
      <c r="M12" s="43" t="str">
        <f t="shared" si="0"/>
        <v/>
      </c>
      <c r="N12" s="43" t="str">
        <f t="shared" si="0"/>
        <v/>
      </c>
      <c r="O12" s="43" t="str">
        <f t="shared" si="0"/>
        <v/>
      </c>
      <c r="P12" s="43" t="str">
        <f t="shared" si="0"/>
        <v/>
      </c>
      <c r="Q12" s="43" t="str">
        <f t="shared" si="0"/>
        <v/>
      </c>
      <c r="R12" s="43" t="str">
        <f t="shared" si="1"/>
        <v/>
      </c>
      <c r="S12" s="43" t="str">
        <f t="shared" si="1"/>
        <v/>
      </c>
      <c r="T12" s="43" t="str">
        <f t="shared" si="1"/>
        <v/>
      </c>
      <c r="U12" s="43" t="str">
        <f t="shared" si="1"/>
        <v/>
      </c>
      <c r="V12" s="43" t="str">
        <f t="shared" si="1"/>
        <v/>
      </c>
      <c r="W12" s="43" t="str">
        <f t="shared" si="1"/>
        <v/>
      </c>
      <c r="X12" s="43" t="str">
        <f t="shared" si="1"/>
        <v/>
      </c>
      <c r="Y12" s="43" t="str">
        <f t="shared" si="1"/>
        <v/>
      </c>
      <c r="Z12" s="43" t="str">
        <f t="shared" si="1"/>
        <v/>
      </c>
      <c r="AA12" s="43" t="str">
        <f t="shared" si="1"/>
        <v/>
      </c>
      <c r="AB12" s="43" t="str">
        <f t="shared" si="2"/>
        <v/>
      </c>
      <c r="AC12" s="43" t="str">
        <f t="shared" si="2"/>
        <v/>
      </c>
      <c r="AD12" s="43" t="str">
        <f t="shared" si="2"/>
        <v/>
      </c>
      <c r="AE12" s="43" t="str">
        <f t="shared" si="2"/>
        <v/>
      </c>
      <c r="AF12" s="43" t="str">
        <f t="shared" si="2"/>
        <v/>
      </c>
      <c r="AG12" s="43" t="str">
        <f t="shared" si="2"/>
        <v/>
      </c>
      <c r="AH12" s="43" t="str">
        <f t="shared" si="2"/>
        <v/>
      </c>
      <c r="AI12" s="43" t="str">
        <f t="shared" si="2"/>
        <v/>
      </c>
      <c r="AJ12" s="43" t="str">
        <f t="shared" si="2"/>
        <v/>
      </c>
      <c r="AK12" s="43" t="str">
        <f t="shared" si="2"/>
        <v/>
      </c>
      <c r="AL12" s="43" t="str">
        <f t="shared" si="3"/>
        <v/>
      </c>
      <c r="AM12" s="43" t="str">
        <f t="shared" si="3"/>
        <v/>
      </c>
      <c r="AN12" s="43" t="str">
        <f t="shared" si="3"/>
        <v/>
      </c>
      <c r="AO12" s="43" t="str">
        <f t="shared" si="3"/>
        <v/>
      </c>
      <c r="AP12" s="43" t="str">
        <f t="shared" si="3"/>
        <v/>
      </c>
      <c r="AQ12" s="43" t="str">
        <f t="shared" si="3"/>
        <v/>
      </c>
      <c r="AR12" s="43" t="str">
        <f t="shared" si="3"/>
        <v/>
      </c>
      <c r="AS12" s="43" t="str">
        <f t="shared" si="3"/>
        <v/>
      </c>
      <c r="AT12" s="43" t="str">
        <f t="shared" si="3"/>
        <v/>
      </c>
      <c r="AU12" s="43" t="str">
        <f t="shared" si="3"/>
        <v/>
      </c>
      <c r="AV12" s="43" t="str">
        <f t="shared" si="4"/>
        <v/>
      </c>
      <c r="AW12" s="43" t="str">
        <f t="shared" si="4"/>
        <v/>
      </c>
      <c r="AX12" s="43" t="str">
        <f t="shared" si="4"/>
        <v/>
      </c>
      <c r="AY12" s="43" t="str">
        <f t="shared" si="4"/>
        <v/>
      </c>
      <c r="AZ12" s="43" t="str">
        <f t="shared" si="4"/>
        <v/>
      </c>
      <c r="BA12" s="43" t="str">
        <f t="shared" si="4"/>
        <v/>
      </c>
      <c r="BB12" s="43"/>
      <c r="BC12" s="43"/>
      <c r="BD12" s="43"/>
      <c r="BE12" s="43"/>
      <c r="BF12" s="43"/>
      <c r="BG12" s="43"/>
      <c r="BW12" s="1250"/>
    </row>
    <row r="13" spans="1:75" x14ac:dyDescent="0.25">
      <c r="A13" s="1251"/>
      <c r="B13" s="462">
        <v>7</v>
      </c>
      <c r="C13" s="462"/>
      <c r="D13" s="1244"/>
      <c r="E13" s="1050"/>
      <c r="F13" s="1244"/>
      <c r="H13" s="43" t="str">
        <f t="shared" si="0"/>
        <v/>
      </c>
      <c r="I13" s="43" t="str">
        <f t="shared" si="0"/>
        <v/>
      </c>
      <c r="J13" s="43" t="str">
        <f t="shared" si="0"/>
        <v/>
      </c>
      <c r="K13" s="43" t="str">
        <f t="shared" si="0"/>
        <v/>
      </c>
      <c r="L13" s="43" t="str">
        <f t="shared" si="0"/>
        <v/>
      </c>
      <c r="M13" s="43" t="str">
        <f t="shared" si="0"/>
        <v/>
      </c>
      <c r="N13" s="43" t="str">
        <f t="shared" si="0"/>
        <v/>
      </c>
      <c r="O13" s="43" t="str">
        <f t="shared" si="0"/>
        <v/>
      </c>
      <c r="P13" s="43" t="str">
        <f t="shared" si="0"/>
        <v/>
      </c>
      <c r="Q13" s="43" t="str">
        <f t="shared" si="0"/>
        <v/>
      </c>
      <c r="R13" s="43" t="str">
        <f t="shared" si="1"/>
        <v/>
      </c>
      <c r="S13" s="43" t="str">
        <f t="shared" si="1"/>
        <v/>
      </c>
      <c r="T13" s="43" t="str">
        <f t="shared" si="1"/>
        <v/>
      </c>
      <c r="U13" s="43" t="str">
        <f t="shared" si="1"/>
        <v/>
      </c>
      <c r="V13" s="43" t="str">
        <f t="shared" si="1"/>
        <v/>
      </c>
      <c r="W13" s="43" t="str">
        <f t="shared" si="1"/>
        <v/>
      </c>
      <c r="X13" s="43" t="str">
        <f t="shared" si="1"/>
        <v/>
      </c>
      <c r="Y13" s="43" t="str">
        <f t="shared" si="1"/>
        <v/>
      </c>
      <c r="Z13" s="43" t="str">
        <f t="shared" si="1"/>
        <v/>
      </c>
      <c r="AA13" s="43" t="str">
        <f t="shared" si="1"/>
        <v/>
      </c>
      <c r="AB13" s="43" t="str">
        <f t="shared" si="2"/>
        <v/>
      </c>
      <c r="AC13" s="43" t="str">
        <f t="shared" si="2"/>
        <v/>
      </c>
      <c r="AD13" s="43" t="str">
        <f t="shared" si="2"/>
        <v/>
      </c>
      <c r="AE13" s="43" t="str">
        <f t="shared" si="2"/>
        <v/>
      </c>
      <c r="AF13" s="43" t="str">
        <f t="shared" si="2"/>
        <v/>
      </c>
      <c r="AG13" s="43" t="str">
        <f t="shared" si="2"/>
        <v/>
      </c>
      <c r="AH13" s="43" t="str">
        <f t="shared" si="2"/>
        <v/>
      </c>
      <c r="AI13" s="43" t="str">
        <f t="shared" si="2"/>
        <v/>
      </c>
      <c r="AJ13" s="43" t="str">
        <f t="shared" si="2"/>
        <v/>
      </c>
      <c r="AK13" s="43" t="str">
        <f t="shared" si="2"/>
        <v/>
      </c>
      <c r="AL13" s="43" t="str">
        <f t="shared" si="3"/>
        <v/>
      </c>
      <c r="AM13" s="43" t="str">
        <f t="shared" si="3"/>
        <v/>
      </c>
      <c r="AN13" s="43" t="str">
        <f t="shared" si="3"/>
        <v/>
      </c>
      <c r="AO13" s="43" t="str">
        <f t="shared" si="3"/>
        <v/>
      </c>
      <c r="AP13" s="43" t="str">
        <f t="shared" si="3"/>
        <v/>
      </c>
      <c r="AQ13" s="43" t="str">
        <f t="shared" si="3"/>
        <v/>
      </c>
      <c r="AR13" s="43" t="str">
        <f t="shared" si="3"/>
        <v/>
      </c>
      <c r="AS13" s="43" t="str">
        <f t="shared" si="3"/>
        <v/>
      </c>
      <c r="AT13" s="43" t="str">
        <f t="shared" si="3"/>
        <v/>
      </c>
      <c r="AU13" s="43" t="str">
        <f t="shared" si="3"/>
        <v/>
      </c>
      <c r="AV13" s="43" t="str">
        <f t="shared" si="4"/>
        <v/>
      </c>
      <c r="AW13" s="43" t="str">
        <f t="shared" si="4"/>
        <v/>
      </c>
      <c r="AX13" s="43" t="str">
        <f t="shared" si="4"/>
        <v/>
      </c>
      <c r="AY13" s="43" t="str">
        <f t="shared" si="4"/>
        <v/>
      </c>
      <c r="AZ13" s="43" t="str">
        <f t="shared" si="4"/>
        <v/>
      </c>
      <c r="BA13" s="43" t="str">
        <f t="shared" si="4"/>
        <v/>
      </c>
      <c r="BB13" s="43"/>
      <c r="BC13" s="43"/>
      <c r="BD13" s="43"/>
      <c r="BE13" s="43"/>
      <c r="BF13" s="43"/>
      <c r="BG13" s="43"/>
      <c r="BW13" s="1250"/>
    </row>
    <row r="14" spans="1:75" x14ac:dyDescent="0.25">
      <c r="A14" s="1251"/>
      <c r="B14" s="462">
        <v>8</v>
      </c>
      <c r="C14" s="462"/>
      <c r="D14" s="1244"/>
      <c r="E14" s="1050"/>
      <c r="F14" s="1244"/>
      <c r="H14" s="43" t="str">
        <f t="shared" si="0"/>
        <v/>
      </c>
      <c r="I14" s="43" t="str">
        <f t="shared" si="0"/>
        <v/>
      </c>
      <c r="J14" s="43" t="str">
        <f t="shared" si="0"/>
        <v/>
      </c>
      <c r="K14" s="43" t="str">
        <f t="shared" si="0"/>
        <v/>
      </c>
      <c r="L14" s="43" t="str">
        <f t="shared" si="0"/>
        <v/>
      </c>
      <c r="M14" s="43" t="str">
        <f t="shared" si="0"/>
        <v/>
      </c>
      <c r="N14" s="43" t="str">
        <f t="shared" si="0"/>
        <v/>
      </c>
      <c r="O14" s="43" t="str">
        <f t="shared" si="0"/>
        <v/>
      </c>
      <c r="P14" s="43" t="str">
        <f t="shared" si="0"/>
        <v/>
      </c>
      <c r="Q14" s="43" t="str">
        <f t="shared" si="0"/>
        <v/>
      </c>
      <c r="R14" s="43" t="str">
        <f t="shared" si="1"/>
        <v/>
      </c>
      <c r="S14" s="43" t="str">
        <f t="shared" si="1"/>
        <v/>
      </c>
      <c r="T14" s="43" t="str">
        <f t="shared" si="1"/>
        <v/>
      </c>
      <c r="U14" s="43" t="str">
        <f t="shared" si="1"/>
        <v/>
      </c>
      <c r="V14" s="43" t="str">
        <f t="shared" si="1"/>
        <v/>
      </c>
      <c r="W14" s="43" t="str">
        <f t="shared" si="1"/>
        <v/>
      </c>
      <c r="X14" s="43" t="str">
        <f t="shared" si="1"/>
        <v/>
      </c>
      <c r="Y14" s="43" t="str">
        <f t="shared" si="1"/>
        <v/>
      </c>
      <c r="Z14" s="43" t="str">
        <f t="shared" si="1"/>
        <v/>
      </c>
      <c r="AA14" s="43" t="str">
        <f t="shared" si="1"/>
        <v/>
      </c>
      <c r="AB14" s="43" t="str">
        <f t="shared" si="2"/>
        <v/>
      </c>
      <c r="AC14" s="43" t="str">
        <f t="shared" si="2"/>
        <v/>
      </c>
      <c r="AD14" s="43" t="str">
        <f t="shared" si="2"/>
        <v/>
      </c>
      <c r="AE14" s="43" t="str">
        <f t="shared" si="2"/>
        <v/>
      </c>
      <c r="AF14" s="43" t="str">
        <f t="shared" si="2"/>
        <v/>
      </c>
      <c r="AG14" s="43" t="str">
        <f t="shared" si="2"/>
        <v/>
      </c>
      <c r="AH14" s="43" t="str">
        <f t="shared" si="2"/>
        <v/>
      </c>
      <c r="AI14" s="43" t="str">
        <f t="shared" si="2"/>
        <v/>
      </c>
      <c r="AJ14" s="43" t="str">
        <f t="shared" si="2"/>
        <v/>
      </c>
      <c r="AK14" s="43" t="str">
        <f t="shared" si="2"/>
        <v/>
      </c>
      <c r="AL14" s="43" t="str">
        <f t="shared" si="3"/>
        <v/>
      </c>
      <c r="AM14" s="43" t="str">
        <f t="shared" si="3"/>
        <v/>
      </c>
      <c r="AN14" s="43" t="str">
        <f t="shared" si="3"/>
        <v/>
      </c>
      <c r="AO14" s="43" t="str">
        <f t="shared" si="3"/>
        <v/>
      </c>
      <c r="AP14" s="43" t="str">
        <f t="shared" si="3"/>
        <v/>
      </c>
      <c r="AQ14" s="43" t="str">
        <f t="shared" si="3"/>
        <v/>
      </c>
      <c r="AR14" s="43" t="str">
        <f t="shared" si="3"/>
        <v/>
      </c>
      <c r="AS14" s="43" t="str">
        <f t="shared" si="3"/>
        <v/>
      </c>
      <c r="AT14" s="43" t="str">
        <f t="shared" si="3"/>
        <v/>
      </c>
      <c r="AU14" s="43" t="str">
        <f t="shared" si="3"/>
        <v/>
      </c>
      <c r="AV14" s="43" t="str">
        <f t="shared" si="4"/>
        <v/>
      </c>
      <c r="AW14" s="43" t="str">
        <f t="shared" si="4"/>
        <v/>
      </c>
      <c r="AX14" s="43" t="str">
        <f t="shared" si="4"/>
        <v/>
      </c>
      <c r="AY14" s="43" t="str">
        <f t="shared" si="4"/>
        <v/>
      </c>
      <c r="AZ14" s="43" t="str">
        <f t="shared" si="4"/>
        <v/>
      </c>
      <c r="BA14" s="43" t="str">
        <f t="shared" si="4"/>
        <v/>
      </c>
      <c r="BB14" s="43"/>
      <c r="BC14" s="43"/>
      <c r="BD14" s="43"/>
      <c r="BE14" s="43"/>
      <c r="BF14" s="43"/>
      <c r="BG14" s="43"/>
      <c r="BW14" s="1250"/>
    </row>
    <row r="15" spans="1:75" x14ac:dyDescent="0.25">
      <c r="A15" s="1251"/>
      <c r="B15" s="462">
        <v>9</v>
      </c>
      <c r="C15" s="462"/>
      <c r="D15" s="1244"/>
      <c r="E15" s="1050"/>
      <c r="F15" s="1244"/>
      <c r="H15" s="43" t="str">
        <f t="shared" si="0"/>
        <v/>
      </c>
      <c r="I15" s="43" t="str">
        <f t="shared" si="0"/>
        <v/>
      </c>
      <c r="J15" s="43" t="str">
        <f t="shared" si="0"/>
        <v/>
      </c>
      <c r="K15" s="43" t="str">
        <f t="shared" si="0"/>
        <v/>
      </c>
      <c r="L15" s="43" t="str">
        <f t="shared" si="0"/>
        <v/>
      </c>
      <c r="M15" s="43" t="str">
        <f t="shared" si="0"/>
        <v/>
      </c>
      <c r="N15" s="43" t="str">
        <f t="shared" si="0"/>
        <v/>
      </c>
      <c r="O15" s="43" t="str">
        <f t="shared" si="0"/>
        <v/>
      </c>
      <c r="P15" s="43" t="str">
        <f t="shared" si="0"/>
        <v/>
      </c>
      <c r="Q15" s="43" t="str">
        <f t="shared" si="0"/>
        <v/>
      </c>
      <c r="R15" s="43" t="str">
        <f t="shared" si="1"/>
        <v/>
      </c>
      <c r="S15" s="43" t="str">
        <f t="shared" si="1"/>
        <v/>
      </c>
      <c r="T15" s="43" t="str">
        <f t="shared" si="1"/>
        <v/>
      </c>
      <c r="U15" s="43" t="str">
        <f t="shared" si="1"/>
        <v/>
      </c>
      <c r="V15" s="43" t="str">
        <f t="shared" si="1"/>
        <v/>
      </c>
      <c r="W15" s="43" t="str">
        <f t="shared" si="1"/>
        <v/>
      </c>
      <c r="X15" s="43" t="str">
        <f t="shared" si="1"/>
        <v/>
      </c>
      <c r="Y15" s="43" t="str">
        <f t="shared" si="1"/>
        <v/>
      </c>
      <c r="Z15" s="43" t="str">
        <f t="shared" si="1"/>
        <v/>
      </c>
      <c r="AA15" s="43" t="str">
        <f t="shared" si="1"/>
        <v/>
      </c>
      <c r="AB15" s="43" t="str">
        <f t="shared" si="2"/>
        <v/>
      </c>
      <c r="AC15" s="43" t="str">
        <f t="shared" si="2"/>
        <v/>
      </c>
      <c r="AD15" s="43" t="str">
        <f t="shared" si="2"/>
        <v/>
      </c>
      <c r="AE15" s="43" t="str">
        <f t="shared" si="2"/>
        <v/>
      </c>
      <c r="AF15" s="43" t="str">
        <f t="shared" si="2"/>
        <v/>
      </c>
      <c r="AG15" s="43" t="str">
        <f t="shared" si="2"/>
        <v/>
      </c>
      <c r="AH15" s="43" t="str">
        <f t="shared" si="2"/>
        <v/>
      </c>
      <c r="AI15" s="43" t="str">
        <f t="shared" si="2"/>
        <v/>
      </c>
      <c r="AJ15" s="43" t="str">
        <f t="shared" si="2"/>
        <v/>
      </c>
      <c r="AK15" s="43" t="str">
        <f t="shared" si="2"/>
        <v/>
      </c>
      <c r="AL15" s="43" t="str">
        <f t="shared" si="3"/>
        <v/>
      </c>
      <c r="AM15" s="43" t="str">
        <f t="shared" si="3"/>
        <v/>
      </c>
      <c r="AN15" s="43" t="str">
        <f t="shared" si="3"/>
        <v/>
      </c>
      <c r="AO15" s="43" t="str">
        <f t="shared" si="3"/>
        <v/>
      </c>
      <c r="AP15" s="43" t="str">
        <f t="shared" si="3"/>
        <v/>
      </c>
      <c r="AQ15" s="43" t="str">
        <f t="shared" si="3"/>
        <v/>
      </c>
      <c r="AR15" s="43" t="str">
        <f t="shared" si="3"/>
        <v/>
      </c>
      <c r="AS15" s="43" t="str">
        <f t="shared" si="3"/>
        <v/>
      </c>
      <c r="AT15" s="43" t="str">
        <f t="shared" si="3"/>
        <v/>
      </c>
      <c r="AU15" s="43" t="str">
        <f t="shared" si="3"/>
        <v/>
      </c>
      <c r="AV15" s="43" t="str">
        <f t="shared" si="4"/>
        <v/>
      </c>
      <c r="AW15" s="43" t="str">
        <f t="shared" si="4"/>
        <v/>
      </c>
      <c r="AX15" s="43" t="str">
        <f t="shared" si="4"/>
        <v/>
      </c>
      <c r="AY15" s="43" t="str">
        <f t="shared" si="4"/>
        <v/>
      </c>
      <c r="AZ15" s="43" t="str">
        <f t="shared" si="4"/>
        <v/>
      </c>
      <c r="BA15" s="43" t="str">
        <f t="shared" si="4"/>
        <v/>
      </c>
      <c r="BB15" s="43"/>
      <c r="BC15" s="43"/>
      <c r="BD15" s="43"/>
      <c r="BE15" s="43"/>
      <c r="BF15" s="43"/>
      <c r="BG15" s="43"/>
      <c r="BW15" s="1250"/>
    </row>
    <row r="16" spans="1:75" x14ac:dyDescent="0.25">
      <c r="A16" s="1251"/>
      <c r="B16" s="462">
        <v>10</v>
      </c>
      <c r="C16" s="462"/>
      <c r="D16" s="1244"/>
      <c r="E16" s="1050"/>
      <c r="F16" s="1244"/>
      <c r="H16" s="43" t="str">
        <f t="shared" si="0"/>
        <v/>
      </c>
      <c r="I16" s="43" t="str">
        <f t="shared" si="0"/>
        <v/>
      </c>
      <c r="J16" s="43" t="str">
        <f t="shared" si="0"/>
        <v/>
      </c>
      <c r="K16" s="43" t="str">
        <f t="shared" si="0"/>
        <v/>
      </c>
      <c r="L16" s="43" t="str">
        <f t="shared" si="0"/>
        <v/>
      </c>
      <c r="M16" s="43" t="str">
        <f t="shared" si="0"/>
        <v/>
      </c>
      <c r="N16" s="43" t="str">
        <f t="shared" si="0"/>
        <v/>
      </c>
      <c r="O16" s="43" t="str">
        <f t="shared" si="0"/>
        <v/>
      </c>
      <c r="P16" s="43" t="str">
        <f t="shared" si="0"/>
        <v/>
      </c>
      <c r="Q16" s="43" t="str">
        <f t="shared" si="0"/>
        <v/>
      </c>
      <c r="R16" s="43" t="str">
        <f t="shared" si="1"/>
        <v/>
      </c>
      <c r="S16" s="43" t="str">
        <f t="shared" si="1"/>
        <v/>
      </c>
      <c r="T16" s="43" t="str">
        <f t="shared" si="1"/>
        <v/>
      </c>
      <c r="U16" s="43" t="str">
        <f t="shared" si="1"/>
        <v/>
      </c>
      <c r="V16" s="43" t="str">
        <f t="shared" si="1"/>
        <v/>
      </c>
      <c r="W16" s="43" t="str">
        <f t="shared" si="1"/>
        <v/>
      </c>
      <c r="X16" s="43" t="str">
        <f t="shared" si="1"/>
        <v/>
      </c>
      <c r="Y16" s="43" t="str">
        <f t="shared" si="1"/>
        <v/>
      </c>
      <c r="Z16" s="43" t="str">
        <f t="shared" si="1"/>
        <v/>
      </c>
      <c r="AA16" s="43" t="str">
        <f t="shared" si="1"/>
        <v/>
      </c>
      <c r="AB16" s="43" t="str">
        <f t="shared" si="2"/>
        <v/>
      </c>
      <c r="AC16" s="43" t="str">
        <f t="shared" si="2"/>
        <v/>
      </c>
      <c r="AD16" s="43" t="str">
        <f t="shared" si="2"/>
        <v/>
      </c>
      <c r="AE16" s="43" t="str">
        <f t="shared" si="2"/>
        <v/>
      </c>
      <c r="AF16" s="43" t="str">
        <f t="shared" si="2"/>
        <v/>
      </c>
      <c r="AG16" s="43" t="str">
        <f t="shared" si="2"/>
        <v/>
      </c>
      <c r="AH16" s="43" t="str">
        <f t="shared" si="2"/>
        <v/>
      </c>
      <c r="AI16" s="43" t="str">
        <f t="shared" si="2"/>
        <v/>
      </c>
      <c r="AJ16" s="43" t="str">
        <f t="shared" si="2"/>
        <v/>
      </c>
      <c r="AK16" s="43" t="str">
        <f t="shared" si="2"/>
        <v/>
      </c>
      <c r="AL16" s="43" t="str">
        <f t="shared" si="3"/>
        <v/>
      </c>
      <c r="AM16" s="43" t="str">
        <f t="shared" si="3"/>
        <v/>
      </c>
      <c r="AN16" s="43" t="str">
        <f t="shared" si="3"/>
        <v/>
      </c>
      <c r="AO16" s="43" t="str">
        <f t="shared" si="3"/>
        <v/>
      </c>
      <c r="AP16" s="43" t="str">
        <f t="shared" si="3"/>
        <v/>
      </c>
      <c r="AQ16" s="43" t="str">
        <f t="shared" si="3"/>
        <v/>
      </c>
      <c r="AR16" s="43" t="str">
        <f t="shared" si="3"/>
        <v/>
      </c>
      <c r="AS16" s="43" t="str">
        <f t="shared" si="3"/>
        <v/>
      </c>
      <c r="AT16" s="43" t="str">
        <f t="shared" si="3"/>
        <v/>
      </c>
      <c r="AU16" s="43" t="str">
        <f t="shared" si="3"/>
        <v/>
      </c>
      <c r="AV16" s="43" t="str">
        <f t="shared" si="4"/>
        <v/>
      </c>
      <c r="AW16" s="43" t="str">
        <f t="shared" si="4"/>
        <v/>
      </c>
      <c r="AX16" s="43" t="str">
        <f t="shared" si="4"/>
        <v/>
      </c>
      <c r="AY16" s="43" t="str">
        <f t="shared" si="4"/>
        <v/>
      </c>
      <c r="AZ16" s="43" t="str">
        <f t="shared" si="4"/>
        <v/>
      </c>
      <c r="BA16" s="43" t="str">
        <f t="shared" si="4"/>
        <v/>
      </c>
      <c r="BB16" s="43"/>
      <c r="BC16" s="43"/>
      <c r="BD16" s="43"/>
      <c r="BE16" s="43"/>
      <c r="BF16" s="43"/>
      <c r="BG16" s="43"/>
      <c r="BW16" s="1250"/>
    </row>
    <row r="17" spans="1:75" x14ac:dyDescent="0.25">
      <c r="A17" s="1251"/>
      <c r="B17" s="462">
        <v>11</v>
      </c>
      <c r="C17" s="462"/>
      <c r="D17" s="1244"/>
      <c r="E17" s="1050"/>
      <c r="F17" s="1244"/>
      <c r="H17" s="43" t="str">
        <f t="shared" ref="H17:Q26" si="5">IF($D17=H$6,$B17&amp;", ","")</f>
        <v/>
      </c>
      <c r="I17" s="43" t="str">
        <f t="shared" si="5"/>
        <v/>
      </c>
      <c r="J17" s="43" t="str">
        <f t="shared" si="5"/>
        <v/>
      </c>
      <c r="K17" s="43" t="str">
        <f t="shared" si="5"/>
        <v/>
      </c>
      <c r="L17" s="43" t="str">
        <f t="shared" si="5"/>
        <v/>
      </c>
      <c r="M17" s="43" t="str">
        <f t="shared" si="5"/>
        <v/>
      </c>
      <c r="N17" s="43" t="str">
        <f t="shared" si="5"/>
        <v/>
      </c>
      <c r="O17" s="43" t="str">
        <f t="shared" si="5"/>
        <v/>
      </c>
      <c r="P17" s="43" t="str">
        <f t="shared" si="5"/>
        <v/>
      </c>
      <c r="Q17" s="43" t="str">
        <f t="shared" si="5"/>
        <v/>
      </c>
      <c r="R17" s="43" t="str">
        <f t="shared" ref="R17:AA26" si="6">IF($D17=R$6,$B17&amp;", ","")</f>
        <v/>
      </c>
      <c r="S17" s="43" t="str">
        <f t="shared" si="6"/>
        <v/>
      </c>
      <c r="T17" s="43" t="str">
        <f t="shared" si="6"/>
        <v/>
      </c>
      <c r="U17" s="43" t="str">
        <f t="shared" si="6"/>
        <v/>
      </c>
      <c r="V17" s="43" t="str">
        <f t="shared" si="6"/>
        <v/>
      </c>
      <c r="W17" s="43" t="str">
        <f t="shared" si="6"/>
        <v/>
      </c>
      <c r="X17" s="43" t="str">
        <f t="shared" si="6"/>
        <v/>
      </c>
      <c r="Y17" s="43" t="str">
        <f t="shared" si="6"/>
        <v/>
      </c>
      <c r="Z17" s="43" t="str">
        <f t="shared" si="6"/>
        <v/>
      </c>
      <c r="AA17" s="43" t="str">
        <f t="shared" si="6"/>
        <v/>
      </c>
      <c r="AB17" s="43" t="str">
        <f t="shared" ref="AB17:AK26" si="7">IF($D17=AB$6,$B17&amp;", ","")</f>
        <v/>
      </c>
      <c r="AC17" s="43" t="str">
        <f t="shared" si="7"/>
        <v/>
      </c>
      <c r="AD17" s="43" t="str">
        <f t="shared" si="7"/>
        <v/>
      </c>
      <c r="AE17" s="43" t="str">
        <f t="shared" si="7"/>
        <v/>
      </c>
      <c r="AF17" s="43" t="str">
        <f t="shared" si="7"/>
        <v/>
      </c>
      <c r="AG17" s="43" t="str">
        <f t="shared" si="7"/>
        <v/>
      </c>
      <c r="AH17" s="43" t="str">
        <f t="shared" si="7"/>
        <v/>
      </c>
      <c r="AI17" s="43" t="str">
        <f t="shared" si="7"/>
        <v/>
      </c>
      <c r="AJ17" s="43" t="str">
        <f t="shared" si="7"/>
        <v/>
      </c>
      <c r="AK17" s="43" t="str">
        <f t="shared" si="7"/>
        <v/>
      </c>
      <c r="AL17" s="43" t="str">
        <f t="shared" ref="AL17:AU26" si="8">IF($D17=AL$6,$B17&amp;", ","")</f>
        <v/>
      </c>
      <c r="AM17" s="43" t="str">
        <f t="shared" si="8"/>
        <v/>
      </c>
      <c r="AN17" s="43" t="str">
        <f t="shared" si="8"/>
        <v/>
      </c>
      <c r="AO17" s="43" t="str">
        <f t="shared" si="8"/>
        <v/>
      </c>
      <c r="AP17" s="43" t="str">
        <f t="shared" si="8"/>
        <v/>
      </c>
      <c r="AQ17" s="43" t="str">
        <f t="shared" si="8"/>
        <v/>
      </c>
      <c r="AR17" s="43" t="str">
        <f t="shared" si="8"/>
        <v/>
      </c>
      <c r="AS17" s="43" t="str">
        <f t="shared" si="8"/>
        <v/>
      </c>
      <c r="AT17" s="43" t="str">
        <f t="shared" si="8"/>
        <v/>
      </c>
      <c r="AU17" s="43" t="str">
        <f t="shared" si="8"/>
        <v/>
      </c>
      <c r="AV17" s="43" t="str">
        <f t="shared" ref="AV17:BA26" si="9">IF($D17=AV$6,$B17&amp;", ","")</f>
        <v/>
      </c>
      <c r="AW17" s="43" t="str">
        <f t="shared" si="9"/>
        <v/>
      </c>
      <c r="AX17" s="43" t="str">
        <f t="shared" si="9"/>
        <v/>
      </c>
      <c r="AY17" s="43" t="str">
        <f t="shared" si="9"/>
        <v/>
      </c>
      <c r="AZ17" s="43" t="str">
        <f t="shared" si="9"/>
        <v/>
      </c>
      <c r="BA17" s="43" t="str">
        <f t="shared" si="9"/>
        <v/>
      </c>
      <c r="BB17" s="43"/>
      <c r="BC17" s="43"/>
      <c r="BD17" s="43"/>
      <c r="BE17" s="43"/>
      <c r="BF17" s="43"/>
      <c r="BG17" s="43"/>
      <c r="BW17" s="1250"/>
    </row>
    <row r="18" spans="1:75" x14ac:dyDescent="0.25">
      <c r="A18" s="1251"/>
      <c r="B18" s="462">
        <v>12</v>
      </c>
      <c r="C18" s="462"/>
      <c r="D18" s="1244"/>
      <c r="E18" s="1050"/>
      <c r="F18" s="1244"/>
      <c r="H18" s="43" t="str">
        <f t="shared" si="5"/>
        <v/>
      </c>
      <c r="I18" s="43" t="str">
        <f t="shared" si="5"/>
        <v/>
      </c>
      <c r="J18" s="43" t="str">
        <f t="shared" si="5"/>
        <v/>
      </c>
      <c r="K18" s="43" t="str">
        <f t="shared" si="5"/>
        <v/>
      </c>
      <c r="L18" s="43" t="str">
        <f t="shared" si="5"/>
        <v/>
      </c>
      <c r="M18" s="43" t="str">
        <f t="shared" si="5"/>
        <v/>
      </c>
      <c r="N18" s="43" t="str">
        <f t="shared" si="5"/>
        <v/>
      </c>
      <c r="O18" s="43" t="str">
        <f t="shared" si="5"/>
        <v/>
      </c>
      <c r="P18" s="43" t="str">
        <f t="shared" si="5"/>
        <v/>
      </c>
      <c r="Q18" s="43" t="str">
        <f t="shared" si="5"/>
        <v/>
      </c>
      <c r="R18" s="43" t="str">
        <f t="shared" si="6"/>
        <v/>
      </c>
      <c r="S18" s="43" t="str">
        <f t="shared" si="6"/>
        <v/>
      </c>
      <c r="T18" s="43" t="str">
        <f t="shared" si="6"/>
        <v/>
      </c>
      <c r="U18" s="43" t="str">
        <f t="shared" si="6"/>
        <v/>
      </c>
      <c r="V18" s="43" t="str">
        <f t="shared" si="6"/>
        <v/>
      </c>
      <c r="W18" s="43" t="str">
        <f t="shared" si="6"/>
        <v/>
      </c>
      <c r="X18" s="43" t="str">
        <f t="shared" si="6"/>
        <v/>
      </c>
      <c r="Y18" s="43" t="str">
        <f t="shared" si="6"/>
        <v/>
      </c>
      <c r="Z18" s="43" t="str">
        <f t="shared" si="6"/>
        <v/>
      </c>
      <c r="AA18" s="43" t="str">
        <f t="shared" si="6"/>
        <v/>
      </c>
      <c r="AB18" s="43" t="str">
        <f t="shared" si="7"/>
        <v/>
      </c>
      <c r="AC18" s="43" t="str">
        <f t="shared" si="7"/>
        <v/>
      </c>
      <c r="AD18" s="43" t="str">
        <f t="shared" si="7"/>
        <v/>
      </c>
      <c r="AE18" s="43" t="str">
        <f t="shared" si="7"/>
        <v/>
      </c>
      <c r="AF18" s="43" t="str">
        <f t="shared" si="7"/>
        <v/>
      </c>
      <c r="AG18" s="43" t="str">
        <f t="shared" si="7"/>
        <v/>
      </c>
      <c r="AH18" s="43" t="str">
        <f t="shared" si="7"/>
        <v/>
      </c>
      <c r="AI18" s="43" t="str">
        <f t="shared" si="7"/>
        <v/>
      </c>
      <c r="AJ18" s="43" t="str">
        <f t="shared" si="7"/>
        <v/>
      </c>
      <c r="AK18" s="43" t="str">
        <f t="shared" si="7"/>
        <v/>
      </c>
      <c r="AL18" s="43" t="str">
        <f t="shared" si="8"/>
        <v/>
      </c>
      <c r="AM18" s="43" t="str">
        <f t="shared" si="8"/>
        <v/>
      </c>
      <c r="AN18" s="43" t="str">
        <f t="shared" si="8"/>
        <v/>
      </c>
      <c r="AO18" s="43" t="str">
        <f t="shared" si="8"/>
        <v/>
      </c>
      <c r="AP18" s="43" t="str">
        <f t="shared" si="8"/>
        <v/>
      </c>
      <c r="AQ18" s="43" t="str">
        <f t="shared" si="8"/>
        <v/>
      </c>
      <c r="AR18" s="43" t="str">
        <f t="shared" si="8"/>
        <v/>
      </c>
      <c r="AS18" s="43" t="str">
        <f t="shared" si="8"/>
        <v/>
      </c>
      <c r="AT18" s="43" t="str">
        <f t="shared" si="8"/>
        <v/>
      </c>
      <c r="AU18" s="43" t="str">
        <f t="shared" si="8"/>
        <v/>
      </c>
      <c r="AV18" s="43" t="str">
        <f t="shared" si="9"/>
        <v/>
      </c>
      <c r="AW18" s="43" t="str">
        <f t="shared" si="9"/>
        <v/>
      </c>
      <c r="AX18" s="43" t="str">
        <f t="shared" si="9"/>
        <v/>
      </c>
      <c r="AY18" s="43" t="str">
        <f t="shared" si="9"/>
        <v/>
      </c>
      <c r="AZ18" s="43" t="str">
        <f t="shared" si="9"/>
        <v/>
      </c>
      <c r="BA18" s="43" t="str">
        <f t="shared" si="9"/>
        <v/>
      </c>
      <c r="BB18" s="43"/>
      <c r="BC18" s="43"/>
      <c r="BD18" s="43"/>
      <c r="BE18" s="43"/>
      <c r="BF18" s="43"/>
      <c r="BG18" s="43"/>
      <c r="BW18" s="1250"/>
    </row>
    <row r="19" spans="1:75" x14ac:dyDescent="0.25">
      <c r="A19" s="1251"/>
      <c r="B19" s="462">
        <v>13</v>
      </c>
      <c r="C19" s="462"/>
      <c r="D19" s="1244"/>
      <c r="E19" s="1050"/>
      <c r="F19" s="1244"/>
      <c r="H19" s="43" t="str">
        <f t="shared" si="5"/>
        <v/>
      </c>
      <c r="I19" s="43" t="str">
        <f t="shared" si="5"/>
        <v/>
      </c>
      <c r="J19" s="43" t="str">
        <f t="shared" si="5"/>
        <v/>
      </c>
      <c r="K19" s="43" t="str">
        <f t="shared" si="5"/>
        <v/>
      </c>
      <c r="L19" s="43" t="str">
        <f t="shared" si="5"/>
        <v/>
      </c>
      <c r="M19" s="43" t="str">
        <f t="shared" si="5"/>
        <v/>
      </c>
      <c r="N19" s="43" t="str">
        <f t="shared" si="5"/>
        <v/>
      </c>
      <c r="O19" s="43" t="str">
        <f t="shared" si="5"/>
        <v/>
      </c>
      <c r="P19" s="43" t="str">
        <f t="shared" si="5"/>
        <v/>
      </c>
      <c r="Q19" s="43" t="str">
        <f t="shared" si="5"/>
        <v/>
      </c>
      <c r="R19" s="43" t="str">
        <f t="shared" si="6"/>
        <v/>
      </c>
      <c r="S19" s="43" t="str">
        <f t="shared" si="6"/>
        <v/>
      </c>
      <c r="T19" s="43" t="str">
        <f t="shared" si="6"/>
        <v/>
      </c>
      <c r="U19" s="43" t="str">
        <f t="shared" si="6"/>
        <v/>
      </c>
      <c r="V19" s="43" t="str">
        <f t="shared" si="6"/>
        <v/>
      </c>
      <c r="W19" s="43" t="str">
        <f t="shared" si="6"/>
        <v/>
      </c>
      <c r="X19" s="43" t="str">
        <f t="shared" si="6"/>
        <v/>
      </c>
      <c r="Y19" s="43" t="str">
        <f t="shared" si="6"/>
        <v/>
      </c>
      <c r="Z19" s="43" t="str">
        <f t="shared" si="6"/>
        <v/>
      </c>
      <c r="AA19" s="43" t="str">
        <f t="shared" si="6"/>
        <v/>
      </c>
      <c r="AB19" s="43" t="str">
        <f t="shared" si="7"/>
        <v/>
      </c>
      <c r="AC19" s="43" t="str">
        <f t="shared" si="7"/>
        <v/>
      </c>
      <c r="AD19" s="43" t="str">
        <f t="shared" si="7"/>
        <v/>
      </c>
      <c r="AE19" s="43" t="str">
        <f t="shared" si="7"/>
        <v/>
      </c>
      <c r="AF19" s="43" t="str">
        <f t="shared" si="7"/>
        <v/>
      </c>
      <c r="AG19" s="43" t="str">
        <f t="shared" si="7"/>
        <v/>
      </c>
      <c r="AH19" s="43" t="str">
        <f t="shared" si="7"/>
        <v/>
      </c>
      <c r="AI19" s="43" t="str">
        <f t="shared" si="7"/>
        <v/>
      </c>
      <c r="AJ19" s="43" t="str">
        <f t="shared" si="7"/>
        <v/>
      </c>
      <c r="AK19" s="43" t="str">
        <f t="shared" si="7"/>
        <v/>
      </c>
      <c r="AL19" s="43" t="str">
        <f t="shared" si="8"/>
        <v/>
      </c>
      <c r="AM19" s="43" t="str">
        <f t="shared" si="8"/>
        <v/>
      </c>
      <c r="AN19" s="43" t="str">
        <f t="shared" si="8"/>
        <v/>
      </c>
      <c r="AO19" s="43" t="str">
        <f t="shared" si="8"/>
        <v/>
      </c>
      <c r="AP19" s="43" t="str">
        <f t="shared" si="8"/>
        <v/>
      </c>
      <c r="AQ19" s="43" t="str">
        <f t="shared" si="8"/>
        <v/>
      </c>
      <c r="AR19" s="43" t="str">
        <f t="shared" si="8"/>
        <v/>
      </c>
      <c r="AS19" s="43" t="str">
        <f t="shared" si="8"/>
        <v/>
      </c>
      <c r="AT19" s="43" t="str">
        <f t="shared" si="8"/>
        <v/>
      </c>
      <c r="AU19" s="43" t="str">
        <f t="shared" si="8"/>
        <v/>
      </c>
      <c r="AV19" s="43" t="str">
        <f t="shared" si="9"/>
        <v/>
      </c>
      <c r="AW19" s="43" t="str">
        <f t="shared" si="9"/>
        <v/>
      </c>
      <c r="AX19" s="43" t="str">
        <f t="shared" si="9"/>
        <v/>
      </c>
      <c r="AY19" s="43" t="str">
        <f t="shared" si="9"/>
        <v/>
      </c>
      <c r="AZ19" s="43" t="str">
        <f t="shared" si="9"/>
        <v/>
      </c>
      <c r="BA19" s="43" t="str">
        <f t="shared" si="9"/>
        <v/>
      </c>
      <c r="BB19" s="43"/>
      <c r="BC19" s="43"/>
      <c r="BD19" s="43"/>
      <c r="BE19" s="43"/>
      <c r="BF19" s="43"/>
      <c r="BG19" s="43"/>
      <c r="BW19" s="1250"/>
    </row>
    <row r="20" spans="1:75" x14ac:dyDescent="0.25">
      <c r="A20" s="1251"/>
      <c r="B20" s="462">
        <v>14</v>
      </c>
      <c r="C20" s="462"/>
      <c r="D20" s="1244"/>
      <c r="E20" s="1050"/>
      <c r="F20" s="1244"/>
      <c r="H20" s="43" t="str">
        <f t="shared" si="5"/>
        <v/>
      </c>
      <c r="I20" s="43" t="str">
        <f t="shared" si="5"/>
        <v/>
      </c>
      <c r="J20" s="43" t="str">
        <f t="shared" si="5"/>
        <v/>
      </c>
      <c r="K20" s="43" t="str">
        <f t="shared" si="5"/>
        <v/>
      </c>
      <c r="L20" s="43" t="str">
        <f t="shared" si="5"/>
        <v/>
      </c>
      <c r="M20" s="43" t="str">
        <f t="shared" si="5"/>
        <v/>
      </c>
      <c r="N20" s="43" t="str">
        <f t="shared" si="5"/>
        <v/>
      </c>
      <c r="O20" s="43" t="str">
        <f t="shared" si="5"/>
        <v/>
      </c>
      <c r="P20" s="43" t="str">
        <f t="shared" si="5"/>
        <v/>
      </c>
      <c r="Q20" s="43" t="str">
        <f t="shared" si="5"/>
        <v/>
      </c>
      <c r="R20" s="43" t="str">
        <f t="shared" si="6"/>
        <v/>
      </c>
      <c r="S20" s="43" t="str">
        <f t="shared" si="6"/>
        <v/>
      </c>
      <c r="T20" s="43" t="str">
        <f t="shared" si="6"/>
        <v/>
      </c>
      <c r="U20" s="43" t="str">
        <f t="shared" si="6"/>
        <v/>
      </c>
      <c r="V20" s="43" t="str">
        <f t="shared" si="6"/>
        <v/>
      </c>
      <c r="W20" s="43" t="str">
        <f t="shared" si="6"/>
        <v/>
      </c>
      <c r="X20" s="43" t="str">
        <f t="shared" si="6"/>
        <v/>
      </c>
      <c r="Y20" s="43" t="str">
        <f t="shared" si="6"/>
        <v/>
      </c>
      <c r="Z20" s="43" t="str">
        <f t="shared" si="6"/>
        <v/>
      </c>
      <c r="AA20" s="43" t="str">
        <f t="shared" si="6"/>
        <v/>
      </c>
      <c r="AB20" s="43" t="str">
        <f t="shared" si="7"/>
        <v/>
      </c>
      <c r="AC20" s="43" t="str">
        <f t="shared" si="7"/>
        <v/>
      </c>
      <c r="AD20" s="43" t="str">
        <f t="shared" si="7"/>
        <v/>
      </c>
      <c r="AE20" s="43" t="str">
        <f t="shared" si="7"/>
        <v/>
      </c>
      <c r="AF20" s="43" t="str">
        <f t="shared" si="7"/>
        <v/>
      </c>
      <c r="AG20" s="43" t="str">
        <f t="shared" si="7"/>
        <v/>
      </c>
      <c r="AH20" s="43" t="str">
        <f t="shared" si="7"/>
        <v/>
      </c>
      <c r="AI20" s="43" t="str">
        <f t="shared" si="7"/>
        <v/>
      </c>
      <c r="AJ20" s="43" t="str">
        <f t="shared" si="7"/>
        <v/>
      </c>
      <c r="AK20" s="43" t="str">
        <f t="shared" si="7"/>
        <v/>
      </c>
      <c r="AL20" s="43" t="str">
        <f t="shared" si="8"/>
        <v/>
      </c>
      <c r="AM20" s="43" t="str">
        <f t="shared" si="8"/>
        <v/>
      </c>
      <c r="AN20" s="43" t="str">
        <f t="shared" si="8"/>
        <v/>
      </c>
      <c r="AO20" s="43" t="str">
        <f t="shared" si="8"/>
        <v/>
      </c>
      <c r="AP20" s="43" t="str">
        <f t="shared" si="8"/>
        <v/>
      </c>
      <c r="AQ20" s="43" t="str">
        <f t="shared" si="8"/>
        <v/>
      </c>
      <c r="AR20" s="43" t="str">
        <f t="shared" si="8"/>
        <v/>
      </c>
      <c r="AS20" s="43" t="str">
        <f t="shared" si="8"/>
        <v/>
      </c>
      <c r="AT20" s="43" t="str">
        <f t="shared" si="8"/>
        <v/>
      </c>
      <c r="AU20" s="43" t="str">
        <f t="shared" si="8"/>
        <v/>
      </c>
      <c r="AV20" s="43" t="str">
        <f t="shared" si="9"/>
        <v/>
      </c>
      <c r="AW20" s="43" t="str">
        <f t="shared" si="9"/>
        <v/>
      </c>
      <c r="AX20" s="43" t="str">
        <f t="shared" si="9"/>
        <v/>
      </c>
      <c r="AY20" s="43" t="str">
        <f t="shared" si="9"/>
        <v/>
      </c>
      <c r="AZ20" s="43" t="str">
        <f t="shared" si="9"/>
        <v/>
      </c>
      <c r="BA20" s="43" t="str">
        <f t="shared" si="9"/>
        <v/>
      </c>
      <c r="BB20" s="43"/>
      <c r="BC20" s="43"/>
      <c r="BD20" s="43"/>
      <c r="BE20" s="43"/>
      <c r="BF20" s="43"/>
      <c r="BG20" s="43"/>
      <c r="BW20" s="1250"/>
    </row>
    <row r="21" spans="1:75" x14ac:dyDescent="0.25">
      <c r="A21" s="1251"/>
      <c r="B21" s="462">
        <v>15</v>
      </c>
      <c r="C21" s="462"/>
      <c r="D21" s="1244"/>
      <c r="E21" s="1050"/>
      <c r="F21" s="1244"/>
      <c r="H21" s="43" t="str">
        <f t="shared" si="5"/>
        <v/>
      </c>
      <c r="I21" s="43" t="str">
        <f t="shared" si="5"/>
        <v/>
      </c>
      <c r="J21" s="43" t="str">
        <f t="shared" si="5"/>
        <v/>
      </c>
      <c r="K21" s="43" t="str">
        <f t="shared" si="5"/>
        <v/>
      </c>
      <c r="L21" s="43" t="str">
        <f t="shared" si="5"/>
        <v/>
      </c>
      <c r="M21" s="43" t="str">
        <f t="shared" si="5"/>
        <v/>
      </c>
      <c r="N21" s="43" t="str">
        <f t="shared" si="5"/>
        <v/>
      </c>
      <c r="O21" s="43" t="str">
        <f t="shared" si="5"/>
        <v/>
      </c>
      <c r="P21" s="43" t="str">
        <f t="shared" si="5"/>
        <v/>
      </c>
      <c r="Q21" s="43" t="str">
        <f t="shared" si="5"/>
        <v/>
      </c>
      <c r="R21" s="43" t="str">
        <f t="shared" si="6"/>
        <v/>
      </c>
      <c r="S21" s="43" t="str">
        <f t="shared" si="6"/>
        <v/>
      </c>
      <c r="T21" s="43" t="str">
        <f t="shared" si="6"/>
        <v/>
      </c>
      <c r="U21" s="43" t="str">
        <f t="shared" si="6"/>
        <v/>
      </c>
      <c r="V21" s="43" t="str">
        <f t="shared" si="6"/>
        <v/>
      </c>
      <c r="W21" s="43" t="str">
        <f t="shared" si="6"/>
        <v/>
      </c>
      <c r="X21" s="43" t="str">
        <f t="shared" si="6"/>
        <v/>
      </c>
      <c r="Y21" s="43" t="str">
        <f t="shared" si="6"/>
        <v/>
      </c>
      <c r="Z21" s="43" t="str">
        <f t="shared" si="6"/>
        <v/>
      </c>
      <c r="AA21" s="43" t="str">
        <f t="shared" si="6"/>
        <v/>
      </c>
      <c r="AB21" s="43" t="str">
        <f t="shared" si="7"/>
        <v/>
      </c>
      <c r="AC21" s="43" t="str">
        <f t="shared" si="7"/>
        <v/>
      </c>
      <c r="AD21" s="43" t="str">
        <f t="shared" si="7"/>
        <v/>
      </c>
      <c r="AE21" s="43" t="str">
        <f t="shared" si="7"/>
        <v/>
      </c>
      <c r="AF21" s="43" t="str">
        <f t="shared" si="7"/>
        <v/>
      </c>
      <c r="AG21" s="43" t="str">
        <f t="shared" si="7"/>
        <v/>
      </c>
      <c r="AH21" s="43" t="str">
        <f t="shared" si="7"/>
        <v/>
      </c>
      <c r="AI21" s="43" t="str">
        <f t="shared" si="7"/>
        <v/>
      </c>
      <c r="AJ21" s="43" t="str">
        <f t="shared" si="7"/>
        <v/>
      </c>
      <c r="AK21" s="43" t="str">
        <f t="shared" si="7"/>
        <v/>
      </c>
      <c r="AL21" s="43" t="str">
        <f t="shared" si="8"/>
        <v/>
      </c>
      <c r="AM21" s="43" t="str">
        <f t="shared" si="8"/>
        <v/>
      </c>
      <c r="AN21" s="43" t="str">
        <f t="shared" si="8"/>
        <v/>
      </c>
      <c r="AO21" s="43" t="str">
        <f t="shared" si="8"/>
        <v/>
      </c>
      <c r="AP21" s="43" t="str">
        <f t="shared" si="8"/>
        <v/>
      </c>
      <c r="AQ21" s="43" t="str">
        <f t="shared" si="8"/>
        <v/>
      </c>
      <c r="AR21" s="43" t="str">
        <f t="shared" si="8"/>
        <v/>
      </c>
      <c r="AS21" s="43" t="str">
        <f t="shared" si="8"/>
        <v/>
      </c>
      <c r="AT21" s="43" t="str">
        <f t="shared" si="8"/>
        <v/>
      </c>
      <c r="AU21" s="43" t="str">
        <f t="shared" si="8"/>
        <v/>
      </c>
      <c r="AV21" s="43" t="str">
        <f t="shared" si="9"/>
        <v/>
      </c>
      <c r="AW21" s="43" t="str">
        <f t="shared" si="9"/>
        <v/>
      </c>
      <c r="AX21" s="43" t="str">
        <f t="shared" si="9"/>
        <v/>
      </c>
      <c r="AY21" s="43" t="str">
        <f t="shared" si="9"/>
        <v/>
      </c>
      <c r="AZ21" s="43" t="str">
        <f t="shared" si="9"/>
        <v/>
      </c>
      <c r="BA21" s="43" t="str">
        <f t="shared" si="9"/>
        <v/>
      </c>
      <c r="BB21" s="43"/>
      <c r="BC21" s="43"/>
      <c r="BD21" s="43"/>
      <c r="BE21" s="43"/>
      <c r="BF21" s="43"/>
      <c r="BG21" s="43"/>
      <c r="BW21" s="1250"/>
    </row>
    <row r="22" spans="1:75" x14ac:dyDescent="0.25">
      <c r="A22" s="1251"/>
      <c r="B22" s="462">
        <v>16</v>
      </c>
      <c r="C22" s="462"/>
      <c r="D22" s="1244"/>
      <c r="E22" s="1050"/>
      <c r="F22" s="1244"/>
      <c r="H22" s="43" t="str">
        <f t="shared" si="5"/>
        <v/>
      </c>
      <c r="I22" s="43" t="str">
        <f t="shared" si="5"/>
        <v/>
      </c>
      <c r="J22" s="43" t="str">
        <f t="shared" si="5"/>
        <v/>
      </c>
      <c r="K22" s="43" t="str">
        <f t="shared" si="5"/>
        <v/>
      </c>
      <c r="L22" s="43" t="str">
        <f t="shared" si="5"/>
        <v/>
      </c>
      <c r="M22" s="43" t="str">
        <f t="shared" si="5"/>
        <v/>
      </c>
      <c r="N22" s="43" t="str">
        <f t="shared" si="5"/>
        <v/>
      </c>
      <c r="O22" s="43" t="str">
        <f t="shared" si="5"/>
        <v/>
      </c>
      <c r="P22" s="43" t="str">
        <f t="shared" si="5"/>
        <v/>
      </c>
      <c r="Q22" s="43" t="str">
        <f t="shared" si="5"/>
        <v/>
      </c>
      <c r="R22" s="43" t="str">
        <f t="shared" si="6"/>
        <v/>
      </c>
      <c r="S22" s="43" t="str">
        <f t="shared" si="6"/>
        <v/>
      </c>
      <c r="T22" s="43" t="str">
        <f t="shared" si="6"/>
        <v/>
      </c>
      <c r="U22" s="43" t="str">
        <f t="shared" si="6"/>
        <v/>
      </c>
      <c r="V22" s="43" t="str">
        <f t="shared" si="6"/>
        <v/>
      </c>
      <c r="W22" s="43" t="str">
        <f t="shared" si="6"/>
        <v/>
      </c>
      <c r="X22" s="43" t="str">
        <f t="shared" si="6"/>
        <v/>
      </c>
      <c r="Y22" s="43" t="str">
        <f t="shared" si="6"/>
        <v/>
      </c>
      <c r="Z22" s="43" t="str">
        <f t="shared" si="6"/>
        <v/>
      </c>
      <c r="AA22" s="43" t="str">
        <f t="shared" si="6"/>
        <v/>
      </c>
      <c r="AB22" s="43" t="str">
        <f t="shared" si="7"/>
        <v/>
      </c>
      <c r="AC22" s="43" t="str">
        <f t="shared" si="7"/>
        <v/>
      </c>
      <c r="AD22" s="43" t="str">
        <f t="shared" si="7"/>
        <v/>
      </c>
      <c r="AE22" s="43" t="str">
        <f t="shared" si="7"/>
        <v/>
      </c>
      <c r="AF22" s="43" t="str">
        <f t="shared" si="7"/>
        <v/>
      </c>
      <c r="AG22" s="43" t="str">
        <f t="shared" si="7"/>
        <v/>
      </c>
      <c r="AH22" s="43" t="str">
        <f t="shared" si="7"/>
        <v/>
      </c>
      <c r="AI22" s="43" t="str">
        <f t="shared" si="7"/>
        <v/>
      </c>
      <c r="AJ22" s="43" t="str">
        <f t="shared" si="7"/>
        <v/>
      </c>
      <c r="AK22" s="43" t="str">
        <f t="shared" si="7"/>
        <v/>
      </c>
      <c r="AL22" s="43" t="str">
        <f t="shared" si="8"/>
        <v/>
      </c>
      <c r="AM22" s="43" t="str">
        <f t="shared" si="8"/>
        <v/>
      </c>
      <c r="AN22" s="43" t="str">
        <f t="shared" si="8"/>
        <v/>
      </c>
      <c r="AO22" s="43" t="str">
        <f t="shared" si="8"/>
        <v/>
      </c>
      <c r="AP22" s="43" t="str">
        <f t="shared" si="8"/>
        <v/>
      </c>
      <c r="AQ22" s="43" t="str">
        <f t="shared" si="8"/>
        <v/>
      </c>
      <c r="AR22" s="43" t="str">
        <f t="shared" si="8"/>
        <v/>
      </c>
      <c r="AS22" s="43" t="str">
        <f t="shared" si="8"/>
        <v/>
      </c>
      <c r="AT22" s="43" t="str">
        <f t="shared" si="8"/>
        <v/>
      </c>
      <c r="AU22" s="43" t="str">
        <f t="shared" si="8"/>
        <v/>
      </c>
      <c r="AV22" s="43" t="str">
        <f t="shared" si="9"/>
        <v/>
      </c>
      <c r="AW22" s="43" t="str">
        <f t="shared" si="9"/>
        <v/>
      </c>
      <c r="AX22" s="43" t="str">
        <f t="shared" si="9"/>
        <v/>
      </c>
      <c r="AY22" s="43" t="str">
        <f t="shared" si="9"/>
        <v/>
      </c>
      <c r="AZ22" s="43" t="str">
        <f t="shared" si="9"/>
        <v/>
      </c>
      <c r="BA22" s="43" t="str">
        <f t="shared" si="9"/>
        <v/>
      </c>
      <c r="BB22" s="43"/>
      <c r="BC22" s="43"/>
      <c r="BD22" s="43"/>
      <c r="BE22" s="43"/>
      <c r="BF22" s="43"/>
      <c r="BG22" s="43"/>
      <c r="BW22" s="1250"/>
    </row>
    <row r="23" spans="1:75" x14ac:dyDescent="0.25">
      <c r="A23" s="1251"/>
      <c r="B23" s="462">
        <v>17</v>
      </c>
      <c r="C23" s="462"/>
      <c r="D23" s="1244"/>
      <c r="E23" s="1050"/>
      <c r="F23" s="1244"/>
      <c r="H23" s="43" t="str">
        <f t="shared" si="5"/>
        <v/>
      </c>
      <c r="I23" s="43" t="str">
        <f t="shared" si="5"/>
        <v/>
      </c>
      <c r="J23" s="43" t="str">
        <f t="shared" si="5"/>
        <v/>
      </c>
      <c r="K23" s="43" t="str">
        <f t="shared" si="5"/>
        <v/>
      </c>
      <c r="L23" s="43" t="str">
        <f t="shared" si="5"/>
        <v/>
      </c>
      <c r="M23" s="43" t="str">
        <f t="shared" si="5"/>
        <v/>
      </c>
      <c r="N23" s="43" t="str">
        <f t="shared" si="5"/>
        <v/>
      </c>
      <c r="O23" s="43" t="str">
        <f t="shared" si="5"/>
        <v/>
      </c>
      <c r="P23" s="43" t="str">
        <f t="shared" si="5"/>
        <v/>
      </c>
      <c r="Q23" s="43" t="str">
        <f t="shared" si="5"/>
        <v/>
      </c>
      <c r="R23" s="43" t="str">
        <f t="shared" si="6"/>
        <v/>
      </c>
      <c r="S23" s="43" t="str">
        <f t="shared" si="6"/>
        <v/>
      </c>
      <c r="T23" s="43" t="str">
        <f t="shared" si="6"/>
        <v/>
      </c>
      <c r="U23" s="43" t="str">
        <f t="shared" si="6"/>
        <v/>
      </c>
      <c r="V23" s="43" t="str">
        <f t="shared" si="6"/>
        <v/>
      </c>
      <c r="W23" s="43" t="str">
        <f t="shared" si="6"/>
        <v/>
      </c>
      <c r="X23" s="43" t="str">
        <f t="shared" si="6"/>
        <v/>
      </c>
      <c r="Y23" s="43" t="str">
        <f t="shared" si="6"/>
        <v/>
      </c>
      <c r="Z23" s="43" t="str">
        <f t="shared" si="6"/>
        <v/>
      </c>
      <c r="AA23" s="43" t="str">
        <f t="shared" si="6"/>
        <v/>
      </c>
      <c r="AB23" s="43" t="str">
        <f t="shared" si="7"/>
        <v/>
      </c>
      <c r="AC23" s="43" t="str">
        <f t="shared" si="7"/>
        <v/>
      </c>
      <c r="AD23" s="43" t="str">
        <f t="shared" si="7"/>
        <v/>
      </c>
      <c r="AE23" s="43" t="str">
        <f t="shared" si="7"/>
        <v/>
      </c>
      <c r="AF23" s="43" t="str">
        <f t="shared" si="7"/>
        <v/>
      </c>
      <c r="AG23" s="43" t="str">
        <f t="shared" si="7"/>
        <v/>
      </c>
      <c r="AH23" s="43" t="str">
        <f t="shared" si="7"/>
        <v/>
      </c>
      <c r="AI23" s="43" t="str">
        <f t="shared" si="7"/>
        <v/>
      </c>
      <c r="AJ23" s="43" t="str">
        <f t="shared" si="7"/>
        <v/>
      </c>
      <c r="AK23" s="43" t="str">
        <f t="shared" si="7"/>
        <v/>
      </c>
      <c r="AL23" s="43" t="str">
        <f t="shared" si="8"/>
        <v/>
      </c>
      <c r="AM23" s="43" t="str">
        <f t="shared" si="8"/>
        <v/>
      </c>
      <c r="AN23" s="43" t="str">
        <f t="shared" si="8"/>
        <v/>
      </c>
      <c r="AO23" s="43" t="str">
        <f t="shared" si="8"/>
        <v/>
      </c>
      <c r="AP23" s="43" t="str">
        <f t="shared" si="8"/>
        <v/>
      </c>
      <c r="AQ23" s="43" t="str">
        <f t="shared" si="8"/>
        <v/>
      </c>
      <c r="AR23" s="43" t="str">
        <f t="shared" si="8"/>
        <v/>
      </c>
      <c r="AS23" s="43" t="str">
        <f t="shared" si="8"/>
        <v/>
      </c>
      <c r="AT23" s="43" t="str">
        <f t="shared" si="8"/>
        <v/>
      </c>
      <c r="AU23" s="43" t="str">
        <f t="shared" si="8"/>
        <v/>
      </c>
      <c r="AV23" s="43" t="str">
        <f t="shared" si="9"/>
        <v/>
      </c>
      <c r="AW23" s="43" t="str">
        <f t="shared" si="9"/>
        <v/>
      </c>
      <c r="AX23" s="43" t="str">
        <f t="shared" si="9"/>
        <v/>
      </c>
      <c r="AY23" s="43" t="str">
        <f t="shared" si="9"/>
        <v/>
      </c>
      <c r="AZ23" s="43" t="str">
        <f t="shared" si="9"/>
        <v/>
      </c>
      <c r="BA23" s="43" t="str">
        <f t="shared" si="9"/>
        <v/>
      </c>
      <c r="BB23" s="43"/>
      <c r="BC23" s="43"/>
      <c r="BD23" s="43"/>
      <c r="BE23" s="43"/>
      <c r="BF23" s="43"/>
      <c r="BG23" s="43"/>
      <c r="BW23" s="1250"/>
    </row>
    <row r="24" spans="1:75" x14ac:dyDescent="0.25">
      <c r="A24" s="1251"/>
      <c r="B24" s="462">
        <v>18</v>
      </c>
      <c r="C24" s="462"/>
      <c r="D24" s="1244"/>
      <c r="E24" s="1050"/>
      <c r="F24" s="1244"/>
      <c r="H24" s="43" t="str">
        <f t="shared" si="5"/>
        <v/>
      </c>
      <c r="I24" s="43" t="str">
        <f t="shared" si="5"/>
        <v/>
      </c>
      <c r="J24" s="43" t="str">
        <f t="shared" si="5"/>
        <v/>
      </c>
      <c r="K24" s="43" t="str">
        <f t="shared" si="5"/>
        <v/>
      </c>
      <c r="L24" s="43" t="str">
        <f t="shared" si="5"/>
        <v/>
      </c>
      <c r="M24" s="43" t="str">
        <f t="shared" si="5"/>
        <v/>
      </c>
      <c r="N24" s="43" t="str">
        <f t="shared" si="5"/>
        <v/>
      </c>
      <c r="O24" s="43" t="str">
        <f t="shared" si="5"/>
        <v/>
      </c>
      <c r="P24" s="43" t="str">
        <f t="shared" si="5"/>
        <v/>
      </c>
      <c r="Q24" s="43" t="str">
        <f t="shared" si="5"/>
        <v/>
      </c>
      <c r="R24" s="43" t="str">
        <f t="shared" si="6"/>
        <v/>
      </c>
      <c r="S24" s="43" t="str">
        <f t="shared" si="6"/>
        <v/>
      </c>
      <c r="T24" s="43" t="str">
        <f t="shared" si="6"/>
        <v/>
      </c>
      <c r="U24" s="43" t="str">
        <f t="shared" si="6"/>
        <v/>
      </c>
      <c r="V24" s="43" t="str">
        <f t="shared" si="6"/>
        <v/>
      </c>
      <c r="W24" s="43" t="str">
        <f t="shared" si="6"/>
        <v/>
      </c>
      <c r="X24" s="43" t="str">
        <f t="shared" si="6"/>
        <v/>
      </c>
      <c r="Y24" s="43" t="str">
        <f t="shared" si="6"/>
        <v/>
      </c>
      <c r="Z24" s="43" t="str">
        <f t="shared" si="6"/>
        <v/>
      </c>
      <c r="AA24" s="43" t="str">
        <f t="shared" si="6"/>
        <v/>
      </c>
      <c r="AB24" s="43" t="str">
        <f t="shared" si="7"/>
        <v/>
      </c>
      <c r="AC24" s="43" t="str">
        <f t="shared" si="7"/>
        <v/>
      </c>
      <c r="AD24" s="43" t="str">
        <f t="shared" si="7"/>
        <v/>
      </c>
      <c r="AE24" s="43" t="str">
        <f t="shared" si="7"/>
        <v/>
      </c>
      <c r="AF24" s="43" t="str">
        <f t="shared" si="7"/>
        <v/>
      </c>
      <c r="AG24" s="43" t="str">
        <f t="shared" si="7"/>
        <v/>
      </c>
      <c r="AH24" s="43" t="str">
        <f t="shared" si="7"/>
        <v/>
      </c>
      <c r="AI24" s="43" t="str">
        <f t="shared" si="7"/>
        <v/>
      </c>
      <c r="AJ24" s="43" t="str">
        <f t="shared" si="7"/>
        <v/>
      </c>
      <c r="AK24" s="43" t="str">
        <f t="shared" si="7"/>
        <v/>
      </c>
      <c r="AL24" s="43" t="str">
        <f t="shared" si="8"/>
        <v/>
      </c>
      <c r="AM24" s="43" t="str">
        <f t="shared" si="8"/>
        <v/>
      </c>
      <c r="AN24" s="43" t="str">
        <f t="shared" si="8"/>
        <v/>
      </c>
      <c r="AO24" s="43" t="str">
        <f t="shared" si="8"/>
        <v/>
      </c>
      <c r="AP24" s="43" t="str">
        <f t="shared" si="8"/>
        <v/>
      </c>
      <c r="AQ24" s="43" t="str">
        <f t="shared" si="8"/>
        <v/>
      </c>
      <c r="AR24" s="43" t="str">
        <f t="shared" si="8"/>
        <v/>
      </c>
      <c r="AS24" s="43" t="str">
        <f t="shared" si="8"/>
        <v/>
      </c>
      <c r="AT24" s="43" t="str">
        <f t="shared" si="8"/>
        <v/>
      </c>
      <c r="AU24" s="43" t="str">
        <f t="shared" si="8"/>
        <v/>
      </c>
      <c r="AV24" s="43" t="str">
        <f t="shared" si="9"/>
        <v/>
      </c>
      <c r="AW24" s="43" t="str">
        <f t="shared" si="9"/>
        <v/>
      </c>
      <c r="AX24" s="43" t="str">
        <f t="shared" si="9"/>
        <v/>
      </c>
      <c r="AY24" s="43" t="str">
        <f t="shared" si="9"/>
        <v/>
      </c>
      <c r="AZ24" s="43" t="str">
        <f t="shared" si="9"/>
        <v/>
      </c>
      <c r="BA24" s="43" t="str">
        <f t="shared" si="9"/>
        <v/>
      </c>
      <c r="BB24" s="43"/>
      <c r="BC24" s="43"/>
      <c r="BD24" s="43"/>
      <c r="BE24" s="43"/>
      <c r="BF24" s="43"/>
      <c r="BG24" s="43"/>
      <c r="BW24" s="1250"/>
    </row>
    <row r="25" spans="1:75" x14ac:dyDescent="0.25">
      <c r="A25" s="1251"/>
      <c r="B25" s="462">
        <v>19</v>
      </c>
      <c r="C25" s="462"/>
      <c r="D25" s="1244"/>
      <c r="E25" s="1050"/>
      <c r="F25" s="1244"/>
      <c r="H25" s="43" t="str">
        <f t="shared" si="5"/>
        <v/>
      </c>
      <c r="I25" s="43" t="str">
        <f t="shared" si="5"/>
        <v/>
      </c>
      <c r="J25" s="43" t="str">
        <f t="shared" si="5"/>
        <v/>
      </c>
      <c r="K25" s="43" t="str">
        <f t="shared" si="5"/>
        <v/>
      </c>
      <c r="L25" s="43" t="str">
        <f t="shared" si="5"/>
        <v/>
      </c>
      <c r="M25" s="43" t="str">
        <f t="shared" si="5"/>
        <v/>
      </c>
      <c r="N25" s="43" t="str">
        <f t="shared" si="5"/>
        <v/>
      </c>
      <c r="O25" s="43" t="str">
        <f t="shared" si="5"/>
        <v/>
      </c>
      <c r="P25" s="43" t="str">
        <f t="shared" si="5"/>
        <v/>
      </c>
      <c r="Q25" s="43" t="str">
        <f t="shared" si="5"/>
        <v/>
      </c>
      <c r="R25" s="43" t="str">
        <f t="shared" si="6"/>
        <v/>
      </c>
      <c r="S25" s="43" t="str">
        <f t="shared" si="6"/>
        <v/>
      </c>
      <c r="T25" s="43" t="str">
        <f t="shared" si="6"/>
        <v/>
      </c>
      <c r="U25" s="43" t="str">
        <f t="shared" si="6"/>
        <v/>
      </c>
      <c r="V25" s="43" t="str">
        <f t="shared" si="6"/>
        <v/>
      </c>
      <c r="W25" s="43" t="str">
        <f t="shared" si="6"/>
        <v/>
      </c>
      <c r="X25" s="43" t="str">
        <f t="shared" si="6"/>
        <v/>
      </c>
      <c r="Y25" s="43" t="str">
        <f t="shared" si="6"/>
        <v/>
      </c>
      <c r="Z25" s="43" t="str">
        <f t="shared" si="6"/>
        <v/>
      </c>
      <c r="AA25" s="43" t="str">
        <f t="shared" si="6"/>
        <v/>
      </c>
      <c r="AB25" s="43" t="str">
        <f t="shared" si="7"/>
        <v/>
      </c>
      <c r="AC25" s="43" t="str">
        <f t="shared" si="7"/>
        <v/>
      </c>
      <c r="AD25" s="43" t="str">
        <f t="shared" si="7"/>
        <v/>
      </c>
      <c r="AE25" s="43" t="str">
        <f t="shared" si="7"/>
        <v/>
      </c>
      <c r="AF25" s="43" t="str">
        <f t="shared" si="7"/>
        <v/>
      </c>
      <c r="AG25" s="43" t="str">
        <f t="shared" si="7"/>
        <v/>
      </c>
      <c r="AH25" s="43" t="str">
        <f t="shared" si="7"/>
        <v/>
      </c>
      <c r="AI25" s="43" t="str">
        <f t="shared" si="7"/>
        <v/>
      </c>
      <c r="AJ25" s="43" t="str">
        <f t="shared" si="7"/>
        <v/>
      </c>
      <c r="AK25" s="43" t="str">
        <f t="shared" si="7"/>
        <v/>
      </c>
      <c r="AL25" s="43" t="str">
        <f t="shared" si="8"/>
        <v/>
      </c>
      <c r="AM25" s="43" t="str">
        <f t="shared" si="8"/>
        <v/>
      </c>
      <c r="AN25" s="43" t="str">
        <f t="shared" si="8"/>
        <v/>
      </c>
      <c r="AO25" s="43" t="str">
        <f t="shared" si="8"/>
        <v/>
      </c>
      <c r="AP25" s="43" t="str">
        <f t="shared" si="8"/>
        <v/>
      </c>
      <c r="AQ25" s="43" t="str">
        <f t="shared" si="8"/>
        <v/>
      </c>
      <c r="AR25" s="43" t="str">
        <f t="shared" si="8"/>
        <v/>
      </c>
      <c r="AS25" s="43" t="str">
        <f t="shared" si="8"/>
        <v/>
      </c>
      <c r="AT25" s="43" t="str">
        <f t="shared" si="8"/>
        <v/>
      </c>
      <c r="AU25" s="43" t="str">
        <f t="shared" si="8"/>
        <v/>
      </c>
      <c r="AV25" s="43" t="str">
        <f t="shared" si="9"/>
        <v/>
      </c>
      <c r="AW25" s="43" t="str">
        <f t="shared" si="9"/>
        <v/>
      </c>
      <c r="AX25" s="43" t="str">
        <f t="shared" si="9"/>
        <v/>
      </c>
      <c r="AY25" s="43" t="str">
        <f t="shared" si="9"/>
        <v/>
      </c>
      <c r="AZ25" s="43" t="str">
        <f t="shared" si="9"/>
        <v/>
      </c>
      <c r="BA25" s="43" t="str">
        <f t="shared" si="9"/>
        <v/>
      </c>
      <c r="BB25" s="43"/>
      <c r="BC25" s="43"/>
      <c r="BD25" s="43"/>
      <c r="BE25" s="43"/>
      <c r="BF25" s="43"/>
      <c r="BG25" s="43"/>
      <c r="BW25" s="1250"/>
    </row>
    <row r="26" spans="1:75" x14ac:dyDescent="0.25">
      <c r="A26" s="1251"/>
      <c r="B26" s="462">
        <v>20</v>
      </c>
      <c r="C26" s="462"/>
      <c r="D26" s="1244"/>
      <c r="E26" s="1050"/>
      <c r="F26" s="1244"/>
      <c r="H26" s="43" t="str">
        <f t="shared" si="5"/>
        <v/>
      </c>
      <c r="I26" s="43" t="str">
        <f t="shared" si="5"/>
        <v/>
      </c>
      <c r="J26" s="43" t="str">
        <f t="shared" si="5"/>
        <v/>
      </c>
      <c r="K26" s="43" t="str">
        <f t="shared" si="5"/>
        <v/>
      </c>
      <c r="L26" s="43" t="str">
        <f t="shared" si="5"/>
        <v/>
      </c>
      <c r="M26" s="43" t="str">
        <f t="shared" si="5"/>
        <v/>
      </c>
      <c r="N26" s="43" t="str">
        <f t="shared" si="5"/>
        <v/>
      </c>
      <c r="O26" s="43" t="str">
        <f t="shared" si="5"/>
        <v/>
      </c>
      <c r="P26" s="43" t="str">
        <f t="shared" si="5"/>
        <v/>
      </c>
      <c r="Q26" s="43" t="str">
        <f t="shared" si="5"/>
        <v/>
      </c>
      <c r="R26" s="43" t="str">
        <f t="shared" si="6"/>
        <v/>
      </c>
      <c r="S26" s="43" t="str">
        <f t="shared" si="6"/>
        <v/>
      </c>
      <c r="T26" s="43" t="str">
        <f t="shared" si="6"/>
        <v/>
      </c>
      <c r="U26" s="43" t="str">
        <f t="shared" si="6"/>
        <v/>
      </c>
      <c r="V26" s="43" t="str">
        <f t="shared" si="6"/>
        <v/>
      </c>
      <c r="W26" s="43" t="str">
        <f t="shared" si="6"/>
        <v/>
      </c>
      <c r="X26" s="43" t="str">
        <f t="shared" si="6"/>
        <v/>
      </c>
      <c r="Y26" s="43" t="str">
        <f t="shared" si="6"/>
        <v/>
      </c>
      <c r="Z26" s="43" t="str">
        <f t="shared" si="6"/>
        <v/>
      </c>
      <c r="AA26" s="43" t="str">
        <f t="shared" si="6"/>
        <v/>
      </c>
      <c r="AB26" s="43" t="str">
        <f t="shared" si="7"/>
        <v/>
      </c>
      <c r="AC26" s="43" t="str">
        <f t="shared" si="7"/>
        <v/>
      </c>
      <c r="AD26" s="43" t="str">
        <f t="shared" si="7"/>
        <v/>
      </c>
      <c r="AE26" s="43" t="str">
        <f t="shared" si="7"/>
        <v/>
      </c>
      <c r="AF26" s="43" t="str">
        <f t="shared" si="7"/>
        <v/>
      </c>
      <c r="AG26" s="43" t="str">
        <f t="shared" si="7"/>
        <v/>
      </c>
      <c r="AH26" s="43" t="str">
        <f t="shared" si="7"/>
        <v/>
      </c>
      <c r="AI26" s="43" t="str">
        <f t="shared" si="7"/>
        <v/>
      </c>
      <c r="AJ26" s="43" t="str">
        <f t="shared" si="7"/>
        <v/>
      </c>
      <c r="AK26" s="43" t="str">
        <f t="shared" si="7"/>
        <v/>
      </c>
      <c r="AL26" s="43" t="str">
        <f t="shared" si="8"/>
        <v/>
      </c>
      <c r="AM26" s="43" t="str">
        <f t="shared" si="8"/>
        <v/>
      </c>
      <c r="AN26" s="43" t="str">
        <f t="shared" si="8"/>
        <v/>
      </c>
      <c r="AO26" s="43" t="str">
        <f t="shared" si="8"/>
        <v/>
      </c>
      <c r="AP26" s="43" t="str">
        <f t="shared" si="8"/>
        <v/>
      </c>
      <c r="AQ26" s="43" t="str">
        <f t="shared" si="8"/>
        <v/>
      </c>
      <c r="AR26" s="43" t="str">
        <f t="shared" si="8"/>
        <v/>
      </c>
      <c r="AS26" s="43" t="str">
        <f t="shared" si="8"/>
        <v/>
      </c>
      <c r="AT26" s="43" t="str">
        <f t="shared" si="8"/>
        <v/>
      </c>
      <c r="AU26" s="43" t="str">
        <f t="shared" si="8"/>
        <v/>
      </c>
      <c r="AV26" s="43" t="str">
        <f t="shared" si="9"/>
        <v/>
      </c>
      <c r="AW26" s="43" t="str">
        <f t="shared" si="9"/>
        <v/>
      </c>
      <c r="AX26" s="43" t="str">
        <f t="shared" si="9"/>
        <v/>
      </c>
      <c r="AY26" s="43" t="str">
        <f t="shared" si="9"/>
        <v/>
      </c>
      <c r="AZ26" s="43" t="str">
        <f t="shared" si="9"/>
        <v/>
      </c>
      <c r="BA26" s="43" t="str">
        <f t="shared" si="9"/>
        <v/>
      </c>
      <c r="BB26" s="43"/>
      <c r="BC26" s="43"/>
      <c r="BD26" s="43"/>
      <c r="BE26" s="43"/>
      <c r="BF26" s="43"/>
      <c r="BG26" s="43"/>
      <c r="BW26" s="1250"/>
    </row>
    <row r="27" spans="1:75" x14ac:dyDescent="0.25">
      <c r="A27" s="1251"/>
      <c r="B27" s="462">
        <v>21</v>
      </c>
      <c r="C27" s="462"/>
      <c r="D27" s="1244"/>
      <c r="E27" s="1050"/>
      <c r="F27" s="1244"/>
      <c r="H27" s="43" t="str">
        <f t="shared" ref="H27:Q36" si="10">IF($D27=H$6,$B27&amp;", ","")</f>
        <v/>
      </c>
      <c r="I27" s="43" t="str">
        <f t="shared" si="10"/>
        <v/>
      </c>
      <c r="J27" s="43" t="str">
        <f t="shared" si="10"/>
        <v/>
      </c>
      <c r="K27" s="43" t="str">
        <f t="shared" si="10"/>
        <v/>
      </c>
      <c r="L27" s="43" t="str">
        <f t="shared" si="10"/>
        <v/>
      </c>
      <c r="M27" s="43" t="str">
        <f t="shared" si="10"/>
        <v/>
      </c>
      <c r="N27" s="43" t="str">
        <f t="shared" si="10"/>
        <v/>
      </c>
      <c r="O27" s="43" t="str">
        <f t="shared" si="10"/>
        <v/>
      </c>
      <c r="P27" s="43" t="str">
        <f t="shared" si="10"/>
        <v/>
      </c>
      <c r="Q27" s="43" t="str">
        <f t="shared" si="10"/>
        <v/>
      </c>
      <c r="R27" s="43" t="str">
        <f t="shared" ref="R27:AA36" si="11">IF($D27=R$6,$B27&amp;", ","")</f>
        <v/>
      </c>
      <c r="S27" s="43" t="str">
        <f t="shared" si="11"/>
        <v/>
      </c>
      <c r="T27" s="43" t="str">
        <f t="shared" si="11"/>
        <v/>
      </c>
      <c r="U27" s="43" t="str">
        <f t="shared" si="11"/>
        <v/>
      </c>
      <c r="V27" s="43" t="str">
        <f t="shared" si="11"/>
        <v/>
      </c>
      <c r="W27" s="43" t="str">
        <f t="shared" si="11"/>
        <v/>
      </c>
      <c r="X27" s="43" t="str">
        <f t="shared" si="11"/>
        <v/>
      </c>
      <c r="Y27" s="43" t="str">
        <f t="shared" si="11"/>
        <v/>
      </c>
      <c r="Z27" s="43" t="str">
        <f t="shared" si="11"/>
        <v/>
      </c>
      <c r="AA27" s="43" t="str">
        <f t="shared" si="11"/>
        <v/>
      </c>
      <c r="AB27" s="43" t="str">
        <f t="shared" ref="AB27:AK36" si="12">IF($D27=AB$6,$B27&amp;", ","")</f>
        <v/>
      </c>
      <c r="AC27" s="43" t="str">
        <f t="shared" si="12"/>
        <v/>
      </c>
      <c r="AD27" s="43" t="str">
        <f t="shared" si="12"/>
        <v/>
      </c>
      <c r="AE27" s="43" t="str">
        <f t="shared" si="12"/>
        <v/>
      </c>
      <c r="AF27" s="43" t="str">
        <f t="shared" si="12"/>
        <v/>
      </c>
      <c r="AG27" s="43" t="str">
        <f t="shared" si="12"/>
        <v/>
      </c>
      <c r="AH27" s="43" t="str">
        <f t="shared" si="12"/>
        <v/>
      </c>
      <c r="AI27" s="43" t="str">
        <f t="shared" si="12"/>
        <v/>
      </c>
      <c r="AJ27" s="43" t="str">
        <f t="shared" si="12"/>
        <v/>
      </c>
      <c r="AK27" s="43" t="str">
        <f t="shared" si="12"/>
        <v/>
      </c>
      <c r="AL27" s="43" t="str">
        <f t="shared" ref="AL27:AU36" si="13">IF($D27=AL$6,$B27&amp;", ","")</f>
        <v/>
      </c>
      <c r="AM27" s="43" t="str">
        <f t="shared" si="13"/>
        <v/>
      </c>
      <c r="AN27" s="43" t="str">
        <f t="shared" si="13"/>
        <v/>
      </c>
      <c r="AO27" s="43" t="str">
        <f t="shared" si="13"/>
        <v/>
      </c>
      <c r="AP27" s="43" t="str">
        <f t="shared" si="13"/>
        <v/>
      </c>
      <c r="AQ27" s="43" t="str">
        <f t="shared" si="13"/>
        <v/>
      </c>
      <c r="AR27" s="43" t="str">
        <f t="shared" si="13"/>
        <v/>
      </c>
      <c r="AS27" s="43" t="str">
        <f t="shared" si="13"/>
        <v/>
      </c>
      <c r="AT27" s="43" t="str">
        <f t="shared" si="13"/>
        <v/>
      </c>
      <c r="AU27" s="43" t="str">
        <f t="shared" si="13"/>
        <v/>
      </c>
      <c r="AV27" s="43" t="str">
        <f t="shared" ref="AV27:BA36" si="14">IF($D27=AV$6,$B27&amp;", ","")</f>
        <v/>
      </c>
      <c r="AW27" s="43" t="str">
        <f t="shared" si="14"/>
        <v/>
      </c>
      <c r="AX27" s="43" t="str">
        <f t="shared" si="14"/>
        <v/>
      </c>
      <c r="AY27" s="43" t="str">
        <f t="shared" si="14"/>
        <v/>
      </c>
      <c r="AZ27" s="43" t="str">
        <f t="shared" si="14"/>
        <v/>
      </c>
      <c r="BA27" s="43" t="str">
        <f t="shared" si="14"/>
        <v/>
      </c>
      <c r="BB27" s="43"/>
      <c r="BC27" s="43"/>
      <c r="BD27" s="43"/>
      <c r="BE27" s="43"/>
      <c r="BF27" s="43"/>
      <c r="BG27" s="43"/>
      <c r="BW27" s="1250"/>
    </row>
    <row r="28" spans="1:75" x14ac:dyDescent="0.25">
      <c r="A28" s="1251"/>
      <c r="B28" s="462">
        <v>22</v>
      </c>
      <c r="C28" s="462"/>
      <c r="D28" s="1244"/>
      <c r="E28" s="1050"/>
      <c r="F28" s="1244"/>
      <c r="H28" s="43" t="str">
        <f t="shared" si="10"/>
        <v/>
      </c>
      <c r="I28" s="43" t="str">
        <f t="shared" si="10"/>
        <v/>
      </c>
      <c r="J28" s="43" t="str">
        <f t="shared" si="10"/>
        <v/>
      </c>
      <c r="K28" s="43" t="str">
        <f t="shared" si="10"/>
        <v/>
      </c>
      <c r="L28" s="43" t="str">
        <f t="shared" si="10"/>
        <v/>
      </c>
      <c r="M28" s="43" t="str">
        <f t="shared" si="10"/>
        <v/>
      </c>
      <c r="N28" s="43" t="str">
        <f t="shared" si="10"/>
        <v/>
      </c>
      <c r="O28" s="43" t="str">
        <f t="shared" si="10"/>
        <v/>
      </c>
      <c r="P28" s="43" t="str">
        <f t="shared" si="10"/>
        <v/>
      </c>
      <c r="Q28" s="43" t="str">
        <f t="shared" si="10"/>
        <v/>
      </c>
      <c r="R28" s="43" t="str">
        <f t="shared" si="11"/>
        <v/>
      </c>
      <c r="S28" s="43" t="str">
        <f t="shared" si="11"/>
        <v/>
      </c>
      <c r="T28" s="43" t="str">
        <f t="shared" si="11"/>
        <v/>
      </c>
      <c r="U28" s="43" t="str">
        <f t="shared" si="11"/>
        <v/>
      </c>
      <c r="V28" s="43" t="str">
        <f t="shared" si="11"/>
        <v/>
      </c>
      <c r="W28" s="43" t="str">
        <f t="shared" si="11"/>
        <v/>
      </c>
      <c r="X28" s="43" t="str">
        <f t="shared" si="11"/>
        <v/>
      </c>
      <c r="Y28" s="43" t="str">
        <f t="shared" si="11"/>
        <v/>
      </c>
      <c r="Z28" s="43" t="str">
        <f t="shared" si="11"/>
        <v/>
      </c>
      <c r="AA28" s="43" t="str">
        <f t="shared" si="11"/>
        <v/>
      </c>
      <c r="AB28" s="43" t="str">
        <f t="shared" si="12"/>
        <v/>
      </c>
      <c r="AC28" s="43" t="str">
        <f t="shared" si="12"/>
        <v/>
      </c>
      <c r="AD28" s="43" t="str">
        <f t="shared" si="12"/>
        <v/>
      </c>
      <c r="AE28" s="43" t="str">
        <f t="shared" si="12"/>
        <v/>
      </c>
      <c r="AF28" s="43" t="str">
        <f t="shared" si="12"/>
        <v/>
      </c>
      <c r="AG28" s="43" t="str">
        <f t="shared" si="12"/>
        <v/>
      </c>
      <c r="AH28" s="43" t="str">
        <f t="shared" si="12"/>
        <v/>
      </c>
      <c r="AI28" s="43" t="str">
        <f t="shared" si="12"/>
        <v/>
      </c>
      <c r="AJ28" s="43" t="str">
        <f t="shared" si="12"/>
        <v/>
      </c>
      <c r="AK28" s="43" t="str">
        <f t="shared" si="12"/>
        <v/>
      </c>
      <c r="AL28" s="43" t="str">
        <f t="shared" si="13"/>
        <v/>
      </c>
      <c r="AM28" s="43" t="str">
        <f t="shared" si="13"/>
        <v/>
      </c>
      <c r="AN28" s="43" t="str">
        <f t="shared" si="13"/>
        <v/>
      </c>
      <c r="AO28" s="43" t="str">
        <f t="shared" si="13"/>
        <v/>
      </c>
      <c r="AP28" s="43" t="str">
        <f t="shared" si="13"/>
        <v/>
      </c>
      <c r="AQ28" s="43" t="str">
        <f t="shared" si="13"/>
        <v/>
      </c>
      <c r="AR28" s="43" t="str">
        <f t="shared" si="13"/>
        <v/>
      </c>
      <c r="AS28" s="43" t="str">
        <f t="shared" si="13"/>
        <v/>
      </c>
      <c r="AT28" s="43" t="str">
        <f t="shared" si="13"/>
        <v/>
      </c>
      <c r="AU28" s="43" t="str">
        <f t="shared" si="13"/>
        <v/>
      </c>
      <c r="AV28" s="43" t="str">
        <f t="shared" si="14"/>
        <v/>
      </c>
      <c r="AW28" s="43" t="str">
        <f t="shared" si="14"/>
        <v/>
      </c>
      <c r="AX28" s="43" t="str">
        <f t="shared" si="14"/>
        <v/>
      </c>
      <c r="AY28" s="43" t="str">
        <f t="shared" si="14"/>
        <v/>
      </c>
      <c r="AZ28" s="43" t="str">
        <f t="shared" si="14"/>
        <v/>
      </c>
      <c r="BA28" s="43" t="str">
        <f t="shared" si="14"/>
        <v/>
      </c>
      <c r="BB28" s="43"/>
      <c r="BC28" s="43"/>
      <c r="BD28" s="43"/>
      <c r="BE28" s="43"/>
      <c r="BF28" s="43"/>
      <c r="BG28" s="43"/>
      <c r="BW28" s="1250"/>
    </row>
    <row r="29" spans="1:75" x14ac:dyDescent="0.25">
      <c r="A29" s="1251"/>
      <c r="B29" s="462">
        <v>23</v>
      </c>
      <c r="C29" s="462"/>
      <c r="D29" s="1244"/>
      <c r="E29" s="1050"/>
      <c r="F29" s="1244"/>
      <c r="H29" s="43" t="str">
        <f t="shared" si="10"/>
        <v/>
      </c>
      <c r="I29" s="43" t="str">
        <f t="shared" si="10"/>
        <v/>
      </c>
      <c r="J29" s="43" t="str">
        <f t="shared" si="10"/>
        <v/>
      </c>
      <c r="K29" s="43" t="str">
        <f t="shared" si="10"/>
        <v/>
      </c>
      <c r="L29" s="43" t="str">
        <f t="shared" si="10"/>
        <v/>
      </c>
      <c r="M29" s="43" t="str">
        <f t="shared" si="10"/>
        <v/>
      </c>
      <c r="N29" s="43" t="str">
        <f t="shared" si="10"/>
        <v/>
      </c>
      <c r="O29" s="43" t="str">
        <f t="shared" si="10"/>
        <v/>
      </c>
      <c r="P29" s="43" t="str">
        <f t="shared" si="10"/>
        <v/>
      </c>
      <c r="Q29" s="43" t="str">
        <f t="shared" si="10"/>
        <v/>
      </c>
      <c r="R29" s="43" t="str">
        <f t="shared" si="11"/>
        <v/>
      </c>
      <c r="S29" s="43" t="str">
        <f t="shared" si="11"/>
        <v/>
      </c>
      <c r="T29" s="43" t="str">
        <f t="shared" si="11"/>
        <v/>
      </c>
      <c r="U29" s="43" t="str">
        <f t="shared" si="11"/>
        <v/>
      </c>
      <c r="V29" s="43" t="str">
        <f t="shared" si="11"/>
        <v/>
      </c>
      <c r="W29" s="43" t="str">
        <f t="shared" si="11"/>
        <v/>
      </c>
      <c r="X29" s="43" t="str">
        <f t="shared" si="11"/>
        <v/>
      </c>
      <c r="Y29" s="43" t="str">
        <f t="shared" si="11"/>
        <v/>
      </c>
      <c r="Z29" s="43" t="str">
        <f t="shared" si="11"/>
        <v/>
      </c>
      <c r="AA29" s="43" t="str">
        <f t="shared" si="11"/>
        <v/>
      </c>
      <c r="AB29" s="43" t="str">
        <f t="shared" si="12"/>
        <v/>
      </c>
      <c r="AC29" s="43" t="str">
        <f t="shared" si="12"/>
        <v/>
      </c>
      <c r="AD29" s="43" t="str">
        <f t="shared" si="12"/>
        <v/>
      </c>
      <c r="AE29" s="43" t="str">
        <f t="shared" si="12"/>
        <v/>
      </c>
      <c r="AF29" s="43" t="str">
        <f t="shared" si="12"/>
        <v/>
      </c>
      <c r="AG29" s="43" t="str">
        <f t="shared" si="12"/>
        <v/>
      </c>
      <c r="AH29" s="43" t="str">
        <f t="shared" si="12"/>
        <v/>
      </c>
      <c r="AI29" s="43" t="str">
        <f t="shared" si="12"/>
        <v/>
      </c>
      <c r="AJ29" s="43" t="str">
        <f t="shared" si="12"/>
        <v/>
      </c>
      <c r="AK29" s="43" t="str">
        <f t="shared" si="12"/>
        <v/>
      </c>
      <c r="AL29" s="43" t="str">
        <f t="shared" si="13"/>
        <v/>
      </c>
      <c r="AM29" s="43" t="str">
        <f t="shared" si="13"/>
        <v/>
      </c>
      <c r="AN29" s="43" t="str">
        <f t="shared" si="13"/>
        <v/>
      </c>
      <c r="AO29" s="43" t="str">
        <f t="shared" si="13"/>
        <v/>
      </c>
      <c r="AP29" s="43" t="str">
        <f t="shared" si="13"/>
        <v/>
      </c>
      <c r="AQ29" s="43" t="str">
        <f t="shared" si="13"/>
        <v/>
      </c>
      <c r="AR29" s="43" t="str">
        <f t="shared" si="13"/>
        <v/>
      </c>
      <c r="AS29" s="43" t="str">
        <f t="shared" si="13"/>
        <v/>
      </c>
      <c r="AT29" s="43" t="str">
        <f t="shared" si="13"/>
        <v/>
      </c>
      <c r="AU29" s="43" t="str">
        <f t="shared" si="13"/>
        <v/>
      </c>
      <c r="AV29" s="43" t="str">
        <f t="shared" si="14"/>
        <v/>
      </c>
      <c r="AW29" s="43" t="str">
        <f t="shared" si="14"/>
        <v/>
      </c>
      <c r="AX29" s="43" t="str">
        <f t="shared" si="14"/>
        <v/>
      </c>
      <c r="AY29" s="43" t="str">
        <f t="shared" si="14"/>
        <v/>
      </c>
      <c r="AZ29" s="43" t="str">
        <f t="shared" si="14"/>
        <v/>
      </c>
      <c r="BA29" s="43" t="str">
        <f t="shared" si="14"/>
        <v/>
      </c>
      <c r="BB29" s="43"/>
      <c r="BC29" s="43"/>
      <c r="BD29" s="43"/>
      <c r="BE29" s="43"/>
      <c r="BF29" s="43"/>
      <c r="BG29" s="43"/>
      <c r="BW29" s="1250"/>
    </row>
    <row r="30" spans="1:75" x14ac:dyDescent="0.25">
      <c r="A30" s="1251"/>
      <c r="B30" s="462">
        <v>24</v>
      </c>
      <c r="C30" s="462"/>
      <c r="D30" s="1244"/>
      <c r="E30" s="1050"/>
      <c r="F30" s="1244"/>
      <c r="H30" s="43" t="str">
        <f t="shared" si="10"/>
        <v/>
      </c>
      <c r="I30" s="43" t="str">
        <f t="shared" si="10"/>
        <v/>
      </c>
      <c r="J30" s="43" t="str">
        <f t="shared" si="10"/>
        <v/>
      </c>
      <c r="K30" s="43" t="str">
        <f t="shared" si="10"/>
        <v/>
      </c>
      <c r="L30" s="43" t="str">
        <f t="shared" si="10"/>
        <v/>
      </c>
      <c r="M30" s="43" t="str">
        <f t="shared" si="10"/>
        <v/>
      </c>
      <c r="N30" s="43" t="str">
        <f t="shared" si="10"/>
        <v/>
      </c>
      <c r="O30" s="43" t="str">
        <f t="shared" si="10"/>
        <v/>
      </c>
      <c r="P30" s="43" t="str">
        <f t="shared" si="10"/>
        <v/>
      </c>
      <c r="Q30" s="43" t="str">
        <f t="shared" si="10"/>
        <v/>
      </c>
      <c r="R30" s="43" t="str">
        <f t="shared" si="11"/>
        <v/>
      </c>
      <c r="S30" s="43" t="str">
        <f t="shared" si="11"/>
        <v/>
      </c>
      <c r="T30" s="43" t="str">
        <f t="shared" si="11"/>
        <v/>
      </c>
      <c r="U30" s="43" t="str">
        <f t="shared" si="11"/>
        <v/>
      </c>
      <c r="V30" s="43" t="str">
        <f t="shared" si="11"/>
        <v/>
      </c>
      <c r="W30" s="43" t="str">
        <f t="shared" si="11"/>
        <v/>
      </c>
      <c r="X30" s="43" t="str">
        <f t="shared" si="11"/>
        <v/>
      </c>
      <c r="Y30" s="43" t="str">
        <f t="shared" si="11"/>
        <v/>
      </c>
      <c r="Z30" s="43" t="str">
        <f t="shared" si="11"/>
        <v/>
      </c>
      <c r="AA30" s="43" t="str">
        <f t="shared" si="11"/>
        <v/>
      </c>
      <c r="AB30" s="43" t="str">
        <f t="shared" si="12"/>
        <v/>
      </c>
      <c r="AC30" s="43" t="str">
        <f t="shared" si="12"/>
        <v/>
      </c>
      <c r="AD30" s="43" t="str">
        <f t="shared" si="12"/>
        <v/>
      </c>
      <c r="AE30" s="43" t="str">
        <f t="shared" si="12"/>
        <v/>
      </c>
      <c r="AF30" s="43" t="str">
        <f t="shared" si="12"/>
        <v/>
      </c>
      <c r="AG30" s="43" t="str">
        <f t="shared" si="12"/>
        <v/>
      </c>
      <c r="AH30" s="43" t="str">
        <f t="shared" si="12"/>
        <v/>
      </c>
      <c r="AI30" s="43" t="str">
        <f t="shared" si="12"/>
        <v/>
      </c>
      <c r="AJ30" s="43" t="str">
        <f t="shared" si="12"/>
        <v/>
      </c>
      <c r="AK30" s="43" t="str">
        <f t="shared" si="12"/>
        <v/>
      </c>
      <c r="AL30" s="43" t="str">
        <f t="shared" si="13"/>
        <v/>
      </c>
      <c r="AM30" s="43" t="str">
        <f t="shared" si="13"/>
        <v/>
      </c>
      <c r="AN30" s="43" t="str">
        <f t="shared" si="13"/>
        <v/>
      </c>
      <c r="AO30" s="43" t="str">
        <f t="shared" si="13"/>
        <v/>
      </c>
      <c r="AP30" s="43" t="str">
        <f t="shared" si="13"/>
        <v/>
      </c>
      <c r="AQ30" s="43" t="str">
        <f t="shared" si="13"/>
        <v/>
      </c>
      <c r="AR30" s="43" t="str">
        <f t="shared" si="13"/>
        <v/>
      </c>
      <c r="AS30" s="43" t="str">
        <f t="shared" si="13"/>
        <v/>
      </c>
      <c r="AT30" s="43" t="str">
        <f t="shared" si="13"/>
        <v/>
      </c>
      <c r="AU30" s="43" t="str">
        <f t="shared" si="13"/>
        <v/>
      </c>
      <c r="AV30" s="43" t="str">
        <f t="shared" si="14"/>
        <v/>
      </c>
      <c r="AW30" s="43" t="str">
        <f t="shared" si="14"/>
        <v/>
      </c>
      <c r="AX30" s="43" t="str">
        <f t="shared" si="14"/>
        <v/>
      </c>
      <c r="AY30" s="43" t="str">
        <f t="shared" si="14"/>
        <v/>
      </c>
      <c r="AZ30" s="43" t="str">
        <f t="shared" si="14"/>
        <v/>
      </c>
      <c r="BA30" s="43" t="str">
        <f t="shared" si="14"/>
        <v/>
      </c>
      <c r="BB30" s="43"/>
      <c r="BC30" s="43"/>
      <c r="BD30" s="43"/>
      <c r="BE30" s="43"/>
      <c r="BF30" s="43"/>
      <c r="BG30" s="43"/>
      <c r="BW30" s="1250"/>
    </row>
    <row r="31" spans="1:75" x14ac:dyDescent="0.25">
      <c r="A31" s="1251"/>
      <c r="B31" s="462">
        <v>25</v>
      </c>
      <c r="C31" s="462"/>
      <c r="D31" s="1244"/>
      <c r="E31" s="1050"/>
      <c r="F31" s="1244"/>
      <c r="H31" s="43" t="str">
        <f t="shared" si="10"/>
        <v/>
      </c>
      <c r="I31" s="43" t="str">
        <f t="shared" si="10"/>
        <v/>
      </c>
      <c r="J31" s="43" t="str">
        <f t="shared" si="10"/>
        <v/>
      </c>
      <c r="K31" s="43" t="str">
        <f t="shared" si="10"/>
        <v/>
      </c>
      <c r="L31" s="43" t="str">
        <f t="shared" si="10"/>
        <v/>
      </c>
      <c r="M31" s="43" t="str">
        <f t="shared" si="10"/>
        <v/>
      </c>
      <c r="N31" s="43" t="str">
        <f t="shared" si="10"/>
        <v/>
      </c>
      <c r="O31" s="43" t="str">
        <f t="shared" si="10"/>
        <v/>
      </c>
      <c r="P31" s="43" t="str">
        <f t="shared" si="10"/>
        <v/>
      </c>
      <c r="Q31" s="43" t="str">
        <f t="shared" si="10"/>
        <v/>
      </c>
      <c r="R31" s="43" t="str">
        <f t="shared" si="11"/>
        <v/>
      </c>
      <c r="S31" s="43" t="str">
        <f t="shared" si="11"/>
        <v/>
      </c>
      <c r="T31" s="43" t="str">
        <f t="shared" si="11"/>
        <v/>
      </c>
      <c r="U31" s="43" t="str">
        <f t="shared" si="11"/>
        <v/>
      </c>
      <c r="V31" s="43" t="str">
        <f t="shared" si="11"/>
        <v/>
      </c>
      <c r="W31" s="43" t="str">
        <f t="shared" si="11"/>
        <v/>
      </c>
      <c r="X31" s="43" t="str">
        <f t="shared" si="11"/>
        <v/>
      </c>
      <c r="Y31" s="43" t="str">
        <f t="shared" si="11"/>
        <v/>
      </c>
      <c r="Z31" s="43" t="str">
        <f t="shared" si="11"/>
        <v/>
      </c>
      <c r="AA31" s="43" t="str">
        <f t="shared" si="11"/>
        <v/>
      </c>
      <c r="AB31" s="43" t="str">
        <f t="shared" si="12"/>
        <v/>
      </c>
      <c r="AC31" s="43" t="str">
        <f t="shared" si="12"/>
        <v/>
      </c>
      <c r="AD31" s="43" t="str">
        <f t="shared" si="12"/>
        <v/>
      </c>
      <c r="AE31" s="43" t="str">
        <f t="shared" si="12"/>
        <v/>
      </c>
      <c r="AF31" s="43" t="str">
        <f t="shared" si="12"/>
        <v/>
      </c>
      <c r="AG31" s="43" t="str">
        <f t="shared" si="12"/>
        <v/>
      </c>
      <c r="AH31" s="43" t="str">
        <f t="shared" si="12"/>
        <v/>
      </c>
      <c r="AI31" s="43" t="str">
        <f t="shared" si="12"/>
        <v/>
      </c>
      <c r="AJ31" s="43" t="str">
        <f t="shared" si="12"/>
        <v/>
      </c>
      <c r="AK31" s="43" t="str">
        <f t="shared" si="12"/>
        <v/>
      </c>
      <c r="AL31" s="43" t="str">
        <f t="shared" si="13"/>
        <v/>
      </c>
      <c r="AM31" s="43" t="str">
        <f t="shared" si="13"/>
        <v/>
      </c>
      <c r="AN31" s="43" t="str">
        <f t="shared" si="13"/>
        <v/>
      </c>
      <c r="AO31" s="43" t="str">
        <f t="shared" si="13"/>
        <v/>
      </c>
      <c r="AP31" s="43" t="str">
        <f t="shared" si="13"/>
        <v/>
      </c>
      <c r="AQ31" s="43" t="str">
        <f t="shared" si="13"/>
        <v/>
      </c>
      <c r="AR31" s="43" t="str">
        <f t="shared" si="13"/>
        <v/>
      </c>
      <c r="AS31" s="43" t="str">
        <f t="shared" si="13"/>
        <v/>
      </c>
      <c r="AT31" s="43" t="str">
        <f t="shared" si="13"/>
        <v/>
      </c>
      <c r="AU31" s="43" t="str">
        <f t="shared" si="13"/>
        <v/>
      </c>
      <c r="AV31" s="43" t="str">
        <f t="shared" si="14"/>
        <v/>
      </c>
      <c r="AW31" s="43" t="str">
        <f t="shared" si="14"/>
        <v/>
      </c>
      <c r="AX31" s="43" t="str">
        <f t="shared" si="14"/>
        <v/>
      </c>
      <c r="AY31" s="43" t="str">
        <f t="shared" si="14"/>
        <v/>
      </c>
      <c r="AZ31" s="43" t="str">
        <f t="shared" si="14"/>
        <v/>
      </c>
      <c r="BA31" s="43" t="str">
        <f t="shared" si="14"/>
        <v/>
      </c>
      <c r="BB31" s="43"/>
      <c r="BC31" s="43"/>
      <c r="BD31" s="43"/>
      <c r="BE31" s="43"/>
      <c r="BF31" s="43"/>
      <c r="BG31" s="43"/>
      <c r="BW31" s="1250"/>
    </row>
    <row r="32" spans="1:75" x14ac:dyDescent="0.25">
      <c r="A32" s="1251"/>
      <c r="B32" s="462">
        <v>26</v>
      </c>
      <c r="C32" s="462"/>
      <c r="D32" s="1244"/>
      <c r="E32" s="1050"/>
      <c r="F32" s="1244"/>
      <c r="H32" s="43" t="str">
        <f t="shared" si="10"/>
        <v/>
      </c>
      <c r="I32" s="43" t="str">
        <f t="shared" si="10"/>
        <v/>
      </c>
      <c r="J32" s="43" t="str">
        <f t="shared" si="10"/>
        <v/>
      </c>
      <c r="K32" s="43" t="str">
        <f t="shared" si="10"/>
        <v/>
      </c>
      <c r="L32" s="43" t="str">
        <f t="shared" si="10"/>
        <v/>
      </c>
      <c r="M32" s="43" t="str">
        <f t="shared" si="10"/>
        <v/>
      </c>
      <c r="N32" s="43" t="str">
        <f t="shared" si="10"/>
        <v/>
      </c>
      <c r="O32" s="43" t="str">
        <f t="shared" si="10"/>
        <v/>
      </c>
      <c r="P32" s="43" t="str">
        <f t="shared" si="10"/>
        <v/>
      </c>
      <c r="Q32" s="43" t="str">
        <f t="shared" si="10"/>
        <v/>
      </c>
      <c r="R32" s="43" t="str">
        <f t="shared" si="11"/>
        <v/>
      </c>
      <c r="S32" s="43" t="str">
        <f t="shared" si="11"/>
        <v/>
      </c>
      <c r="T32" s="43" t="str">
        <f t="shared" si="11"/>
        <v/>
      </c>
      <c r="U32" s="43" t="str">
        <f t="shared" si="11"/>
        <v/>
      </c>
      <c r="V32" s="43" t="str">
        <f t="shared" si="11"/>
        <v/>
      </c>
      <c r="W32" s="43" t="str">
        <f t="shared" si="11"/>
        <v/>
      </c>
      <c r="X32" s="43" t="str">
        <f t="shared" si="11"/>
        <v/>
      </c>
      <c r="Y32" s="43" t="str">
        <f t="shared" si="11"/>
        <v/>
      </c>
      <c r="Z32" s="43" t="str">
        <f t="shared" si="11"/>
        <v/>
      </c>
      <c r="AA32" s="43" t="str">
        <f t="shared" si="11"/>
        <v/>
      </c>
      <c r="AB32" s="43" t="str">
        <f t="shared" si="12"/>
        <v/>
      </c>
      <c r="AC32" s="43" t="str">
        <f t="shared" si="12"/>
        <v/>
      </c>
      <c r="AD32" s="43" t="str">
        <f t="shared" si="12"/>
        <v/>
      </c>
      <c r="AE32" s="43" t="str">
        <f t="shared" si="12"/>
        <v/>
      </c>
      <c r="AF32" s="43" t="str">
        <f t="shared" si="12"/>
        <v/>
      </c>
      <c r="AG32" s="43" t="str">
        <f t="shared" si="12"/>
        <v/>
      </c>
      <c r="AH32" s="43" t="str">
        <f t="shared" si="12"/>
        <v/>
      </c>
      <c r="AI32" s="43" t="str">
        <f t="shared" si="12"/>
        <v/>
      </c>
      <c r="AJ32" s="43" t="str">
        <f t="shared" si="12"/>
        <v/>
      </c>
      <c r="AK32" s="43" t="str">
        <f t="shared" si="12"/>
        <v/>
      </c>
      <c r="AL32" s="43" t="str">
        <f t="shared" si="13"/>
        <v/>
      </c>
      <c r="AM32" s="43" t="str">
        <f t="shared" si="13"/>
        <v/>
      </c>
      <c r="AN32" s="43" t="str">
        <f t="shared" si="13"/>
        <v/>
      </c>
      <c r="AO32" s="43" t="str">
        <f t="shared" si="13"/>
        <v/>
      </c>
      <c r="AP32" s="43" t="str">
        <f t="shared" si="13"/>
        <v/>
      </c>
      <c r="AQ32" s="43" t="str">
        <f t="shared" si="13"/>
        <v/>
      </c>
      <c r="AR32" s="43" t="str">
        <f t="shared" si="13"/>
        <v/>
      </c>
      <c r="AS32" s="43" t="str">
        <f t="shared" si="13"/>
        <v/>
      </c>
      <c r="AT32" s="43" t="str">
        <f t="shared" si="13"/>
        <v/>
      </c>
      <c r="AU32" s="43" t="str">
        <f t="shared" si="13"/>
        <v/>
      </c>
      <c r="AV32" s="43" t="str">
        <f t="shared" si="14"/>
        <v/>
      </c>
      <c r="AW32" s="43" t="str">
        <f t="shared" si="14"/>
        <v/>
      </c>
      <c r="AX32" s="43" t="str">
        <f t="shared" si="14"/>
        <v/>
      </c>
      <c r="AY32" s="43" t="str">
        <f t="shared" si="14"/>
        <v/>
      </c>
      <c r="AZ32" s="43" t="str">
        <f t="shared" si="14"/>
        <v/>
      </c>
      <c r="BA32" s="43" t="str">
        <f t="shared" si="14"/>
        <v/>
      </c>
      <c r="BB32" s="43"/>
      <c r="BC32" s="43"/>
      <c r="BD32" s="43"/>
      <c r="BE32" s="43"/>
      <c r="BF32" s="43"/>
      <c r="BG32" s="43"/>
      <c r="BW32" s="1250"/>
    </row>
    <row r="33" spans="1:75" x14ac:dyDescent="0.25">
      <c r="A33" s="1251"/>
      <c r="B33" s="462">
        <v>27</v>
      </c>
      <c r="C33" s="462"/>
      <c r="D33" s="1244"/>
      <c r="E33" s="1050"/>
      <c r="F33" s="1244"/>
      <c r="H33" s="43" t="str">
        <f t="shared" si="10"/>
        <v/>
      </c>
      <c r="I33" s="43" t="str">
        <f t="shared" si="10"/>
        <v/>
      </c>
      <c r="J33" s="43" t="str">
        <f t="shared" si="10"/>
        <v/>
      </c>
      <c r="K33" s="43" t="str">
        <f t="shared" si="10"/>
        <v/>
      </c>
      <c r="L33" s="43" t="str">
        <f t="shared" si="10"/>
        <v/>
      </c>
      <c r="M33" s="43" t="str">
        <f t="shared" si="10"/>
        <v/>
      </c>
      <c r="N33" s="43" t="str">
        <f t="shared" si="10"/>
        <v/>
      </c>
      <c r="O33" s="43" t="str">
        <f t="shared" si="10"/>
        <v/>
      </c>
      <c r="P33" s="43" t="str">
        <f t="shared" si="10"/>
        <v/>
      </c>
      <c r="Q33" s="43" t="str">
        <f t="shared" si="10"/>
        <v/>
      </c>
      <c r="R33" s="43" t="str">
        <f t="shared" si="11"/>
        <v/>
      </c>
      <c r="S33" s="43" t="str">
        <f t="shared" si="11"/>
        <v/>
      </c>
      <c r="T33" s="43" t="str">
        <f t="shared" si="11"/>
        <v/>
      </c>
      <c r="U33" s="43" t="str">
        <f t="shared" si="11"/>
        <v/>
      </c>
      <c r="V33" s="43" t="str">
        <f t="shared" si="11"/>
        <v/>
      </c>
      <c r="W33" s="43" t="str">
        <f t="shared" si="11"/>
        <v/>
      </c>
      <c r="X33" s="43" t="str">
        <f t="shared" si="11"/>
        <v/>
      </c>
      <c r="Y33" s="43" t="str">
        <f t="shared" si="11"/>
        <v/>
      </c>
      <c r="Z33" s="43" t="str">
        <f t="shared" si="11"/>
        <v/>
      </c>
      <c r="AA33" s="43" t="str">
        <f t="shared" si="11"/>
        <v/>
      </c>
      <c r="AB33" s="43" t="str">
        <f t="shared" si="12"/>
        <v/>
      </c>
      <c r="AC33" s="43" t="str">
        <f t="shared" si="12"/>
        <v/>
      </c>
      <c r="AD33" s="43" t="str">
        <f t="shared" si="12"/>
        <v/>
      </c>
      <c r="AE33" s="43" t="str">
        <f t="shared" si="12"/>
        <v/>
      </c>
      <c r="AF33" s="43" t="str">
        <f t="shared" si="12"/>
        <v/>
      </c>
      <c r="AG33" s="43" t="str">
        <f t="shared" si="12"/>
        <v/>
      </c>
      <c r="AH33" s="43" t="str">
        <f t="shared" si="12"/>
        <v/>
      </c>
      <c r="AI33" s="43" t="str">
        <f t="shared" si="12"/>
        <v/>
      </c>
      <c r="AJ33" s="43" t="str">
        <f t="shared" si="12"/>
        <v/>
      </c>
      <c r="AK33" s="43" t="str">
        <f t="shared" si="12"/>
        <v/>
      </c>
      <c r="AL33" s="43" t="str">
        <f t="shared" si="13"/>
        <v/>
      </c>
      <c r="AM33" s="43" t="str">
        <f t="shared" si="13"/>
        <v/>
      </c>
      <c r="AN33" s="43" t="str">
        <f t="shared" si="13"/>
        <v/>
      </c>
      <c r="AO33" s="43" t="str">
        <f t="shared" si="13"/>
        <v/>
      </c>
      <c r="AP33" s="43" t="str">
        <f t="shared" si="13"/>
        <v/>
      </c>
      <c r="AQ33" s="43" t="str">
        <f t="shared" si="13"/>
        <v/>
      </c>
      <c r="AR33" s="43" t="str">
        <f t="shared" si="13"/>
        <v/>
      </c>
      <c r="AS33" s="43" t="str">
        <f t="shared" si="13"/>
        <v/>
      </c>
      <c r="AT33" s="43" t="str">
        <f t="shared" si="13"/>
        <v/>
      </c>
      <c r="AU33" s="43" t="str">
        <f t="shared" si="13"/>
        <v/>
      </c>
      <c r="AV33" s="43" t="str">
        <f t="shared" si="14"/>
        <v/>
      </c>
      <c r="AW33" s="43" t="str">
        <f t="shared" si="14"/>
        <v/>
      </c>
      <c r="AX33" s="43" t="str">
        <f t="shared" si="14"/>
        <v/>
      </c>
      <c r="AY33" s="43" t="str">
        <f t="shared" si="14"/>
        <v/>
      </c>
      <c r="AZ33" s="43" t="str">
        <f t="shared" si="14"/>
        <v/>
      </c>
      <c r="BA33" s="43" t="str">
        <f t="shared" si="14"/>
        <v/>
      </c>
      <c r="BB33" s="43"/>
      <c r="BC33" s="43"/>
      <c r="BD33" s="43"/>
      <c r="BE33" s="43"/>
      <c r="BF33" s="43"/>
      <c r="BG33" s="43"/>
      <c r="BW33" s="1250"/>
    </row>
    <row r="34" spans="1:75" x14ac:dyDescent="0.25">
      <c r="A34" s="1251"/>
      <c r="B34" s="462">
        <v>28</v>
      </c>
      <c r="C34" s="462"/>
      <c r="D34" s="1244"/>
      <c r="E34" s="1050"/>
      <c r="F34" s="1244"/>
      <c r="H34" s="43" t="str">
        <f t="shared" si="10"/>
        <v/>
      </c>
      <c r="I34" s="43" t="str">
        <f t="shared" si="10"/>
        <v/>
      </c>
      <c r="J34" s="43" t="str">
        <f t="shared" si="10"/>
        <v/>
      </c>
      <c r="K34" s="43" t="str">
        <f t="shared" si="10"/>
        <v/>
      </c>
      <c r="L34" s="43" t="str">
        <f t="shared" si="10"/>
        <v/>
      </c>
      <c r="M34" s="43" t="str">
        <f t="shared" si="10"/>
        <v/>
      </c>
      <c r="N34" s="43" t="str">
        <f t="shared" si="10"/>
        <v/>
      </c>
      <c r="O34" s="43" t="str">
        <f t="shared" si="10"/>
        <v/>
      </c>
      <c r="P34" s="43" t="str">
        <f t="shared" si="10"/>
        <v/>
      </c>
      <c r="Q34" s="43" t="str">
        <f t="shared" si="10"/>
        <v/>
      </c>
      <c r="R34" s="43" t="str">
        <f t="shared" si="11"/>
        <v/>
      </c>
      <c r="S34" s="43" t="str">
        <f t="shared" si="11"/>
        <v/>
      </c>
      <c r="T34" s="43" t="str">
        <f t="shared" si="11"/>
        <v/>
      </c>
      <c r="U34" s="43" t="str">
        <f t="shared" si="11"/>
        <v/>
      </c>
      <c r="V34" s="43" t="str">
        <f t="shared" si="11"/>
        <v/>
      </c>
      <c r="W34" s="43" t="str">
        <f t="shared" si="11"/>
        <v/>
      </c>
      <c r="X34" s="43" t="str">
        <f t="shared" si="11"/>
        <v/>
      </c>
      <c r="Y34" s="43" t="str">
        <f t="shared" si="11"/>
        <v/>
      </c>
      <c r="Z34" s="43" t="str">
        <f t="shared" si="11"/>
        <v/>
      </c>
      <c r="AA34" s="43" t="str">
        <f t="shared" si="11"/>
        <v/>
      </c>
      <c r="AB34" s="43" t="str">
        <f t="shared" si="12"/>
        <v/>
      </c>
      <c r="AC34" s="43" t="str">
        <f t="shared" si="12"/>
        <v/>
      </c>
      <c r="AD34" s="43" t="str">
        <f t="shared" si="12"/>
        <v/>
      </c>
      <c r="AE34" s="43" t="str">
        <f t="shared" si="12"/>
        <v/>
      </c>
      <c r="AF34" s="43" t="str">
        <f t="shared" si="12"/>
        <v/>
      </c>
      <c r="AG34" s="43" t="str">
        <f t="shared" si="12"/>
        <v/>
      </c>
      <c r="AH34" s="43" t="str">
        <f t="shared" si="12"/>
        <v/>
      </c>
      <c r="AI34" s="43" t="str">
        <f t="shared" si="12"/>
        <v/>
      </c>
      <c r="AJ34" s="43" t="str">
        <f t="shared" si="12"/>
        <v/>
      </c>
      <c r="AK34" s="43" t="str">
        <f t="shared" si="12"/>
        <v/>
      </c>
      <c r="AL34" s="43" t="str">
        <f t="shared" si="13"/>
        <v/>
      </c>
      <c r="AM34" s="43" t="str">
        <f t="shared" si="13"/>
        <v/>
      </c>
      <c r="AN34" s="43" t="str">
        <f t="shared" si="13"/>
        <v/>
      </c>
      <c r="AO34" s="43" t="str">
        <f t="shared" si="13"/>
        <v/>
      </c>
      <c r="AP34" s="43" t="str">
        <f t="shared" si="13"/>
        <v/>
      </c>
      <c r="AQ34" s="43" t="str">
        <f t="shared" si="13"/>
        <v/>
      </c>
      <c r="AR34" s="43" t="str">
        <f t="shared" si="13"/>
        <v/>
      </c>
      <c r="AS34" s="43" t="str">
        <f t="shared" si="13"/>
        <v/>
      </c>
      <c r="AT34" s="43" t="str">
        <f t="shared" si="13"/>
        <v/>
      </c>
      <c r="AU34" s="43" t="str">
        <f t="shared" si="13"/>
        <v/>
      </c>
      <c r="AV34" s="43" t="str">
        <f t="shared" si="14"/>
        <v/>
      </c>
      <c r="AW34" s="43" t="str">
        <f t="shared" si="14"/>
        <v/>
      </c>
      <c r="AX34" s="43" t="str">
        <f t="shared" si="14"/>
        <v/>
      </c>
      <c r="AY34" s="43" t="str">
        <f t="shared" si="14"/>
        <v/>
      </c>
      <c r="AZ34" s="43" t="str">
        <f t="shared" si="14"/>
        <v/>
      </c>
      <c r="BA34" s="43" t="str">
        <f t="shared" si="14"/>
        <v/>
      </c>
      <c r="BB34" s="43"/>
      <c r="BC34" s="43"/>
      <c r="BD34" s="43"/>
      <c r="BE34" s="43"/>
      <c r="BF34" s="43"/>
      <c r="BG34" s="43"/>
      <c r="BW34" s="1250"/>
    </row>
    <row r="35" spans="1:75" x14ac:dyDescent="0.25">
      <c r="A35" s="1251"/>
      <c r="B35" s="462">
        <v>29</v>
      </c>
      <c r="C35" s="462"/>
      <c r="D35" s="1244"/>
      <c r="E35" s="1050"/>
      <c r="F35" s="1244"/>
      <c r="H35" s="43" t="str">
        <f t="shared" si="10"/>
        <v/>
      </c>
      <c r="I35" s="43" t="str">
        <f t="shared" si="10"/>
        <v/>
      </c>
      <c r="J35" s="43" t="str">
        <f t="shared" si="10"/>
        <v/>
      </c>
      <c r="K35" s="43" t="str">
        <f t="shared" si="10"/>
        <v/>
      </c>
      <c r="L35" s="43" t="str">
        <f t="shared" si="10"/>
        <v/>
      </c>
      <c r="M35" s="43" t="str">
        <f t="shared" si="10"/>
        <v/>
      </c>
      <c r="N35" s="43" t="str">
        <f t="shared" si="10"/>
        <v/>
      </c>
      <c r="O35" s="43" t="str">
        <f t="shared" si="10"/>
        <v/>
      </c>
      <c r="P35" s="43" t="str">
        <f t="shared" si="10"/>
        <v/>
      </c>
      <c r="Q35" s="43" t="str">
        <f t="shared" si="10"/>
        <v/>
      </c>
      <c r="R35" s="43" t="str">
        <f t="shared" si="11"/>
        <v/>
      </c>
      <c r="S35" s="43" t="str">
        <f t="shared" si="11"/>
        <v/>
      </c>
      <c r="T35" s="43" t="str">
        <f t="shared" si="11"/>
        <v/>
      </c>
      <c r="U35" s="43" t="str">
        <f t="shared" si="11"/>
        <v/>
      </c>
      <c r="V35" s="43" t="str">
        <f t="shared" si="11"/>
        <v/>
      </c>
      <c r="W35" s="43" t="str">
        <f t="shared" si="11"/>
        <v/>
      </c>
      <c r="X35" s="43" t="str">
        <f t="shared" si="11"/>
        <v/>
      </c>
      <c r="Y35" s="43" t="str">
        <f t="shared" si="11"/>
        <v/>
      </c>
      <c r="Z35" s="43" t="str">
        <f t="shared" si="11"/>
        <v/>
      </c>
      <c r="AA35" s="43" t="str">
        <f t="shared" si="11"/>
        <v/>
      </c>
      <c r="AB35" s="43" t="str">
        <f t="shared" si="12"/>
        <v/>
      </c>
      <c r="AC35" s="43" t="str">
        <f t="shared" si="12"/>
        <v/>
      </c>
      <c r="AD35" s="43" t="str">
        <f t="shared" si="12"/>
        <v/>
      </c>
      <c r="AE35" s="43" t="str">
        <f t="shared" si="12"/>
        <v/>
      </c>
      <c r="AF35" s="43" t="str">
        <f t="shared" si="12"/>
        <v/>
      </c>
      <c r="AG35" s="43" t="str">
        <f t="shared" si="12"/>
        <v/>
      </c>
      <c r="AH35" s="43" t="str">
        <f t="shared" si="12"/>
        <v/>
      </c>
      <c r="AI35" s="43" t="str">
        <f t="shared" si="12"/>
        <v/>
      </c>
      <c r="AJ35" s="43" t="str">
        <f t="shared" si="12"/>
        <v/>
      </c>
      <c r="AK35" s="43" t="str">
        <f t="shared" si="12"/>
        <v/>
      </c>
      <c r="AL35" s="43" t="str">
        <f t="shared" si="13"/>
        <v/>
      </c>
      <c r="AM35" s="43" t="str">
        <f t="shared" si="13"/>
        <v/>
      </c>
      <c r="AN35" s="43" t="str">
        <f t="shared" si="13"/>
        <v/>
      </c>
      <c r="AO35" s="43" t="str">
        <f t="shared" si="13"/>
        <v/>
      </c>
      <c r="AP35" s="43" t="str">
        <f t="shared" si="13"/>
        <v/>
      </c>
      <c r="AQ35" s="43" t="str">
        <f t="shared" si="13"/>
        <v/>
      </c>
      <c r="AR35" s="43" t="str">
        <f t="shared" si="13"/>
        <v/>
      </c>
      <c r="AS35" s="43" t="str">
        <f t="shared" si="13"/>
        <v/>
      </c>
      <c r="AT35" s="43" t="str">
        <f t="shared" si="13"/>
        <v/>
      </c>
      <c r="AU35" s="43" t="str">
        <f t="shared" si="13"/>
        <v/>
      </c>
      <c r="AV35" s="43" t="str">
        <f t="shared" si="14"/>
        <v/>
      </c>
      <c r="AW35" s="43" t="str">
        <f t="shared" si="14"/>
        <v/>
      </c>
      <c r="AX35" s="43" t="str">
        <f t="shared" si="14"/>
        <v/>
      </c>
      <c r="AY35" s="43" t="str">
        <f t="shared" si="14"/>
        <v/>
      </c>
      <c r="AZ35" s="43" t="str">
        <f t="shared" si="14"/>
        <v/>
      </c>
      <c r="BA35" s="43" t="str">
        <f t="shared" si="14"/>
        <v/>
      </c>
      <c r="BB35" s="43"/>
      <c r="BC35" s="43"/>
      <c r="BD35" s="43"/>
      <c r="BE35" s="43"/>
      <c r="BF35" s="43"/>
      <c r="BG35" s="43"/>
      <c r="BW35" s="1250"/>
    </row>
    <row r="36" spans="1:75" x14ac:dyDescent="0.25">
      <c r="A36" s="1251"/>
      <c r="B36" s="462">
        <v>30</v>
      </c>
      <c r="C36" s="462"/>
      <c r="D36" s="1244"/>
      <c r="E36" s="1050"/>
      <c r="F36" s="1244"/>
      <c r="H36" s="43" t="str">
        <f t="shared" si="10"/>
        <v/>
      </c>
      <c r="I36" s="43" t="str">
        <f t="shared" si="10"/>
        <v/>
      </c>
      <c r="J36" s="43" t="str">
        <f t="shared" si="10"/>
        <v/>
      </c>
      <c r="K36" s="43" t="str">
        <f t="shared" si="10"/>
        <v/>
      </c>
      <c r="L36" s="43" t="str">
        <f t="shared" si="10"/>
        <v/>
      </c>
      <c r="M36" s="43" t="str">
        <f t="shared" si="10"/>
        <v/>
      </c>
      <c r="N36" s="43" t="str">
        <f t="shared" si="10"/>
        <v/>
      </c>
      <c r="O36" s="43" t="str">
        <f t="shared" si="10"/>
        <v/>
      </c>
      <c r="P36" s="43" t="str">
        <f t="shared" si="10"/>
        <v/>
      </c>
      <c r="Q36" s="43" t="str">
        <f t="shared" si="10"/>
        <v/>
      </c>
      <c r="R36" s="43" t="str">
        <f t="shared" si="11"/>
        <v/>
      </c>
      <c r="S36" s="43" t="str">
        <f t="shared" si="11"/>
        <v/>
      </c>
      <c r="T36" s="43" t="str">
        <f t="shared" si="11"/>
        <v/>
      </c>
      <c r="U36" s="43" t="str">
        <f t="shared" si="11"/>
        <v/>
      </c>
      <c r="V36" s="43" t="str">
        <f t="shared" si="11"/>
        <v/>
      </c>
      <c r="W36" s="43" t="str">
        <f t="shared" si="11"/>
        <v/>
      </c>
      <c r="X36" s="43" t="str">
        <f t="shared" si="11"/>
        <v/>
      </c>
      <c r="Y36" s="43" t="str">
        <f t="shared" si="11"/>
        <v/>
      </c>
      <c r="Z36" s="43" t="str">
        <f t="shared" si="11"/>
        <v/>
      </c>
      <c r="AA36" s="43" t="str">
        <f t="shared" si="11"/>
        <v/>
      </c>
      <c r="AB36" s="43" t="str">
        <f t="shared" si="12"/>
        <v/>
      </c>
      <c r="AC36" s="43" t="str">
        <f t="shared" si="12"/>
        <v/>
      </c>
      <c r="AD36" s="43" t="str">
        <f t="shared" si="12"/>
        <v/>
      </c>
      <c r="AE36" s="43" t="str">
        <f t="shared" si="12"/>
        <v/>
      </c>
      <c r="AF36" s="43" t="str">
        <f t="shared" si="12"/>
        <v/>
      </c>
      <c r="AG36" s="43" t="str">
        <f t="shared" si="12"/>
        <v/>
      </c>
      <c r="AH36" s="43" t="str">
        <f t="shared" si="12"/>
        <v/>
      </c>
      <c r="AI36" s="43" t="str">
        <f t="shared" si="12"/>
        <v/>
      </c>
      <c r="AJ36" s="43" t="str">
        <f t="shared" si="12"/>
        <v/>
      </c>
      <c r="AK36" s="43" t="str">
        <f t="shared" si="12"/>
        <v/>
      </c>
      <c r="AL36" s="43" t="str">
        <f t="shared" si="13"/>
        <v/>
      </c>
      <c r="AM36" s="43" t="str">
        <f t="shared" si="13"/>
        <v/>
      </c>
      <c r="AN36" s="43" t="str">
        <f t="shared" si="13"/>
        <v/>
      </c>
      <c r="AO36" s="43" t="str">
        <f t="shared" si="13"/>
        <v/>
      </c>
      <c r="AP36" s="43" t="str">
        <f t="shared" si="13"/>
        <v/>
      </c>
      <c r="AQ36" s="43" t="str">
        <f t="shared" si="13"/>
        <v/>
      </c>
      <c r="AR36" s="43" t="str">
        <f t="shared" si="13"/>
        <v/>
      </c>
      <c r="AS36" s="43" t="str">
        <f t="shared" si="13"/>
        <v/>
      </c>
      <c r="AT36" s="43" t="str">
        <f t="shared" si="13"/>
        <v/>
      </c>
      <c r="AU36" s="43" t="str">
        <f t="shared" si="13"/>
        <v/>
      </c>
      <c r="AV36" s="43" t="str">
        <f t="shared" si="14"/>
        <v/>
      </c>
      <c r="AW36" s="43" t="str">
        <f t="shared" si="14"/>
        <v/>
      </c>
      <c r="AX36" s="43" t="str">
        <f t="shared" si="14"/>
        <v/>
      </c>
      <c r="AY36" s="43" t="str">
        <f t="shared" si="14"/>
        <v/>
      </c>
      <c r="AZ36" s="43" t="str">
        <f t="shared" si="14"/>
        <v/>
      </c>
      <c r="BA36" s="43" t="str">
        <f t="shared" si="14"/>
        <v/>
      </c>
      <c r="BB36" s="43"/>
      <c r="BC36" s="43"/>
      <c r="BD36" s="43"/>
      <c r="BE36" s="43"/>
      <c r="BF36" s="43"/>
      <c r="BG36" s="43"/>
      <c r="BW36" s="1250"/>
    </row>
    <row r="37" spans="1:75" x14ac:dyDescent="0.25">
      <c r="A37" s="1251"/>
      <c r="B37" s="462">
        <v>31</v>
      </c>
      <c r="C37" s="462"/>
      <c r="D37" s="1244"/>
      <c r="E37" s="1050"/>
      <c r="F37" s="1244"/>
      <c r="H37" s="43" t="str">
        <f t="shared" ref="H37:Q46" si="15">IF($D37=H$6,$B37&amp;", ","")</f>
        <v/>
      </c>
      <c r="I37" s="43" t="str">
        <f t="shared" si="15"/>
        <v/>
      </c>
      <c r="J37" s="43" t="str">
        <f t="shared" si="15"/>
        <v/>
      </c>
      <c r="K37" s="43" t="str">
        <f t="shared" si="15"/>
        <v/>
      </c>
      <c r="L37" s="43" t="str">
        <f t="shared" si="15"/>
        <v/>
      </c>
      <c r="M37" s="43" t="str">
        <f t="shared" si="15"/>
        <v/>
      </c>
      <c r="N37" s="43" t="str">
        <f t="shared" si="15"/>
        <v/>
      </c>
      <c r="O37" s="43" t="str">
        <f t="shared" si="15"/>
        <v/>
      </c>
      <c r="P37" s="43" t="str">
        <f t="shared" si="15"/>
        <v/>
      </c>
      <c r="Q37" s="43" t="str">
        <f t="shared" si="15"/>
        <v/>
      </c>
      <c r="R37" s="43" t="str">
        <f t="shared" ref="R37:AA46" si="16">IF($D37=R$6,$B37&amp;", ","")</f>
        <v/>
      </c>
      <c r="S37" s="43" t="str">
        <f t="shared" si="16"/>
        <v/>
      </c>
      <c r="T37" s="43" t="str">
        <f t="shared" si="16"/>
        <v/>
      </c>
      <c r="U37" s="43" t="str">
        <f t="shared" si="16"/>
        <v/>
      </c>
      <c r="V37" s="43" t="str">
        <f t="shared" si="16"/>
        <v/>
      </c>
      <c r="W37" s="43" t="str">
        <f t="shared" si="16"/>
        <v/>
      </c>
      <c r="X37" s="43" t="str">
        <f t="shared" si="16"/>
        <v/>
      </c>
      <c r="Y37" s="43" t="str">
        <f t="shared" si="16"/>
        <v/>
      </c>
      <c r="Z37" s="43" t="str">
        <f t="shared" si="16"/>
        <v/>
      </c>
      <c r="AA37" s="43" t="str">
        <f t="shared" si="16"/>
        <v/>
      </c>
      <c r="AB37" s="43" t="str">
        <f t="shared" ref="AB37:AK46" si="17">IF($D37=AB$6,$B37&amp;", ","")</f>
        <v/>
      </c>
      <c r="AC37" s="43" t="str">
        <f t="shared" si="17"/>
        <v/>
      </c>
      <c r="AD37" s="43" t="str">
        <f t="shared" si="17"/>
        <v/>
      </c>
      <c r="AE37" s="43" t="str">
        <f t="shared" si="17"/>
        <v/>
      </c>
      <c r="AF37" s="43" t="str">
        <f t="shared" si="17"/>
        <v/>
      </c>
      <c r="AG37" s="43" t="str">
        <f t="shared" si="17"/>
        <v/>
      </c>
      <c r="AH37" s="43" t="str">
        <f t="shared" si="17"/>
        <v/>
      </c>
      <c r="AI37" s="43" t="str">
        <f t="shared" si="17"/>
        <v/>
      </c>
      <c r="AJ37" s="43" t="str">
        <f t="shared" si="17"/>
        <v/>
      </c>
      <c r="AK37" s="43" t="str">
        <f t="shared" si="17"/>
        <v/>
      </c>
      <c r="AL37" s="43" t="str">
        <f t="shared" ref="AL37:AU46" si="18">IF($D37=AL$6,$B37&amp;", ","")</f>
        <v/>
      </c>
      <c r="AM37" s="43" t="str">
        <f t="shared" si="18"/>
        <v/>
      </c>
      <c r="AN37" s="43" t="str">
        <f t="shared" si="18"/>
        <v/>
      </c>
      <c r="AO37" s="43" t="str">
        <f t="shared" si="18"/>
        <v/>
      </c>
      <c r="AP37" s="43" t="str">
        <f t="shared" si="18"/>
        <v/>
      </c>
      <c r="AQ37" s="43" t="str">
        <f t="shared" si="18"/>
        <v/>
      </c>
      <c r="AR37" s="43" t="str">
        <f t="shared" si="18"/>
        <v/>
      </c>
      <c r="AS37" s="43" t="str">
        <f t="shared" si="18"/>
        <v/>
      </c>
      <c r="AT37" s="43" t="str">
        <f t="shared" si="18"/>
        <v/>
      </c>
      <c r="AU37" s="43" t="str">
        <f t="shared" si="18"/>
        <v/>
      </c>
      <c r="AV37" s="43" t="str">
        <f t="shared" ref="AV37:BA46" si="19">IF($D37=AV$6,$B37&amp;", ","")</f>
        <v/>
      </c>
      <c r="AW37" s="43" t="str">
        <f t="shared" si="19"/>
        <v/>
      </c>
      <c r="AX37" s="43" t="str">
        <f t="shared" si="19"/>
        <v/>
      </c>
      <c r="AY37" s="43" t="str">
        <f t="shared" si="19"/>
        <v/>
      </c>
      <c r="AZ37" s="43" t="str">
        <f t="shared" si="19"/>
        <v/>
      </c>
      <c r="BA37" s="43" t="str">
        <f t="shared" si="19"/>
        <v/>
      </c>
      <c r="BB37" s="43"/>
      <c r="BC37" s="43"/>
      <c r="BD37" s="43"/>
      <c r="BE37" s="43"/>
      <c r="BF37" s="43"/>
      <c r="BG37" s="43"/>
      <c r="BW37" s="1250"/>
    </row>
    <row r="38" spans="1:75" x14ac:dyDescent="0.25">
      <c r="A38" s="1251"/>
      <c r="B38" s="462">
        <v>32</v>
      </c>
      <c r="C38" s="462"/>
      <c r="D38" s="1244"/>
      <c r="E38" s="1050"/>
      <c r="F38" s="1244"/>
      <c r="H38" s="43" t="str">
        <f t="shared" si="15"/>
        <v/>
      </c>
      <c r="I38" s="43" t="str">
        <f t="shared" si="15"/>
        <v/>
      </c>
      <c r="J38" s="43" t="str">
        <f t="shared" si="15"/>
        <v/>
      </c>
      <c r="K38" s="43" t="str">
        <f t="shared" si="15"/>
        <v/>
      </c>
      <c r="L38" s="43" t="str">
        <f t="shared" si="15"/>
        <v/>
      </c>
      <c r="M38" s="43" t="str">
        <f t="shared" si="15"/>
        <v/>
      </c>
      <c r="N38" s="43" t="str">
        <f t="shared" si="15"/>
        <v/>
      </c>
      <c r="O38" s="43" t="str">
        <f t="shared" si="15"/>
        <v/>
      </c>
      <c r="P38" s="43" t="str">
        <f t="shared" si="15"/>
        <v/>
      </c>
      <c r="Q38" s="43" t="str">
        <f t="shared" si="15"/>
        <v/>
      </c>
      <c r="R38" s="43" t="str">
        <f t="shared" si="16"/>
        <v/>
      </c>
      <c r="S38" s="43" t="str">
        <f t="shared" si="16"/>
        <v/>
      </c>
      <c r="T38" s="43" t="str">
        <f t="shared" si="16"/>
        <v/>
      </c>
      <c r="U38" s="43" t="str">
        <f t="shared" si="16"/>
        <v/>
      </c>
      <c r="V38" s="43" t="str">
        <f t="shared" si="16"/>
        <v/>
      </c>
      <c r="W38" s="43" t="str">
        <f t="shared" si="16"/>
        <v/>
      </c>
      <c r="X38" s="43" t="str">
        <f t="shared" si="16"/>
        <v/>
      </c>
      <c r="Y38" s="43" t="str">
        <f t="shared" si="16"/>
        <v/>
      </c>
      <c r="Z38" s="43" t="str">
        <f t="shared" si="16"/>
        <v/>
      </c>
      <c r="AA38" s="43" t="str">
        <f t="shared" si="16"/>
        <v/>
      </c>
      <c r="AB38" s="43" t="str">
        <f t="shared" si="17"/>
        <v/>
      </c>
      <c r="AC38" s="43" t="str">
        <f t="shared" si="17"/>
        <v/>
      </c>
      <c r="AD38" s="43" t="str">
        <f t="shared" si="17"/>
        <v/>
      </c>
      <c r="AE38" s="43" t="str">
        <f t="shared" si="17"/>
        <v/>
      </c>
      <c r="AF38" s="43" t="str">
        <f t="shared" si="17"/>
        <v/>
      </c>
      <c r="AG38" s="43" t="str">
        <f t="shared" si="17"/>
        <v/>
      </c>
      <c r="AH38" s="43" t="str">
        <f t="shared" si="17"/>
        <v/>
      </c>
      <c r="AI38" s="43" t="str">
        <f t="shared" si="17"/>
        <v/>
      </c>
      <c r="AJ38" s="43" t="str">
        <f t="shared" si="17"/>
        <v/>
      </c>
      <c r="AK38" s="43" t="str">
        <f t="shared" si="17"/>
        <v/>
      </c>
      <c r="AL38" s="43" t="str">
        <f t="shared" si="18"/>
        <v/>
      </c>
      <c r="AM38" s="43" t="str">
        <f t="shared" si="18"/>
        <v/>
      </c>
      <c r="AN38" s="43" t="str">
        <f t="shared" si="18"/>
        <v/>
      </c>
      <c r="AO38" s="43" t="str">
        <f t="shared" si="18"/>
        <v/>
      </c>
      <c r="AP38" s="43" t="str">
        <f t="shared" si="18"/>
        <v/>
      </c>
      <c r="AQ38" s="43" t="str">
        <f t="shared" si="18"/>
        <v/>
      </c>
      <c r="AR38" s="43" t="str">
        <f t="shared" si="18"/>
        <v/>
      </c>
      <c r="AS38" s="43" t="str">
        <f t="shared" si="18"/>
        <v/>
      </c>
      <c r="AT38" s="43" t="str">
        <f t="shared" si="18"/>
        <v/>
      </c>
      <c r="AU38" s="43" t="str">
        <f t="shared" si="18"/>
        <v/>
      </c>
      <c r="AV38" s="43" t="str">
        <f t="shared" si="19"/>
        <v/>
      </c>
      <c r="AW38" s="43" t="str">
        <f t="shared" si="19"/>
        <v/>
      </c>
      <c r="AX38" s="43" t="str">
        <f t="shared" si="19"/>
        <v/>
      </c>
      <c r="AY38" s="43" t="str">
        <f t="shared" si="19"/>
        <v/>
      </c>
      <c r="AZ38" s="43" t="str">
        <f t="shared" si="19"/>
        <v/>
      </c>
      <c r="BA38" s="43" t="str">
        <f t="shared" si="19"/>
        <v/>
      </c>
      <c r="BB38" s="43"/>
      <c r="BC38" s="43"/>
      <c r="BD38" s="43"/>
      <c r="BE38" s="43"/>
      <c r="BF38" s="43"/>
      <c r="BG38" s="43"/>
      <c r="BW38" s="1250"/>
    </row>
    <row r="39" spans="1:75" x14ac:dyDescent="0.25">
      <c r="A39" s="1251"/>
      <c r="B39" s="462">
        <v>33</v>
      </c>
      <c r="C39" s="462"/>
      <c r="D39" s="1244"/>
      <c r="E39" s="1050"/>
      <c r="F39" s="1244"/>
      <c r="H39" s="43" t="str">
        <f t="shared" si="15"/>
        <v/>
      </c>
      <c r="I39" s="43" t="str">
        <f t="shared" si="15"/>
        <v/>
      </c>
      <c r="J39" s="43" t="str">
        <f t="shared" si="15"/>
        <v/>
      </c>
      <c r="K39" s="43" t="str">
        <f t="shared" si="15"/>
        <v/>
      </c>
      <c r="L39" s="43" t="str">
        <f t="shared" si="15"/>
        <v/>
      </c>
      <c r="M39" s="43" t="str">
        <f t="shared" si="15"/>
        <v/>
      </c>
      <c r="N39" s="43" t="str">
        <f t="shared" si="15"/>
        <v/>
      </c>
      <c r="O39" s="43" t="str">
        <f t="shared" si="15"/>
        <v/>
      </c>
      <c r="P39" s="43" t="str">
        <f t="shared" si="15"/>
        <v/>
      </c>
      <c r="Q39" s="43" t="str">
        <f t="shared" si="15"/>
        <v/>
      </c>
      <c r="R39" s="43" t="str">
        <f t="shared" si="16"/>
        <v/>
      </c>
      <c r="S39" s="43" t="str">
        <f t="shared" si="16"/>
        <v/>
      </c>
      <c r="T39" s="43" t="str">
        <f t="shared" si="16"/>
        <v/>
      </c>
      <c r="U39" s="43" t="str">
        <f t="shared" si="16"/>
        <v/>
      </c>
      <c r="V39" s="43" t="str">
        <f t="shared" si="16"/>
        <v/>
      </c>
      <c r="W39" s="43" t="str">
        <f t="shared" si="16"/>
        <v/>
      </c>
      <c r="X39" s="43" t="str">
        <f t="shared" si="16"/>
        <v/>
      </c>
      <c r="Y39" s="43" t="str">
        <f t="shared" si="16"/>
        <v/>
      </c>
      <c r="Z39" s="43" t="str">
        <f t="shared" si="16"/>
        <v/>
      </c>
      <c r="AA39" s="43" t="str">
        <f t="shared" si="16"/>
        <v/>
      </c>
      <c r="AB39" s="43" t="str">
        <f t="shared" si="17"/>
        <v/>
      </c>
      <c r="AC39" s="43" t="str">
        <f t="shared" si="17"/>
        <v/>
      </c>
      <c r="AD39" s="43" t="str">
        <f t="shared" si="17"/>
        <v/>
      </c>
      <c r="AE39" s="43" t="str">
        <f t="shared" si="17"/>
        <v/>
      </c>
      <c r="AF39" s="43" t="str">
        <f t="shared" si="17"/>
        <v/>
      </c>
      <c r="AG39" s="43" t="str">
        <f t="shared" si="17"/>
        <v/>
      </c>
      <c r="AH39" s="43" t="str">
        <f t="shared" si="17"/>
        <v/>
      </c>
      <c r="AI39" s="43" t="str">
        <f t="shared" si="17"/>
        <v/>
      </c>
      <c r="AJ39" s="43" t="str">
        <f t="shared" si="17"/>
        <v/>
      </c>
      <c r="AK39" s="43" t="str">
        <f t="shared" si="17"/>
        <v/>
      </c>
      <c r="AL39" s="43" t="str">
        <f t="shared" si="18"/>
        <v/>
      </c>
      <c r="AM39" s="43" t="str">
        <f t="shared" si="18"/>
        <v/>
      </c>
      <c r="AN39" s="43" t="str">
        <f t="shared" si="18"/>
        <v/>
      </c>
      <c r="AO39" s="43" t="str">
        <f t="shared" si="18"/>
        <v/>
      </c>
      <c r="AP39" s="43" t="str">
        <f t="shared" si="18"/>
        <v/>
      </c>
      <c r="AQ39" s="43" t="str">
        <f t="shared" si="18"/>
        <v/>
      </c>
      <c r="AR39" s="43" t="str">
        <f t="shared" si="18"/>
        <v/>
      </c>
      <c r="AS39" s="43" t="str">
        <f t="shared" si="18"/>
        <v/>
      </c>
      <c r="AT39" s="43" t="str">
        <f t="shared" si="18"/>
        <v/>
      </c>
      <c r="AU39" s="43" t="str">
        <f t="shared" si="18"/>
        <v/>
      </c>
      <c r="AV39" s="43" t="str">
        <f t="shared" si="19"/>
        <v/>
      </c>
      <c r="AW39" s="43" t="str">
        <f t="shared" si="19"/>
        <v/>
      </c>
      <c r="AX39" s="43" t="str">
        <f t="shared" si="19"/>
        <v/>
      </c>
      <c r="AY39" s="43" t="str">
        <f t="shared" si="19"/>
        <v/>
      </c>
      <c r="AZ39" s="43" t="str">
        <f t="shared" si="19"/>
        <v/>
      </c>
      <c r="BA39" s="43" t="str">
        <f t="shared" si="19"/>
        <v/>
      </c>
      <c r="BB39" s="43"/>
      <c r="BC39" s="43"/>
      <c r="BD39" s="43"/>
      <c r="BE39" s="43"/>
      <c r="BF39" s="43"/>
      <c r="BG39" s="43"/>
      <c r="BW39" s="1250"/>
    </row>
    <row r="40" spans="1:75" x14ac:dyDescent="0.25">
      <c r="A40" s="1251"/>
      <c r="B40" s="462">
        <v>34</v>
      </c>
      <c r="C40" s="462"/>
      <c r="D40" s="1244"/>
      <c r="E40" s="1050"/>
      <c r="F40" s="1244"/>
      <c r="H40" s="43" t="str">
        <f t="shared" si="15"/>
        <v/>
      </c>
      <c r="I40" s="43" t="str">
        <f t="shared" si="15"/>
        <v/>
      </c>
      <c r="J40" s="43" t="str">
        <f t="shared" si="15"/>
        <v/>
      </c>
      <c r="K40" s="43" t="str">
        <f t="shared" si="15"/>
        <v/>
      </c>
      <c r="L40" s="43" t="str">
        <f t="shared" si="15"/>
        <v/>
      </c>
      <c r="M40" s="43" t="str">
        <f t="shared" si="15"/>
        <v/>
      </c>
      <c r="N40" s="43" t="str">
        <f t="shared" si="15"/>
        <v/>
      </c>
      <c r="O40" s="43" t="str">
        <f t="shared" si="15"/>
        <v/>
      </c>
      <c r="P40" s="43" t="str">
        <f t="shared" si="15"/>
        <v/>
      </c>
      <c r="Q40" s="43" t="str">
        <f t="shared" si="15"/>
        <v/>
      </c>
      <c r="R40" s="43" t="str">
        <f t="shared" si="16"/>
        <v/>
      </c>
      <c r="S40" s="43" t="str">
        <f t="shared" si="16"/>
        <v/>
      </c>
      <c r="T40" s="43" t="str">
        <f t="shared" si="16"/>
        <v/>
      </c>
      <c r="U40" s="43" t="str">
        <f t="shared" si="16"/>
        <v/>
      </c>
      <c r="V40" s="43" t="str">
        <f t="shared" si="16"/>
        <v/>
      </c>
      <c r="W40" s="43" t="str">
        <f t="shared" si="16"/>
        <v/>
      </c>
      <c r="X40" s="43" t="str">
        <f t="shared" si="16"/>
        <v/>
      </c>
      <c r="Y40" s="43" t="str">
        <f t="shared" si="16"/>
        <v/>
      </c>
      <c r="Z40" s="43" t="str">
        <f t="shared" si="16"/>
        <v/>
      </c>
      <c r="AA40" s="43" t="str">
        <f t="shared" si="16"/>
        <v/>
      </c>
      <c r="AB40" s="43" t="str">
        <f t="shared" si="17"/>
        <v/>
      </c>
      <c r="AC40" s="43" t="str">
        <f t="shared" si="17"/>
        <v/>
      </c>
      <c r="AD40" s="43" t="str">
        <f t="shared" si="17"/>
        <v/>
      </c>
      <c r="AE40" s="43" t="str">
        <f t="shared" si="17"/>
        <v/>
      </c>
      <c r="AF40" s="43" t="str">
        <f t="shared" si="17"/>
        <v/>
      </c>
      <c r="AG40" s="43" t="str">
        <f t="shared" si="17"/>
        <v/>
      </c>
      <c r="AH40" s="43" t="str">
        <f t="shared" si="17"/>
        <v/>
      </c>
      <c r="AI40" s="43" t="str">
        <f t="shared" si="17"/>
        <v/>
      </c>
      <c r="AJ40" s="43" t="str">
        <f t="shared" si="17"/>
        <v/>
      </c>
      <c r="AK40" s="43" t="str">
        <f t="shared" si="17"/>
        <v/>
      </c>
      <c r="AL40" s="43" t="str">
        <f t="shared" si="18"/>
        <v/>
      </c>
      <c r="AM40" s="43" t="str">
        <f t="shared" si="18"/>
        <v/>
      </c>
      <c r="AN40" s="43" t="str">
        <f t="shared" si="18"/>
        <v/>
      </c>
      <c r="AO40" s="43" t="str">
        <f t="shared" si="18"/>
        <v/>
      </c>
      <c r="AP40" s="43" t="str">
        <f t="shared" si="18"/>
        <v/>
      </c>
      <c r="AQ40" s="43" t="str">
        <f t="shared" si="18"/>
        <v/>
      </c>
      <c r="AR40" s="43" t="str">
        <f t="shared" si="18"/>
        <v/>
      </c>
      <c r="AS40" s="43" t="str">
        <f t="shared" si="18"/>
        <v/>
      </c>
      <c r="AT40" s="43" t="str">
        <f t="shared" si="18"/>
        <v/>
      </c>
      <c r="AU40" s="43" t="str">
        <f t="shared" si="18"/>
        <v/>
      </c>
      <c r="AV40" s="43" t="str">
        <f t="shared" si="19"/>
        <v/>
      </c>
      <c r="AW40" s="43" t="str">
        <f t="shared" si="19"/>
        <v/>
      </c>
      <c r="AX40" s="43" t="str">
        <f t="shared" si="19"/>
        <v/>
      </c>
      <c r="AY40" s="43" t="str">
        <f t="shared" si="19"/>
        <v/>
      </c>
      <c r="AZ40" s="43" t="str">
        <f t="shared" si="19"/>
        <v/>
      </c>
      <c r="BA40" s="43" t="str">
        <f t="shared" si="19"/>
        <v/>
      </c>
      <c r="BB40" s="43"/>
      <c r="BC40" s="43"/>
      <c r="BD40" s="43"/>
      <c r="BE40" s="43"/>
      <c r="BF40" s="43"/>
      <c r="BG40" s="43"/>
      <c r="BW40" s="1250"/>
    </row>
    <row r="41" spans="1:75" x14ac:dyDescent="0.25">
      <c r="A41" s="1251"/>
      <c r="B41" s="462">
        <v>35</v>
      </c>
      <c r="C41" s="462"/>
      <c r="D41" s="1244"/>
      <c r="E41" s="1050"/>
      <c r="F41" s="1244"/>
      <c r="H41" s="43" t="str">
        <f t="shared" si="15"/>
        <v/>
      </c>
      <c r="I41" s="43" t="str">
        <f t="shared" si="15"/>
        <v/>
      </c>
      <c r="J41" s="43" t="str">
        <f t="shared" si="15"/>
        <v/>
      </c>
      <c r="K41" s="43" t="str">
        <f t="shared" si="15"/>
        <v/>
      </c>
      <c r="L41" s="43" t="str">
        <f t="shared" si="15"/>
        <v/>
      </c>
      <c r="M41" s="43" t="str">
        <f t="shared" si="15"/>
        <v/>
      </c>
      <c r="N41" s="43" t="str">
        <f t="shared" si="15"/>
        <v/>
      </c>
      <c r="O41" s="43" t="str">
        <f t="shared" si="15"/>
        <v/>
      </c>
      <c r="P41" s="43" t="str">
        <f t="shared" si="15"/>
        <v/>
      </c>
      <c r="Q41" s="43" t="str">
        <f t="shared" si="15"/>
        <v/>
      </c>
      <c r="R41" s="43" t="str">
        <f t="shared" si="16"/>
        <v/>
      </c>
      <c r="S41" s="43" t="str">
        <f t="shared" si="16"/>
        <v/>
      </c>
      <c r="T41" s="43" t="str">
        <f t="shared" si="16"/>
        <v/>
      </c>
      <c r="U41" s="43" t="str">
        <f t="shared" si="16"/>
        <v/>
      </c>
      <c r="V41" s="43" t="str">
        <f t="shared" si="16"/>
        <v/>
      </c>
      <c r="W41" s="43" t="str">
        <f t="shared" si="16"/>
        <v/>
      </c>
      <c r="X41" s="43" t="str">
        <f t="shared" si="16"/>
        <v/>
      </c>
      <c r="Y41" s="43" t="str">
        <f t="shared" si="16"/>
        <v/>
      </c>
      <c r="Z41" s="43" t="str">
        <f t="shared" si="16"/>
        <v/>
      </c>
      <c r="AA41" s="43" t="str">
        <f t="shared" si="16"/>
        <v/>
      </c>
      <c r="AB41" s="43" t="str">
        <f t="shared" si="17"/>
        <v/>
      </c>
      <c r="AC41" s="43" t="str">
        <f t="shared" si="17"/>
        <v/>
      </c>
      <c r="AD41" s="43" t="str">
        <f t="shared" si="17"/>
        <v/>
      </c>
      <c r="AE41" s="43" t="str">
        <f t="shared" si="17"/>
        <v/>
      </c>
      <c r="AF41" s="43" t="str">
        <f t="shared" si="17"/>
        <v/>
      </c>
      <c r="AG41" s="43" t="str">
        <f t="shared" si="17"/>
        <v/>
      </c>
      <c r="AH41" s="43" t="str">
        <f t="shared" si="17"/>
        <v/>
      </c>
      <c r="AI41" s="43" t="str">
        <f t="shared" si="17"/>
        <v/>
      </c>
      <c r="AJ41" s="43" t="str">
        <f t="shared" si="17"/>
        <v/>
      </c>
      <c r="AK41" s="43" t="str">
        <f t="shared" si="17"/>
        <v/>
      </c>
      <c r="AL41" s="43" t="str">
        <f t="shared" si="18"/>
        <v/>
      </c>
      <c r="AM41" s="43" t="str">
        <f t="shared" si="18"/>
        <v/>
      </c>
      <c r="AN41" s="43" t="str">
        <f t="shared" si="18"/>
        <v/>
      </c>
      <c r="AO41" s="43" t="str">
        <f t="shared" si="18"/>
        <v/>
      </c>
      <c r="AP41" s="43" t="str">
        <f t="shared" si="18"/>
        <v/>
      </c>
      <c r="AQ41" s="43" t="str">
        <f t="shared" si="18"/>
        <v/>
      </c>
      <c r="AR41" s="43" t="str">
        <f t="shared" si="18"/>
        <v/>
      </c>
      <c r="AS41" s="43" t="str">
        <f t="shared" si="18"/>
        <v/>
      </c>
      <c r="AT41" s="43" t="str">
        <f t="shared" si="18"/>
        <v/>
      </c>
      <c r="AU41" s="43" t="str">
        <f t="shared" si="18"/>
        <v/>
      </c>
      <c r="AV41" s="43" t="str">
        <f t="shared" si="19"/>
        <v/>
      </c>
      <c r="AW41" s="43" t="str">
        <f t="shared" si="19"/>
        <v/>
      </c>
      <c r="AX41" s="43" t="str">
        <f t="shared" si="19"/>
        <v/>
      </c>
      <c r="AY41" s="43" t="str">
        <f t="shared" si="19"/>
        <v/>
      </c>
      <c r="AZ41" s="43" t="str">
        <f t="shared" si="19"/>
        <v/>
      </c>
      <c r="BA41" s="43" t="str">
        <f t="shared" si="19"/>
        <v/>
      </c>
      <c r="BB41" s="43"/>
      <c r="BC41" s="43"/>
      <c r="BD41" s="43"/>
      <c r="BE41" s="43"/>
      <c r="BF41" s="43"/>
      <c r="BG41" s="43"/>
      <c r="BW41" s="1250"/>
    </row>
    <row r="42" spans="1:75" x14ac:dyDescent="0.25">
      <c r="A42" s="1251"/>
      <c r="B42" s="462">
        <v>36</v>
      </c>
      <c r="C42" s="462"/>
      <c r="D42" s="1244"/>
      <c r="E42" s="1050"/>
      <c r="F42" s="1244"/>
      <c r="H42" s="43" t="str">
        <f t="shared" si="15"/>
        <v/>
      </c>
      <c r="I42" s="43" t="str">
        <f t="shared" si="15"/>
        <v/>
      </c>
      <c r="J42" s="43" t="str">
        <f t="shared" si="15"/>
        <v/>
      </c>
      <c r="K42" s="43" t="str">
        <f t="shared" si="15"/>
        <v/>
      </c>
      <c r="L42" s="43" t="str">
        <f t="shared" si="15"/>
        <v/>
      </c>
      <c r="M42" s="43" t="str">
        <f t="shared" si="15"/>
        <v/>
      </c>
      <c r="N42" s="43" t="str">
        <f t="shared" si="15"/>
        <v/>
      </c>
      <c r="O42" s="43" t="str">
        <f t="shared" si="15"/>
        <v/>
      </c>
      <c r="P42" s="43" t="str">
        <f t="shared" si="15"/>
        <v/>
      </c>
      <c r="Q42" s="43" t="str">
        <f t="shared" si="15"/>
        <v/>
      </c>
      <c r="R42" s="43" t="str">
        <f t="shared" si="16"/>
        <v/>
      </c>
      <c r="S42" s="43" t="str">
        <f t="shared" si="16"/>
        <v/>
      </c>
      <c r="T42" s="43" t="str">
        <f t="shared" si="16"/>
        <v/>
      </c>
      <c r="U42" s="43" t="str">
        <f t="shared" si="16"/>
        <v/>
      </c>
      <c r="V42" s="43" t="str">
        <f t="shared" si="16"/>
        <v/>
      </c>
      <c r="W42" s="43" t="str">
        <f t="shared" si="16"/>
        <v/>
      </c>
      <c r="X42" s="43" t="str">
        <f t="shared" si="16"/>
        <v/>
      </c>
      <c r="Y42" s="43" t="str">
        <f t="shared" si="16"/>
        <v/>
      </c>
      <c r="Z42" s="43" t="str">
        <f t="shared" si="16"/>
        <v/>
      </c>
      <c r="AA42" s="43" t="str">
        <f t="shared" si="16"/>
        <v/>
      </c>
      <c r="AB42" s="43" t="str">
        <f t="shared" si="17"/>
        <v/>
      </c>
      <c r="AC42" s="43" t="str">
        <f t="shared" si="17"/>
        <v/>
      </c>
      <c r="AD42" s="43" t="str">
        <f t="shared" si="17"/>
        <v/>
      </c>
      <c r="AE42" s="43" t="str">
        <f t="shared" si="17"/>
        <v/>
      </c>
      <c r="AF42" s="43" t="str">
        <f t="shared" si="17"/>
        <v/>
      </c>
      <c r="AG42" s="43" t="str">
        <f t="shared" si="17"/>
        <v/>
      </c>
      <c r="AH42" s="43" t="str">
        <f t="shared" si="17"/>
        <v/>
      </c>
      <c r="AI42" s="43" t="str">
        <f t="shared" si="17"/>
        <v/>
      </c>
      <c r="AJ42" s="43" t="str">
        <f t="shared" si="17"/>
        <v/>
      </c>
      <c r="AK42" s="43" t="str">
        <f t="shared" si="17"/>
        <v/>
      </c>
      <c r="AL42" s="43" t="str">
        <f t="shared" si="18"/>
        <v/>
      </c>
      <c r="AM42" s="43" t="str">
        <f t="shared" si="18"/>
        <v/>
      </c>
      <c r="AN42" s="43" t="str">
        <f t="shared" si="18"/>
        <v/>
      </c>
      <c r="AO42" s="43" t="str">
        <f t="shared" si="18"/>
        <v/>
      </c>
      <c r="AP42" s="43" t="str">
        <f t="shared" si="18"/>
        <v/>
      </c>
      <c r="AQ42" s="43" t="str">
        <f t="shared" si="18"/>
        <v/>
      </c>
      <c r="AR42" s="43" t="str">
        <f t="shared" si="18"/>
        <v/>
      </c>
      <c r="AS42" s="43" t="str">
        <f t="shared" si="18"/>
        <v/>
      </c>
      <c r="AT42" s="43" t="str">
        <f t="shared" si="18"/>
        <v/>
      </c>
      <c r="AU42" s="43" t="str">
        <f t="shared" si="18"/>
        <v/>
      </c>
      <c r="AV42" s="43" t="str">
        <f t="shared" si="19"/>
        <v/>
      </c>
      <c r="AW42" s="43" t="str">
        <f t="shared" si="19"/>
        <v/>
      </c>
      <c r="AX42" s="43" t="str">
        <f t="shared" si="19"/>
        <v/>
      </c>
      <c r="AY42" s="43" t="str">
        <f t="shared" si="19"/>
        <v/>
      </c>
      <c r="AZ42" s="43" t="str">
        <f t="shared" si="19"/>
        <v/>
      </c>
      <c r="BA42" s="43" t="str">
        <f t="shared" si="19"/>
        <v/>
      </c>
      <c r="BB42" s="43"/>
      <c r="BC42" s="43"/>
      <c r="BD42" s="43"/>
      <c r="BE42" s="43"/>
      <c r="BF42" s="43"/>
      <c r="BG42" s="43"/>
      <c r="BW42" s="1250"/>
    </row>
    <row r="43" spans="1:75" x14ac:dyDescent="0.25">
      <c r="A43" s="1251"/>
      <c r="B43" s="462">
        <v>37</v>
      </c>
      <c r="C43" s="462"/>
      <c r="D43" s="1244"/>
      <c r="E43" s="1050"/>
      <c r="F43" s="1244"/>
      <c r="H43" s="43" t="str">
        <f t="shared" si="15"/>
        <v/>
      </c>
      <c r="I43" s="43" t="str">
        <f t="shared" si="15"/>
        <v/>
      </c>
      <c r="J43" s="43" t="str">
        <f t="shared" si="15"/>
        <v/>
      </c>
      <c r="K43" s="43" t="str">
        <f t="shared" si="15"/>
        <v/>
      </c>
      <c r="L43" s="43" t="str">
        <f t="shared" si="15"/>
        <v/>
      </c>
      <c r="M43" s="43" t="str">
        <f t="shared" si="15"/>
        <v/>
      </c>
      <c r="N43" s="43" t="str">
        <f t="shared" si="15"/>
        <v/>
      </c>
      <c r="O43" s="43" t="str">
        <f t="shared" si="15"/>
        <v/>
      </c>
      <c r="P43" s="43" t="str">
        <f t="shared" si="15"/>
        <v/>
      </c>
      <c r="Q43" s="43" t="str">
        <f t="shared" si="15"/>
        <v/>
      </c>
      <c r="R43" s="43" t="str">
        <f t="shared" si="16"/>
        <v/>
      </c>
      <c r="S43" s="43" t="str">
        <f t="shared" si="16"/>
        <v/>
      </c>
      <c r="T43" s="43" t="str">
        <f t="shared" si="16"/>
        <v/>
      </c>
      <c r="U43" s="43" t="str">
        <f t="shared" si="16"/>
        <v/>
      </c>
      <c r="V43" s="43" t="str">
        <f t="shared" si="16"/>
        <v/>
      </c>
      <c r="W43" s="43" t="str">
        <f t="shared" si="16"/>
        <v/>
      </c>
      <c r="X43" s="43" t="str">
        <f t="shared" si="16"/>
        <v/>
      </c>
      <c r="Y43" s="43" t="str">
        <f t="shared" si="16"/>
        <v/>
      </c>
      <c r="Z43" s="43" t="str">
        <f t="shared" si="16"/>
        <v/>
      </c>
      <c r="AA43" s="43" t="str">
        <f t="shared" si="16"/>
        <v/>
      </c>
      <c r="AB43" s="43" t="str">
        <f t="shared" si="17"/>
        <v/>
      </c>
      <c r="AC43" s="43" t="str">
        <f t="shared" si="17"/>
        <v/>
      </c>
      <c r="AD43" s="43" t="str">
        <f t="shared" si="17"/>
        <v/>
      </c>
      <c r="AE43" s="43" t="str">
        <f t="shared" si="17"/>
        <v/>
      </c>
      <c r="AF43" s="43" t="str">
        <f t="shared" si="17"/>
        <v/>
      </c>
      <c r="AG43" s="43" t="str">
        <f t="shared" si="17"/>
        <v/>
      </c>
      <c r="AH43" s="43" t="str">
        <f t="shared" si="17"/>
        <v/>
      </c>
      <c r="AI43" s="43" t="str">
        <f t="shared" si="17"/>
        <v/>
      </c>
      <c r="AJ43" s="43" t="str">
        <f t="shared" si="17"/>
        <v/>
      </c>
      <c r="AK43" s="43" t="str">
        <f t="shared" si="17"/>
        <v/>
      </c>
      <c r="AL43" s="43" t="str">
        <f t="shared" si="18"/>
        <v/>
      </c>
      <c r="AM43" s="43" t="str">
        <f t="shared" si="18"/>
        <v/>
      </c>
      <c r="AN43" s="43" t="str">
        <f t="shared" si="18"/>
        <v/>
      </c>
      <c r="AO43" s="43" t="str">
        <f t="shared" si="18"/>
        <v/>
      </c>
      <c r="AP43" s="43" t="str">
        <f t="shared" si="18"/>
        <v/>
      </c>
      <c r="AQ43" s="43" t="str">
        <f t="shared" si="18"/>
        <v/>
      </c>
      <c r="AR43" s="43" t="str">
        <f t="shared" si="18"/>
        <v/>
      </c>
      <c r="AS43" s="43" t="str">
        <f t="shared" si="18"/>
        <v/>
      </c>
      <c r="AT43" s="43" t="str">
        <f t="shared" si="18"/>
        <v/>
      </c>
      <c r="AU43" s="43" t="str">
        <f t="shared" si="18"/>
        <v/>
      </c>
      <c r="AV43" s="43" t="str">
        <f t="shared" si="19"/>
        <v/>
      </c>
      <c r="AW43" s="43" t="str">
        <f t="shared" si="19"/>
        <v/>
      </c>
      <c r="AX43" s="43" t="str">
        <f t="shared" si="19"/>
        <v/>
      </c>
      <c r="AY43" s="43" t="str">
        <f t="shared" si="19"/>
        <v/>
      </c>
      <c r="AZ43" s="43" t="str">
        <f t="shared" si="19"/>
        <v/>
      </c>
      <c r="BA43" s="43" t="str">
        <f t="shared" si="19"/>
        <v/>
      </c>
      <c r="BB43" s="43"/>
      <c r="BC43" s="43"/>
      <c r="BD43" s="43"/>
      <c r="BE43" s="43"/>
      <c r="BF43" s="43"/>
      <c r="BG43" s="43"/>
      <c r="BW43" s="1250"/>
    </row>
    <row r="44" spans="1:75" x14ac:dyDescent="0.25">
      <c r="A44" s="1251"/>
      <c r="B44" s="462">
        <v>38</v>
      </c>
      <c r="C44" s="462"/>
      <c r="D44" s="1244"/>
      <c r="E44" s="1050"/>
      <c r="F44" s="1244"/>
      <c r="H44" s="43" t="str">
        <f t="shared" si="15"/>
        <v/>
      </c>
      <c r="I44" s="43" t="str">
        <f t="shared" si="15"/>
        <v/>
      </c>
      <c r="J44" s="43" t="str">
        <f t="shared" si="15"/>
        <v/>
      </c>
      <c r="K44" s="43" t="str">
        <f t="shared" si="15"/>
        <v/>
      </c>
      <c r="L44" s="43" t="str">
        <f t="shared" si="15"/>
        <v/>
      </c>
      <c r="M44" s="43" t="str">
        <f t="shared" si="15"/>
        <v/>
      </c>
      <c r="N44" s="43" t="str">
        <f t="shared" si="15"/>
        <v/>
      </c>
      <c r="O44" s="43" t="str">
        <f t="shared" si="15"/>
        <v/>
      </c>
      <c r="P44" s="43" t="str">
        <f t="shared" si="15"/>
        <v/>
      </c>
      <c r="Q44" s="43" t="str">
        <f t="shared" si="15"/>
        <v/>
      </c>
      <c r="R44" s="43" t="str">
        <f t="shared" si="16"/>
        <v/>
      </c>
      <c r="S44" s="43" t="str">
        <f t="shared" si="16"/>
        <v/>
      </c>
      <c r="T44" s="43" t="str">
        <f t="shared" si="16"/>
        <v/>
      </c>
      <c r="U44" s="43" t="str">
        <f t="shared" si="16"/>
        <v/>
      </c>
      <c r="V44" s="43" t="str">
        <f t="shared" si="16"/>
        <v/>
      </c>
      <c r="W44" s="43" t="str">
        <f t="shared" si="16"/>
        <v/>
      </c>
      <c r="X44" s="43" t="str">
        <f t="shared" si="16"/>
        <v/>
      </c>
      <c r="Y44" s="43" t="str">
        <f t="shared" si="16"/>
        <v/>
      </c>
      <c r="Z44" s="43" t="str">
        <f t="shared" si="16"/>
        <v/>
      </c>
      <c r="AA44" s="43" t="str">
        <f t="shared" si="16"/>
        <v/>
      </c>
      <c r="AB44" s="43" t="str">
        <f t="shared" si="17"/>
        <v/>
      </c>
      <c r="AC44" s="43" t="str">
        <f t="shared" si="17"/>
        <v/>
      </c>
      <c r="AD44" s="43" t="str">
        <f t="shared" si="17"/>
        <v/>
      </c>
      <c r="AE44" s="43" t="str">
        <f t="shared" si="17"/>
        <v/>
      </c>
      <c r="AF44" s="43" t="str">
        <f t="shared" si="17"/>
        <v/>
      </c>
      <c r="AG44" s="43" t="str">
        <f t="shared" si="17"/>
        <v/>
      </c>
      <c r="AH44" s="43" t="str">
        <f t="shared" si="17"/>
        <v/>
      </c>
      <c r="AI44" s="43" t="str">
        <f t="shared" si="17"/>
        <v/>
      </c>
      <c r="AJ44" s="43" t="str">
        <f t="shared" si="17"/>
        <v/>
      </c>
      <c r="AK44" s="43" t="str">
        <f t="shared" si="17"/>
        <v/>
      </c>
      <c r="AL44" s="43" t="str">
        <f t="shared" si="18"/>
        <v/>
      </c>
      <c r="AM44" s="43" t="str">
        <f t="shared" si="18"/>
        <v/>
      </c>
      <c r="AN44" s="43" t="str">
        <f t="shared" si="18"/>
        <v/>
      </c>
      <c r="AO44" s="43" t="str">
        <f t="shared" si="18"/>
        <v/>
      </c>
      <c r="AP44" s="43" t="str">
        <f t="shared" si="18"/>
        <v/>
      </c>
      <c r="AQ44" s="43" t="str">
        <f t="shared" si="18"/>
        <v/>
      </c>
      <c r="AR44" s="43" t="str">
        <f t="shared" si="18"/>
        <v/>
      </c>
      <c r="AS44" s="43" t="str">
        <f t="shared" si="18"/>
        <v/>
      </c>
      <c r="AT44" s="43" t="str">
        <f t="shared" si="18"/>
        <v/>
      </c>
      <c r="AU44" s="43" t="str">
        <f t="shared" si="18"/>
        <v/>
      </c>
      <c r="AV44" s="43" t="str">
        <f t="shared" si="19"/>
        <v/>
      </c>
      <c r="AW44" s="43" t="str">
        <f t="shared" si="19"/>
        <v/>
      </c>
      <c r="AX44" s="43" t="str">
        <f t="shared" si="19"/>
        <v/>
      </c>
      <c r="AY44" s="43" t="str">
        <f t="shared" si="19"/>
        <v/>
      </c>
      <c r="AZ44" s="43" t="str">
        <f t="shared" si="19"/>
        <v/>
      </c>
      <c r="BA44" s="43" t="str">
        <f t="shared" si="19"/>
        <v/>
      </c>
      <c r="BB44" s="43"/>
      <c r="BC44" s="43"/>
      <c r="BD44" s="43"/>
      <c r="BE44" s="43"/>
      <c r="BF44" s="43"/>
      <c r="BG44" s="43"/>
      <c r="BW44" s="1250"/>
    </row>
    <row r="45" spans="1:75" x14ac:dyDescent="0.25">
      <c r="A45" s="1251"/>
      <c r="B45" s="462">
        <v>39</v>
      </c>
      <c r="C45" s="462"/>
      <c r="D45" s="1244"/>
      <c r="E45" s="1050"/>
      <c r="F45" s="1244"/>
      <c r="H45" s="43" t="str">
        <f t="shared" si="15"/>
        <v/>
      </c>
      <c r="I45" s="43" t="str">
        <f t="shared" si="15"/>
        <v/>
      </c>
      <c r="J45" s="43" t="str">
        <f t="shared" si="15"/>
        <v/>
      </c>
      <c r="K45" s="43" t="str">
        <f t="shared" si="15"/>
        <v/>
      </c>
      <c r="L45" s="43" t="str">
        <f t="shared" si="15"/>
        <v/>
      </c>
      <c r="M45" s="43" t="str">
        <f t="shared" si="15"/>
        <v/>
      </c>
      <c r="N45" s="43" t="str">
        <f t="shared" si="15"/>
        <v/>
      </c>
      <c r="O45" s="43" t="str">
        <f t="shared" si="15"/>
        <v/>
      </c>
      <c r="P45" s="43" t="str">
        <f t="shared" si="15"/>
        <v/>
      </c>
      <c r="Q45" s="43" t="str">
        <f t="shared" si="15"/>
        <v/>
      </c>
      <c r="R45" s="43" t="str">
        <f t="shared" si="16"/>
        <v/>
      </c>
      <c r="S45" s="43" t="str">
        <f t="shared" si="16"/>
        <v/>
      </c>
      <c r="T45" s="43" t="str">
        <f t="shared" si="16"/>
        <v/>
      </c>
      <c r="U45" s="43" t="str">
        <f t="shared" si="16"/>
        <v/>
      </c>
      <c r="V45" s="43" t="str">
        <f t="shared" si="16"/>
        <v/>
      </c>
      <c r="W45" s="43" t="str">
        <f t="shared" si="16"/>
        <v/>
      </c>
      <c r="X45" s="43" t="str">
        <f t="shared" si="16"/>
        <v/>
      </c>
      <c r="Y45" s="43" t="str">
        <f t="shared" si="16"/>
        <v/>
      </c>
      <c r="Z45" s="43" t="str">
        <f t="shared" si="16"/>
        <v/>
      </c>
      <c r="AA45" s="43" t="str">
        <f t="shared" si="16"/>
        <v/>
      </c>
      <c r="AB45" s="43" t="str">
        <f t="shared" si="17"/>
        <v/>
      </c>
      <c r="AC45" s="43" t="str">
        <f t="shared" si="17"/>
        <v/>
      </c>
      <c r="AD45" s="43" t="str">
        <f t="shared" si="17"/>
        <v/>
      </c>
      <c r="AE45" s="43" t="str">
        <f t="shared" si="17"/>
        <v/>
      </c>
      <c r="AF45" s="43" t="str">
        <f t="shared" si="17"/>
        <v/>
      </c>
      <c r="AG45" s="43" t="str">
        <f t="shared" si="17"/>
        <v/>
      </c>
      <c r="AH45" s="43" t="str">
        <f t="shared" si="17"/>
        <v/>
      </c>
      <c r="AI45" s="43" t="str">
        <f t="shared" si="17"/>
        <v/>
      </c>
      <c r="AJ45" s="43" t="str">
        <f t="shared" si="17"/>
        <v/>
      </c>
      <c r="AK45" s="43" t="str">
        <f t="shared" si="17"/>
        <v/>
      </c>
      <c r="AL45" s="43" t="str">
        <f t="shared" si="18"/>
        <v/>
      </c>
      <c r="AM45" s="43" t="str">
        <f t="shared" si="18"/>
        <v/>
      </c>
      <c r="AN45" s="43" t="str">
        <f t="shared" si="18"/>
        <v/>
      </c>
      <c r="AO45" s="43" t="str">
        <f t="shared" si="18"/>
        <v/>
      </c>
      <c r="AP45" s="43" t="str">
        <f t="shared" si="18"/>
        <v/>
      </c>
      <c r="AQ45" s="43" t="str">
        <f t="shared" si="18"/>
        <v/>
      </c>
      <c r="AR45" s="43" t="str">
        <f t="shared" si="18"/>
        <v/>
      </c>
      <c r="AS45" s="43" t="str">
        <f t="shared" si="18"/>
        <v/>
      </c>
      <c r="AT45" s="43" t="str">
        <f t="shared" si="18"/>
        <v/>
      </c>
      <c r="AU45" s="43" t="str">
        <f t="shared" si="18"/>
        <v/>
      </c>
      <c r="AV45" s="43" t="str">
        <f t="shared" si="19"/>
        <v/>
      </c>
      <c r="AW45" s="43" t="str">
        <f t="shared" si="19"/>
        <v/>
      </c>
      <c r="AX45" s="43" t="str">
        <f t="shared" si="19"/>
        <v/>
      </c>
      <c r="AY45" s="43" t="str">
        <f t="shared" si="19"/>
        <v/>
      </c>
      <c r="AZ45" s="43" t="str">
        <f t="shared" si="19"/>
        <v/>
      </c>
      <c r="BA45" s="43" t="str">
        <f t="shared" si="19"/>
        <v/>
      </c>
      <c r="BB45" s="43"/>
      <c r="BC45" s="43"/>
      <c r="BD45" s="43"/>
      <c r="BE45" s="43"/>
      <c r="BF45" s="43"/>
      <c r="BG45" s="43"/>
      <c r="BW45" s="1250"/>
    </row>
    <row r="46" spans="1:75" x14ac:dyDescent="0.25">
      <c r="A46" s="1251"/>
      <c r="B46" s="462">
        <v>40</v>
      </c>
      <c r="C46" s="462"/>
      <c r="D46" s="1244"/>
      <c r="E46" s="1050"/>
      <c r="F46" s="1244"/>
      <c r="H46" s="43" t="str">
        <f t="shared" si="15"/>
        <v/>
      </c>
      <c r="I46" s="43" t="str">
        <f t="shared" si="15"/>
        <v/>
      </c>
      <c r="J46" s="43" t="str">
        <f t="shared" si="15"/>
        <v/>
      </c>
      <c r="K46" s="43" t="str">
        <f t="shared" si="15"/>
        <v/>
      </c>
      <c r="L46" s="43" t="str">
        <f t="shared" si="15"/>
        <v/>
      </c>
      <c r="M46" s="43" t="str">
        <f t="shared" si="15"/>
        <v/>
      </c>
      <c r="N46" s="43" t="str">
        <f t="shared" si="15"/>
        <v/>
      </c>
      <c r="O46" s="43" t="str">
        <f t="shared" si="15"/>
        <v/>
      </c>
      <c r="P46" s="43" t="str">
        <f t="shared" si="15"/>
        <v/>
      </c>
      <c r="Q46" s="43" t="str">
        <f t="shared" si="15"/>
        <v/>
      </c>
      <c r="R46" s="43" t="str">
        <f t="shared" si="16"/>
        <v/>
      </c>
      <c r="S46" s="43" t="str">
        <f t="shared" si="16"/>
        <v/>
      </c>
      <c r="T46" s="43" t="str">
        <f t="shared" si="16"/>
        <v/>
      </c>
      <c r="U46" s="43" t="str">
        <f t="shared" si="16"/>
        <v/>
      </c>
      <c r="V46" s="43" t="str">
        <f t="shared" si="16"/>
        <v/>
      </c>
      <c r="W46" s="43" t="str">
        <f t="shared" si="16"/>
        <v/>
      </c>
      <c r="X46" s="43" t="str">
        <f t="shared" si="16"/>
        <v/>
      </c>
      <c r="Y46" s="43" t="str">
        <f t="shared" si="16"/>
        <v/>
      </c>
      <c r="Z46" s="43" t="str">
        <f t="shared" si="16"/>
        <v/>
      </c>
      <c r="AA46" s="43" t="str">
        <f t="shared" si="16"/>
        <v/>
      </c>
      <c r="AB46" s="43" t="str">
        <f t="shared" si="17"/>
        <v/>
      </c>
      <c r="AC46" s="43" t="str">
        <f t="shared" si="17"/>
        <v/>
      </c>
      <c r="AD46" s="43" t="str">
        <f t="shared" si="17"/>
        <v/>
      </c>
      <c r="AE46" s="43" t="str">
        <f t="shared" si="17"/>
        <v/>
      </c>
      <c r="AF46" s="43" t="str">
        <f t="shared" si="17"/>
        <v/>
      </c>
      <c r="AG46" s="43" t="str">
        <f t="shared" si="17"/>
        <v/>
      </c>
      <c r="AH46" s="43" t="str">
        <f t="shared" si="17"/>
        <v/>
      </c>
      <c r="AI46" s="43" t="str">
        <f t="shared" si="17"/>
        <v/>
      </c>
      <c r="AJ46" s="43" t="str">
        <f t="shared" si="17"/>
        <v/>
      </c>
      <c r="AK46" s="43" t="str">
        <f t="shared" si="17"/>
        <v/>
      </c>
      <c r="AL46" s="43" t="str">
        <f t="shared" si="18"/>
        <v/>
      </c>
      <c r="AM46" s="43" t="str">
        <f t="shared" si="18"/>
        <v/>
      </c>
      <c r="AN46" s="43" t="str">
        <f t="shared" si="18"/>
        <v/>
      </c>
      <c r="AO46" s="43" t="str">
        <f t="shared" si="18"/>
        <v/>
      </c>
      <c r="AP46" s="43" t="str">
        <f t="shared" si="18"/>
        <v/>
      </c>
      <c r="AQ46" s="43" t="str">
        <f t="shared" si="18"/>
        <v/>
      </c>
      <c r="AR46" s="43" t="str">
        <f t="shared" si="18"/>
        <v/>
      </c>
      <c r="AS46" s="43" t="str">
        <f t="shared" si="18"/>
        <v/>
      </c>
      <c r="AT46" s="43" t="str">
        <f t="shared" si="18"/>
        <v/>
      </c>
      <c r="AU46" s="43" t="str">
        <f t="shared" si="18"/>
        <v/>
      </c>
      <c r="AV46" s="43" t="str">
        <f t="shared" si="19"/>
        <v/>
      </c>
      <c r="AW46" s="43" t="str">
        <f t="shared" si="19"/>
        <v/>
      </c>
      <c r="AX46" s="43" t="str">
        <f t="shared" si="19"/>
        <v/>
      </c>
      <c r="AY46" s="43" t="str">
        <f t="shared" si="19"/>
        <v/>
      </c>
      <c r="AZ46" s="43" t="str">
        <f t="shared" si="19"/>
        <v/>
      </c>
      <c r="BA46" s="43" t="str">
        <f t="shared" si="19"/>
        <v/>
      </c>
      <c r="BB46" s="43"/>
      <c r="BC46" s="43"/>
      <c r="BD46" s="43"/>
      <c r="BE46" s="43"/>
      <c r="BF46" s="43"/>
      <c r="BG46" s="43"/>
      <c r="BW46" s="1250"/>
    </row>
    <row r="47" spans="1:75" x14ac:dyDescent="0.25">
      <c r="A47" s="1251"/>
      <c r="B47" s="462">
        <v>41</v>
      </c>
      <c r="C47" s="462"/>
      <c r="D47" s="1244"/>
      <c r="E47" s="1050"/>
      <c r="F47" s="1244"/>
      <c r="H47" s="43" t="str">
        <f t="shared" ref="H47:Q56" si="20">IF($D47=H$6,$B47&amp;", ","")</f>
        <v/>
      </c>
      <c r="I47" s="43" t="str">
        <f t="shared" si="20"/>
        <v/>
      </c>
      <c r="J47" s="43" t="str">
        <f t="shared" si="20"/>
        <v/>
      </c>
      <c r="K47" s="43" t="str">
        <f t="shared" si="20"/>
        <v/>
      </c>
      <c r="L47" s="43" t="str">
        <f t="shared" si="20"/>
        <v/>
      </c>
      <c r="M47" s="43" t="str">
        <f t="shared" si="20"/>
        <v/>
      </c>
      <c r="N47" s="43" t="str">
        <f t="shared" si="20"/>
        <v/>
      </c>
      <c r="O47" s="43" t="str">
        <f t="shared" si="20"/>
        <v/>
      </c>
      <c r="P47" s="43" t="str">
        <f t="shared" si="20"/>
        <v/>
      </c>
      <c r="Q47" s="43" t="str">
        <f t="shared" si="20"/>
        <v/>
      </c>
      <c r="R47" s="43" t="str">
        <f t="shared" ref="R47:AA56" si="21">IF($D47=R$6,$B47&amp;", ","")</f>
        <v/>
      </c>
      <c r="S47" s="43" t="str">
        <f t="shared" si="21"/>
        <v/>
      </c>
      <c r="T47" s="43" t="str">
        <f t="shared" si="21"/>
        <v/>
      </c>
      <c r="U47" s="43" t="str">
        <f t="shared" si="21"/>
        <v/>
      </c>
      <c r="V47" s="43" t="str">
        <f t="shared" si="21"/>
        <v/>
      </c>
      <c r="W47" s="43" t="str">
        <f t="shared" si="21"/>
        <v/>
      </c>
      <c r="X47" s="43" t="str">
        <f t="shared" si="21"/>
        <v/>
      </c>
      <c r="Y47" s="43" t="str">
        <f t="shared" si="21"/>
        <v/>
      </c>
      <c r="Z47" s="43" t="str">
        <f t="shared" si="21"/>
        <v/>
      </c>
      <c r="AA47" s="43" t="str">
        <f t="shared" si="21"/>
        <v/>
      </c>
      <c r="AB47" s="43" t="str">
        <f t="shared" ref="AB47:AK56" si="22">IF($D47=AB$6,$B47&amp;", ","")</f>
        <v/>
      </c>
      <c r="AC47" s="43" t="str">
        <f t="shared" si="22"/>
        <v/>
      </c>
      <c r="AD47" s="43" t="str">
        <f t="shared" si="22"/>
        <v/>
      </c>
      <c r="AE47" s="43" t="str">
        <f t="shared" si="22"/>
        <v/>
      </c>
      <c r="AF47" s="43" t="str">
        <f t="shared" si="22"/>
        <v/>
      </c>
      <c r="AG47" s="43" t="str">
        <f t="shared" si="22"/>
        <v/>
      </c>
      <c r="AH47" s="43" t="str">
        <f t="shared" si="22"/>
        <v/>
      </c>
      <c r="AI47" s="43" t="str">
        <f t="shared" si="22"/>
        <v/>
      </c>
      <c r="AJ47" s="43" t="str">
        <f t="shared" si="22"/>
        <v/>
      </c>
      <c r="AK47" s="43" t="str">
        <f t="shared" si="22"/>
        <v/>
      </c>
      <c r="AL47" s="43" t="str">
        <f t="shared" ref="AL47:AU56" si="23">IF($D47=AL$6,$B47&amp;", ","")</f>
        <v/>
      </c>
      <c r="AM47" s="43" t="str">
        <f t="shared" si="23"/>
        <v/>
      </c>
      <c r="AN47" s="43" t="str">
        <f t="shared" si="23"/>
        <v/>
      </c>
      <c r="AO47" s="43" t="str">
        <f t="shared" si="23"/>
        <v/>
      </c>
      <c r="AP47" s="43" t="str">
        <f t="shared" si="23"/>
        <v/>
      </c>
      <c r="AQ47" s="43" t="str">
        <f t="shared" si="23"/>
        <v/>
      </c>
      <c r="AR47" s="43" t="str">
        <f t="shared" si="23"/>
        <v/>
      </c>
      <c r="AS47" s="43" t="str">
        <f t="shared" si="23"/>
        <v/>
      </c>
      <c r="AT47" s="43" t="str">
        <f t="shared" si="23"/>
        <v/>
      </c>
      <c r="AU47" s="43" t="str">
        <f t="shared" si="23"/>
        <v/>
      </c>
      <c r="AV47" s="43" t="str">
        <f t="shared" ref="AV47:BA56" si="24">IF($D47=AV$6,$B47&amp;", ","")</f>
        <v/>
      </c>
      <c r="AW47" s="43" t="str">
        <f t="shared" si="24"/>
        <v/>
      </c>
      <c r="AX47" s="43" t="str">
        <f t="shared" si="24"/>
        <v/>
      </c>
      <c r="AY47" s="43" t="str">
        <f t="shared" si="24"/>
        <v/>
      </c>
      <c r="AZ47" s="43" t="str">
        <f t="shared" si="24"/>
        <v/>
      </c>
      <c r="BA47" s="43" t="str">
        <f t="shared" si="24"/>
        <v/>
      </c>
      <c r="BB47" s="43"/>
      <c r="BC47" s="43"/>
      <c r="BD47" s="43"/>
      <c r="BE47" s="43"/>
      <c r="BF47" s="43"/>
      <c r="BG47" s="43"/>
      <c r="BW47" s="1250"/>
    </row>
    <row r="48" spans="1:75" x14ac:dyDescent="0.25">
      <c r="A48" s="1251"/>
      <c r="B48" s="462">
        <v>42</v>
      </c>
      <c r="C48" s="462"/>
      <c r="D48" s="1244"/>
      <c r="E48" s="1050"/>
      <c r="F48" s="1244"/>
      <c r="H48" s="43" t="str">
        <f t="shared" si="20"/>
        <v/>
      </c>
      <c r="I48" s="43" t="str">
        <f t="shared" si="20"/>
        <v/>
      </c>
      <c r="J48" s="43" t="str">
        <f t="shared" si="20"/>
        <v/>
      </c>
      <c r="K48" s="43" t="str">
        <f t="shared" si="20"/>
        <v/>
      </c>
      <c r="L48" s="43" t="str">
        <f t="shared" si="20"/>
        <v/>
      </c>
      <c r="M48" s="43" t="str">
        <f t="shared" si="20"/>
        <v/>
      </c>
      <c r="N48" s="43" t="str">
        <f t="shared" si="20"/>
        <v/>
      </c>
      <c r="O48" s="43" t="str">
        <f t="shared" si="20"/>
        <v/>
      </c>
      <c r="P48" s="43" t="str">
        <f t="shared" si="20"/>
        <v/>
      </c>
      <c r="Q48" s="43" t="str">
        <f t="shared" si="20"/>
        <v/>
      </c>
      <c r="R48" s="43" t="str">
        <f t="shared" si="21"/>
        <v/>
      </c>
      <c r="S48" s="43" t="str">
        <f t="shared" si="21"/>
        <v/>
      </c>
      <c r="T48" s="43" t="str">
        <f t="shared" si="21"/>
        <v/>
      </c>
      <c r="U48" s="43" t="str">
        <f t="shared" si="21"/>
        <v/>
      </c>
      <c r="V48" s="43" t="str">
        <f t="shared" si="21"/>
        <v/>
      </c>
      <c r="W48" s="43" t="str">
        <f t="shared" si="21"/>
        <v/>
      </c>
      <c r="X48" s="43" t="str">
        <f t="shared" si="21"/>
        <v/>
      </c>
      <c r="Y48" s="43" t="str">
        <f t="shared" si="21"/>
        <v/>
      </c>
      <c r="Z48" s="43" t="str">
        <f t="shared" si="21"/>
        <v/>
      </c>
      <c r="AA48" s="43" t="str">
        <f t="shared" si="21"/>
        <v/>
      </c>
      <c r="AB48" s="43" t="str">
        <f t="shared" si="22"/>
        <v/>
      </c>
      <c r="AC48" s="43" t="str">
        <f t="shared" si="22"/>
        <v/>
      </c>
      <c r="AD48" s="43" t="str">
        <f t="shared" si="22"/>
        <v/>
      </c>
      <c r="AE48" s="43" t="str">
        <f t="shared" si="22"/>
        <v/>
      </c>
      <c r="AF48" s="43" t="str">
        <f t="shared" si="22"/>
        <v/>
      </c>
      <c r="AG48" s="43" t="str">
        <f t="shared" si="22"/>
        <v/>
      </c>
      <c r="AH48" s="43" t="str">
        <f t="shared" si="22"/>
        <v/>
      </c>
      <c r="AI48" s="43" t="str">
        <f t="shared" si="22"/>
        <v/>
      </c>
      <c r="AJ48" s="43" t="str">
        <f t="shared" si="22"/>
        <v/>
      </c>
      <c r="AK48" s="43" t="str">
        <f t="shared" si="22"/>
        <v/>
      </c>
      <c r="AL48" s="43" t="str">
        <f t="shared" si="23"/>
        <v/>
      </c>
      <c r="AM48" s="43" t="str">
        <f t="shared" si="23"/>
        <v/>
      </c>
      <c r="AN48" s="43" t="str">
        <f t="shared" si="23"/>
        <v/>
      </c>
      <c r="AO48" s="43" t="str">
        <f t="shared" si="23"/>
        <v/>
      </c>
      <c r="AP48" s="43" t="str">
        <f t="shared" si="23"/>
        <v/>
      </c>
      <c r="AQ48" s="43" t="str">
        <f t="shared" si="23"/>
        <v/>
      </c>
      <c r="AR48" s="43" t="str">
        <f t="shared" si="23"/>
        <v/>
      </c>
      <c r="AS48" s="43" t="str">
        <f t="shared" si="23"/>
        <v/>
      </c>
      <c r="AT48" s="43" t="str">
        <f t="shared" si="23"/>
        <v/>
      </c>
      <c r="AU48" s="43" t="str">
        <f t="shared" si="23"/>
        <v/>
      </c>
      <c r="AV48" s="43" t="str">
        <f t="shared" si="24"/>
        <v/>
      </c>
      <c r="AW48" s="43" t="str">
        <f t="shared" si="24"/>
        <v/>
      </c>
      <c r="AX48" s="43" t="str">
        <f t="shared" si="24"/>
        <v/>
      </c>
      <c r="AY48" s="43" t="str">
        <f t="shared" si="24"/>
        <v/>
      </c>
      <c r="AZ48" s="43" t="str">
        <f t="shared" si="24"/>
        <v/>
      </c>
      <c r="BA48" s="43" t="str">
        <f t="shared" si="24"/>
        <v/>
      </c>
      <c r="BB48" s="43"/>
      <c r="BC48" s="43"/>
      <c r="BD48" s="43"/>
      <c r="BE48" s="43"/>
      <c r="BF48" s="43"/>
      <c r="BG48" s="43"/>
      <c r="BW48" s="1250"/>
    </row>
    <row r="49" spans="1:75" x14ac:dyDescent="0.25">
      <c r="A49" s="1251"/>
      <c r="B49" s="462">
        <v>43</v>
      </c>
      <c r="C49" s="462"/>
      <c r="D49" s="1244"/>
      <c r="E49" s="1050"/>
      <c r="F49" s="1244"/>
      <c r="H49" s="43" t="str">
        <f t="shared" si="20"/>
        <v/>
      </c>
      <c r="I49" s="43" t="str">
        <f t="shared" si="20"/>
        <v/>
      </c>
      <c r="J49" s="43" t="str">
        <f t="shared" si="20"/>
        <v/>
      </c>
      <c r="K49" s="43" t="str">
        <f t="shared" si="20"/>
        <v/>
      </c>
      <c r="L49" s="43" t="str">
        <f t="shared" si="20"/>
        <v/>
      </c>
      <c r="M49" s="43" t="str">
        <f t="shared" si="20"/>
        <v/>
      </c>
      <c r="N49" s="43" t="str">
        <f t="shared" si="20"/>
        <v/>
      </c>
      <c r="O49" s="43" t="str">
        <f t="shared" si="20"/>
        <v/>
      </c>
      <c r="P49" s="43" t="str">
        <f t="shared" si="20"/>
        <v/>
      </c>
      <c r="Q49" s="43" t="str">
        <f t="shared" si="20"/>
        <v/>
      </c>
      <c r="R49" s="43" t="str">
        <f t="shared" si="21"/>
        <v/>
      </c>
      <c r="S49" s="43" t="str">
        <f t="shared" si="21"/>
        <v/>
      </c>
      <c r="T49" s="43" t="str">
        <f t="shared" si="21"/>
        <v/>
      </c>
      <c r="U49" s="43" t="str">
        <f t="shared" si="21"/>
        <v/>
      </c>
      <c r="V49" s="43" t="str">
        <f t="shared" si="21"/>
        <v/>
      </c>
      <c r="W49" s="43" t="str">
        <f t="shared" si="21"/>
        <v/>
      </c>
      <c r="X49" s="43" t="str">
        <f t="shared" si="21"/>
        <v/>
      </c>
      <c r="Y49" s="43" t="str">
        <f t="shared" si="21"/>
        <v/>
      </c>
      <c r="Z49" s="43" t="str">
        <f t="shared" si="21"/>
        <v/>
      </c>
      <c r="AA49" s="43" t="str">
        <f t="shared" si="21"/>
        <v/>
      </c>
      <c r="AB49" s="43" t="str">
        <f t="shared" si="22"/>
        <v/>
      </c>
      <c r="AC49" s="43" t="str">
        <f t="shared" si="22"/>
        <v/>
      </c>
      <c r="AD49" s="43" t="str">
        <f t="shared" si="22"/>
        <v/>
      </c>
      <c r="AE49" s="43" t="str">
        <f t="shared" si="22"/>
        <v/>
      </c>
      <c r="AF49" s="43" t="str">
        <f t="shared" si="22"/>
        <v/>
      </c>
      <c r="AG49" s="43" t="str">
        <f t="shared" si="22"/>
        <v/>
      </c>
      <c r="AH49" s="43" t="str">
        <f t="shared" si="22"/>
        <v/>
      </c>
      <c r="AI49" s="43" t="str">
        <f t="shared" si="22"/>
        <v/>
      </c>
      <c r="AJ49" s="43" t="str">
        <f t="shared" si="22"/>
        <v/>
      </c>
      <c r="AK49" s="43" t="str">
        <f t="shared" si="22"/>
        <v/>
      </c>
      <c r="AL49" s="43" t="str">
        <f t="shared" si="23"/>
        <v/>
      </c>
      <c r="AM49" s="43" t="str">
        <f t="shared" si="23"/>
        <v/>
      </c>
      <c r="AN49" s="43" t="str">
        <f t="shared" si="23"/>
        <v/>
      </c>
      <c r="AO49" s="43" t="str">
        <f t="shared" si="23"/>
        <v/>
      </c>
      <c r="AP49" s="43" t="str">
        <f t="shared" si="23"/>
        <v/>
      </c>
      <c r="AQ49" s="43" t="str">
        <f t="shared" si="23"/>
        <v/>
      </c>
      <c r="AR49" s="43" t="str">
        <f t="shared" si="23"/>
        <v/>
      </c>
      <c r="AS49" s="43" t="str">
        <f t="shared" si="23"/>
        <v/>
      </c>
      <c r="AT49" s="43" t="str">
        <f t="shared" si="23"/>
        <v/>
      </c>
      <c r="AU49" s="43" t="str">
        <f t="shared" si="23"/>
        <v/>
      </c>
      <c r="AV49" s="43" t="str">
        <f t="shared" si="24"/>
        <v/>
      </c>
      <c r="AW49" s="43" t="str">
        <f t="shared" si="24"/>
        <v/>
      </c>
      <c r="AX49" s="43" t="str">
        <f t="shared" si="24"/>
        <v/>
      </c>
      <c r="AY49" s="43" t="str">
        <f t="shared" si="24"/>
        <v/>
      </c>
      <c r="AZ49" s="43" t="str">
        <f t="shared" si="24"/>
        <v/>
      </c>
      <c r="BA49" s="43" t="str">
        <f t="shared" si="24"/>
        <v/>
      </c>
      <c r="BB49" s="43"/>
      <c r="BC49" s="43"/>
      <c r="BD49" s="43"/>
      <c r="BE49" s="43"/>
      <c r="BF49" s="43"/>
      <c r="BG49" s="43"/>
      <c r="BW49" s="1250"/>
    </row>
    <row r="50" spans="1:75" x14ac:dyDescent="0.25">
      <c r="A50" s="1251"/>
      <c r="B50" s="462">
        <v>44</v>
      </c>
      <c r="C50" s="462"/>
      <c r="D50" s="1244"/>
      <c r="E50" s="1050"/>
      <c r="F50" s="1244"/>
      <c r="H50" s="43" t="str">
        <f t="shared" si="20"/>
        <v/>
      </c>
      <c r="I50" s="43" t="str">
        <f t="shared" si="20"/>
        <v/>
      </c>
      <c r="J50" s="43" t="str">
        <f t="shared" si="20"/>
        <v/>
      </c>
      <c r="K50" s="43" t="str">
        <f t="shared" si="20"/>
        <v/>
      </c>
      <c r="L50" s="43" t="str">
        <f t="shared" si="20"/>
        <v/>
      </c>
      <c r="M50" s="43" t="str">
        <f t="shared" si="20"/>
        <v/>
      </c>
      <c r="N50" s="43" t="str">
        <f t="shared" si="20"/>
        <v/>
      </c>
      <c r="O50" s="43" t="str">
        <f t="shared" si="20"/>
        <v/>
      </c>
      <c r="P50" s="43" t="str">
        <f t="shared" si="20"/>
        <v/>
      </c>
      <c r="Q50" s="43" t="str">
        <f t="shared" si="20"/>
        <v/>
      </c>
      <c r="R50" s="43" t="str">
        <f t="shared" si="21"/>
        <v/>
      </c>
      <c r="S50" s="43" t="str">
        <f t="shared" si="21"/>
        <v/>
      </c>
      <c r="T50" s="43" t="str">
        <f t="shared" si="21"/>
        <v/>
      </c>
      <c r="U50" s="43" t="str">
        <f t="shared" si="21"/>
        <v/>
      </c>
      <c r="V50" s="43" t="str">
        <f t="shared" si="21"/>
        <v/>
      </c>
      <c r="W50" s="43" t="str">
        <f t="shared" si="21"/>
        <v/>
      </c>
      <c r="X50" s="43" t="str">
        <f t="shared" si="21"/>
        <v/>
      </c>
      <c r="Y50" s="43" t="str">
        <f t="shared" si="21"/>
        <v/>
      </c>
      <c r="Z50" s="43" t="str">
        <f t="shared" si="21"/>
        <v/>
      </c>
      <c r="AA50" s="43" t="str">
        <f t="shared" si="21"/>
        <v/>
      </c>
      <c r="AB50" s="43" t="str">
        <f t="shared" si="22"/>
        <v/>
      </c>
      <c r="AC50" s="43" t="str">
        <f t="shared" si="22"/>
        <v/>
      </c>
      <c r="AD50" s="43" t="str">
        <f t="shared" si="22"/>
        <v/>
      </c>
      <c r="AE50" s="43" t="str">
        <f t="shared" si="22"/>
        <v/>
      </c>
      <c r="AF50" s="43" t="str">
        <f t="shared" si="22"/>
        <v/>
      </c>
      <c r="AG50" s="43" t="str">
        <f t="shared" si="22"/>
        <v/>
      </c>
      <c r="AH50" s="43" t="str">
        <f t="shared" si="22"/>
        <v/>
      </c>
      <c r="AI50" s="43" t="str">
        <f t="shared" si="22"/>
        <v/>
      </c>
      <c r="AJ50" s="43" t="str">
        <f t="shared" si="22"/>
        <v/>
      </c>
      <c r="AK50" s="43" t="str">
        <f t="shared" si="22"/>
        <v/>
      </c>
      <c r="AL50" s="43" t="str">
        <f t="shared" si="23"/>
        <v/>
      </c>
      <c r="AM50" s="43" t="str">
        <f t="shared" si="23"/>
        <v/>
      </c>
      <c r="AN50" s="43" t="str">
        <f t="shared" si="23"/>
        <v/>
      </c>
      <c r="AO50" s="43" t="str">
        <f t="shared" si="23"/>
        <v/>
      </c>
      <c r="AP50" s="43" t="str">
        <f t="shared" si="23"/>
        <v/>
      </c>
      <c r="AQ50" s="43" t="str">
        <f t="shared" si="23"/>
        <v/>
      </c>
      <c r="AR50" s="43" t="str">
        <f t="shared" si="23"/>
        <v/>
      </c>
      <c r="AS50" s="43" t="str">
        <f t="shared" si="23"/>
        <v/>
      </c>
      <c r="AT50" s="43" t="str">
        <f t="shared" si="23"/>
        <v/>
      </c>
      <c r="AU50" s="43" t="str">
        <f t="shared" si="23"/>
        <v/>
      </c>
      <c r="AV50" s="43" t="str">
        <f t="shared" si="24"/>
        <v/>
      </c>
      <c r="AW50" s="43" t="str">
        <f t="shared" si="24"/>
        <v/>
      </c>
      <c r="AX50" s="43" t="str">
        <f t="shared" si="24"/>
        <v/>
      </c>
      <c r="AY50" s="43" t="str">
        <f t="shared" si="24"/>
        <v/>
      </c>
      <c r="AZ50" s="43" t="str">
        <f t="shared" si="24"/>
        <v/>
      </c>
      <c r="BA50" s="43" t="str">
        <f t="shared" si="24"/>
        <v/>
      </c>
      <c r="BB50" s="43"/>
      <c r="BC50" s="43"/>
      <c r="BD50" s="43"/>
      <c r="BE50" s="43"/>
      <c r="BF50" s="43"/>
      <c r="BG50" s="43"/>
      <c r="BW50" s="1250"/>
    </row>
    <row r="51" spans="1:75" x14ac:dyDescent="0.25">
      <c r="A51" s="1251"/>
      <c r="B51" s="462">
        <v>45</v>
      </c>
      <c r="C51" s="462"/>
      <c r="D51" s="1244"/>
      <c r="E51" s="1050"/>
      <c r="F51" s="1244"/>
      <c r="H51" s="43" t="str">
        <f t="shared" si="20"/>
        <v/>
      </c>
      <c r="I51" s="43" t="str">
        <f t="shared" si="20"/>
        <v/>
      </c>
      <c r="J51" s="43" t="str">
        <f t="shared" si="20"/>
        <v/>
      </c>
      <c r="K51" s="43" t="str">
        <f t="shared" si="20"/>
        <v/>
      </c>
      <c r="L51" s="43" t="str">
        <f t="shared" si="20"/>
        <v/>
      </c>
      <c r="M51" s="43" t="str">
        <f t="shared" si="20"/>
        <v/>
      </c>
      <c r="N51" s="43" t="str">
        <f t="shared" si="20"/>
        <v/>
      </c>
      <c r="O51" s="43" t="str">
        <f t="shared" si="20"/>
        <v/>
      </c>
      <c r="P51" s="43" t="str">
        <f t="shared" si="20"/>
        <v/>
      </c>
      <c r="Q51" s="43" t="str">
        <f t="shared" si="20"/>
        <v/>
      </c>
      <c r="R51" s="43" t="str">
        <f t="shared" si="21"/>
        <v/>
      </c>
      <c r="S51" s="43" t="str">
        <f t="shared" si="21"/>
        <v/>
      </c>
      <c r="T51" s="43" t="str">
        <f t="shared" si="21"/>
        <v/>
      </c>
      <c r="U51" s="43" t="str">
        <f t="shared" si="21"/>
        <v/>
      </c>
      <c r="V51" s="43" t="str">
        <f t="shared" si="21"/>
        <v/>
      </c>
      <c r="W51" s="43" t="str">
        <f t="shared" si="21"/>
        <v/>
      </c>
      <c r="X51" s="43" t="str">
        <f t="shared" si="21"/>
        <v/>
      </c>
      <c r="Y51" s="43" t="str">
        <f t="shared" si="21"/>
        <v/>
      </c>
      <c r="Z51" s="43" t="str">
        <f t="shared" si="21"/>
        <v/>
      </c>
      <c r="AA51" s="43" t="str">
        <f t="shared" si="21"/>
        <v/>
      </c>
      <c r="AB51" s="43" t="str">
        <f t="shared" si="22"/>
        <v/>
      </c>
      <c r="AC51" s="43" t="str">
        <f t="shared" si="22"/>
        <v/>
      </c>
      <c r="AD51" s="43" t="str">
        <f t="shared" si="22"/>
        <v/>
      </c>
      <c r="AE51" s="43" t="str">
        <f t="shared" si="22"/>
        <v/>
      </c>
      <c r="AF51" s="43" t="str">
        <f t="shared" si="22"/>
        <v/>
      </c>
      <c r="AG51" s="43" t="str">
        <f t="shared" si="22"/>
        <v/>
      </c>
      <c r="AH51" s="43" t="str">
        <f t="shared" si="22"/>
        <v/>
      </c>
      <c r="AI51" s="43" t="str">
        <f t="shared" si="22"/>
        <v/>
      </c>
      <c r="AJ51" s="43" t="str">
        <f t="shared" si="22"/>
        <v/>
      </c>
      <c r="AK51" s="43" t="str">
        <f t="shared" si="22"/>
        <v/>
      </c>
      <c r="AL51" s="43" t="str">
        <f t="shared" si="23"/>
        <v/>
      </c>
      <c r="AM51" s="43" t="str">
        <f t="shared" si="23"/>
        <v/>
      </c>
      <c r="AN51" s="43" t="str">
        <f t="shared" si="23"/>
        <v/>
      </c>
      <c r="AO51" s="43" t="str">
        <f t="shared" si="23"/>
        <v/>
      </c>
      <c r="AP51" s="43" t="str">
        <f t="shared" si="23"/>
        <v/>
      </c>
      <c r="AQ51" s="43" t="str">
        <f t="shared" si="23"/>
        <v/>
      </c>
      <c r="AR51" s="43" t="str">
        <f t="shared" si="23"/>
        <v/>
      </c>
      <c r="AS51" s="43" t="str">
        <f t="shared" si="23"/>
        <v/>
      </c>
      <c r="AT51" s="43" t="str">
        <f t="shared" si="23"/>
        <v/>
      </c>
      <c r="AU51" s="43" t="str">
        <f t="shared" si="23"/>
        <v/>
      </c>
      <c r="AV51" s="43" t="str">
        <f t="shared" si="24"/>
        <v/>
      </c>
      <c r="AW51" s="43" t="str">
        <f t="shared" si="24"/>
        <v/>
      </c>
      <c r="AX51" s="43" t="str">
        <f t="shared" si="24"/>
        <v/>
      </c>
      <c r="AY51" s="43" t="str">
        <f t="shared" si="24"/>
        <v/>
      </c>
      <c r="AZ51" s="43" t="str">
        <f t="shared" si="24"/>
        <v/>
      </c>
      <c r="BA51" s="43" t="str">
        <f t="shared" si="24"/>
        <v/>
      </c>
      <c r="BB51" s="43"/>
      <c r="BC51" s="43"/>
      <c r="BD51" s="43"/>
      <c r="BE51" s="43"/>
      <c r="BF51" s="43"/>
      <c r="BG51" s="43"/>
      <c r="BW51" s="1250"/>
    </row>
    <row r="52" spans="1:75" x14ac:dyDescent="0.25">
      <c r="A52" s="1251"/>
      <c r="B52" s="462">
        <v>46</v>
      </c>
      <c r="C52" s="462"/>
      <c r="D52" s="1244"/>
      <c r="E52" s="1050"/>
      <c r="F52" s="1244"/>
      <c r="H52" s="43" t="str">
        <f t="shared" si="20"/>
        <v/>
      </c>
      <c r="I52" s="43" t="str">
        <f t="shared" si="20"/>
        <v/>
      </c>
      <c r="J52" s="43" t="str">
        <f t="shared" si="20"/>
        <v/>
      </c>
      <c r="K52" s="43" t="str">
        <f t="shared" si="20"/>
        <v/>
      </c>
      <c r="L52" s="43" t="str">
        <f t="shared" si="20"/>
        <v/>
      </c>
      <c r="M52" s="43" t="str">
        <f t="shared" si="20"/>
        <v/>
      </c>
      <c r="N52" s="43" t="str">
        <f t="shared" si="20"/>
        <v/>
      </c>
      <c r="O52" s="43" t="str">
        <f t="shared" si="20"/>
        <v/>
      </c>
      <c r="P52" s="43" t="str">
        <f t="shared" si="20"/>
        <v/>
      </c>
      <c r="Q52" s="43" t="str">
        <f t="shared" si="20"/>
        <v/>
      </c>
      <c r="R52" s="43" t="str">
        <f t="shared" si="21"/>
        <v/>
      </c>
      <c r="S52" s="43" t="str">
        <f t="shared" si="21"/>
        <v/>
      </c>
      <c r="T52" s="43" t="str">
        <f t="shared" si="21"/>
        <v/>
      </c>
      <c r="U52" s="43" t="str">
        <f t="shared" si="21"/>
        <v/>
      </c>
      <c r="V52" s="43" t="str">
        <f t="shared" si="21"/>
        <v/>
      </c>
      <c r="W52" s="43" t="str">
        <f t="shared" si="21"/>
        <v/>
      </c>
      <c r="X52" s="43" t="str">
        <f t="shared" si="21"/>
        <v/>
      </c>
      <c r="Y52" s="43" t="str">
        <f t="shared" si="21"/>
        <v/>
      </c>
      <c r="Z52" s="43" t="str">
        <f t="shared" si="21"/>
        <v/>
      </c>
      <c r="AA52" s="43" t="str">
        <f t="shared" si="21"/>
        <v/>
      </c>
      <c r="AB52" s="43" t="str">
        <f t="shared" si="22"/>
        <v/>
      </c>
      <c r="AC52" s="43" t="str">
        <f t="shared" si="22"/>
        <v/>
      </c>
      <c r="AD52" s="43" t="str">
        <f t="shared" si="22"/>
        <v/>
      </c>
      <c r="AE52" s="43" t="str">
        <f t="shared" si="22"/>
        <v/>
      </c>
      <c r="AF52" s="43" t="str">
        <f t="shared" si="22"/>
        <v/>
      </c>
      <c r="AG52" s="43" t="str">
        <f t="shared" si="22"/>
        <v/>
      </c>
      <c r="AH52" s="43" t="str">
        <f t="shared" si="22"/>
        <v/>
      </c>
      <c r="AI52" s="43" t="str">
        <f t="shared" si="22"/>
        <v/>
      </c>
      <c r="AJ52" s="43" t="str">
        <f t="shared" si="22"/>
        <v/>
      </c>
      <c r="AK52" s="43" t="str">
        <f t="shared" si="22"/>
        <v/>
      </c>
      <c r="AL52" s="43" t="str">
        <f t="shared" si="23"/>
        <v/>
      </c>
      <c r="AM52" s="43" t="str">
        <f t="shared" si="23"/>
        <v/>
      </c>
      <c r="AN52" s="43" t="str">
        <f t="shared" si="23"/>
        <v/>
      </c>
      <c r="AO52" s="43" t="str">
        <f t="shared" si="23"/>
        <v/>
      </c>
      <c r="AP52" s="43" t="str">
        <f t="shared" si="23"/>
        <v/>
      </c>
      <c r="AQ52" s="43" t="str">
        <f t="shared" si="23"/>
        <v/>
      </c>
      <c r="AR52" s="43" t="str">
        <f t="shared" si="23"/>
        <v/>
      </c>
      <c r="AS52" s="43" t="str">
        <f t="shared" si="23"/>
        <v/>
      </c>
      <c r="AT52" s="43" t="str">
        <f t="shared" si="23"/>
        <v/>
      </c>
      <c r="AU52" s="43" t="str">
        <f t="shared" si="23"/>
        <v/>
      </c>
      <c r="AV52" s="43" t="str">
        <f t="shared" si="24"/>
        <v/>
      </c>
      <c r="AW52" s="43" t="str">
        <f t="shared" si="24"/>
        <v/>
      </c>
      <c r="AX52" s="43" t="str">
        <f t="shared" si="24"/>
        <v/>
      </c>
      <c r="AY52" s="43" t="str">
        <f t="shared" si="24"/>
        <v/>
      </c>
      <c r="AZ52" s="43" t="str">
        <f t="shared" si="24"/>
        <v/>
      </c>
      <c r="BA52" s="43" t="str">
        <f t="shared" si="24"/>
        <v/>
      </c>
      <c r="BB52" s="43"/>
      <c r="BC52" s="43"/>
      <c r="BD52" s="43"/>
      <c r="BE52" s="43"/>
      <c r="BF52" s="43"/>
      <c r="BG52" s="43"/>
      <c r="BW52" s="1250"/>
    </row>
    <row r="53" spans="1:75" x14ac:dyDescent="0.25">
      <c r="A53" s="1251"/>
      <c r="B53" s="462">
        <v>47</v>
      </c>
      <c r="C53" s="462"/>
      <c r="D53" s="1244"/>
      <c r="E53" s="1050"/>
      <c r="F53" s="1244"/>
      <c r="H53" s="43" t="str">
        <f t="shared" si="20"/>
        <v/>
      </c>
      <c r="I53" s="43" t="str">
        <f t="shared" si="20"/>
        <v/>
      </c>
      <c r="J53" s="43" t="str">
        <f t="shared" si="20"/>
        <v/>
      </c>
      <c r="K53" s="43" t="str">
        <f t="shared" si="20"/>
        <v/>
      </c>
      <c r="L53" s="43" t="str">
        <f t="shared" si="20"/>
        <v/>
      </c>
      <c r="M53" s="43" t="str">
        <f t="shared" si="20"/>
        <v/>
      </c>
      <c r="N53" s="43" t="str">
        <f t="shared" si="20"/>
        <v/>
      </c>
      <c r="O53" s="43" t="str">
        <f t="shared" si="20"/>
        <v/>
      </c>
      <c r="P53" s="43" t="str">
        <f t="shared" si="20"/>
        <v/>
      </c>
      <c r="Q53" s="43" t="str">
        <f t="shared" si="20"/>
        <v/>
      </c>
      <c r="R53" s="43" t="str">
        <f t="shared" si="21"/>
        <v/>
      </c>
      <c r="S53" s="43" t="str">
        <f t="shared" si="21"/>
        <v/>
      </c>
      <c r="T53" s="43" t="str">
        <f t="shared" si="21"/>
        <v/>
      </c>
      <c r="U53" s="43" t="str">
        <f t="shared" si="21"/>
        <v/>
      </c>
      <c r="V53" s="43" t="str">
        <f t="shared" si="21"/>
        <v/>
      </c>
      <c r="W53" s="43" t="str">
        <f t="shared" si="21"/>
        <v/>
      </c>
      <c r="X53" s="43" t="str">
        <f t="shared" si="21"/>
        <v/>
      </c>
      <c r="Y53" s="43" t="str">
        <f t="shared" si="21"/>
        <v/>
      </c>
      <c r="Z53" s="43" t="str">
        <f t="shared" si="21"/>
        <v/>
      </c>
      <c r="AA53" s="43" t="str">
        <f t="shared" si="21"/>
        <v/>
      </c>
      <c r="AB53" s="43" t="str">
        <f t="shared" si="22"/>
        <v/>
      </c>
      <c r="AC53" s="43" t="str">
        <f t="shared" si="22"/>
        <v/>
      </c>
      <c r="AD53" s="43" t="str">
        <f t="shared" si="22"/>
        <v/>
      </c>
      <c r="AE53" s="43" t="str">
        <f t="shared" si="22"/>
        <v/>
      </c>
      <c r="AF53" s="43" t="str">
        <f t="shared" si="22"/>
        <v/>
      </c>
      <c r="AG53" s="43" t="str">
        <f t="shared" si="22"/>
        <v/>
      </c>
      <c r="AH53" s="43" t="str">
        <f t="shared" si="22"/>
        <v/>
      </c>
      <c r="AI53" s="43" t="str">
        <f t="shared" si="22"/>
        <v/>
      </c>
      <c r="AJ53" s="43" t="str">
        <f t="shared" si="22"/>
        <v/>
      </c>
      <c r="AK53" s="43" t="str">
        <f t="shared" si="22"/>
        <v/>
      </c>
      <c r="AL53" s="43" t="str">
        <f t="shared" si="23"/>
        <v/>
      </c>
      <c r="AM53" s="43" t="str">
        <f t="shared" si="23"/>
        <v/>
      </c>
      <c r="AN53" s="43" t="str">
        <f t="shared" si="23"/>
        <v/>
      </c>
      <c r="AO53" s="43" t="str">
        <f t="shared" si="23"/>
        <v/>
      </c>
      <c r="AP53" s="43" t="str">
        <f t="shared" si="23"/>
        <v/>
      </c>
      <c r="AQ53" s="43" t="str">
        <f t="shared" si="23"/>
        <v/>
      </c>
      <c r="AR53" s="43" t="str">
        <f t="shared" si="23"/>
        <v/>
      </c>
      <c r="AS53" s="43" t="str">
        <f t="shared" si="23"/>
        <v/>
      </c>
      <c r="AT53" s="43" t="str">
        <f t="shared" si="23"/>
        <v/>
      </c>
      <c r="AU53" s="43" t="str">
        <f t="shared" si="23"/>
        <v/>
      </c>
      <c r="AV53" s="43" t="str">
        <f t="shared" si="24"/>
        <v/>
      </c>
      <c r="AW53" s="43" t="str">
        <f t="shared" si="24"/>
        <v/>
      </c>
      <c r="AX53" s="43" t="str">
        <f t="shared" si="24"/>
        <v/>
      </c>
      <c r="AY53" s="43" t="str">
        <f t="shared" si="24"/>
        <v/>
      </c>
      <c r="AZ53" s="43" t="str">
        <f t="shared" si="24"/>
        <v/>
      </c>
      <c r="BA53" s="43" t="str">
        <f t="shared" si="24"/>
        <v/>
      </c>
      <c r="BB53" s="43"/>
      <c r="BC53" s="43"/>
      <c r="BD53" s="43"/>
      <c r="BE53" s="43"/>
      <c r="BF53" s="43"/>
      <c r="BG53" s="43"/>
      <c r="BW53" s="1250"/>
    </row>
    <row r="54" spans="1:75" x14ac:dyDescent="0.25">
      <c r="A54" s="1251"/>
      <c r="B54" s="462">
        <v>48</v>
      </c>
      <c r="C54" s="462"/>
      <c r="D54" s="1244"/>
      <c r="E54" s="1050"/>
      <c r="F54" s="1244"/>
      <c r="H54" s="43" t="str">
        <f t="shared" si="20"/>
        <v/>
      </c>
      <c r="I54" s="43" t="str">
        <f t="shared" si="20"/>
        <v/>
      </c>
      <c r="J54" s="43" t="str">
        <f t="shared" si="20"/>
        <v/>
      </c>
      <c r="K54" s="43" t="str">
        <f t="shared" si="20"/>
        <v/>
      </c>
      <c r="L54" s="43" t="str">
        <f t="shared" si="20"/>
        <v/>
      </c>
      <c r="M54" s="43" t="str">
        <f t="shared" si="20"/>
        <v/>
      </c>
      <c r="N54" s="43" t="str">
        <f t="shared" si="20"/>
        <v/>
      </c>
      <c r="O54" s="43" t="str">
        <f t="shared" si="20"/>
        <v/>
      </c>
      <c r="P54" s="43" t="str">
        <f t="shared" si="20"/>
        <v/>
      </c>
      <c r="Q54" s="43" t="str">
        <f t="shared" si="20"/>
        <v/>
      </c>
      <c r="R54" s="43" t="str">
        <f t="shared" si="21"/>
        <v/>
      </c>
      <c r="S54" s="43" t="str">
        <f t="shared" si="21"/>
        <v/>
      </c>
      <c r="T54" s="43" t="str">
        <f t="shared" si="21"/>
        <v/>
      </c>
      <c r="U54" s="43" t="str">
        <f t="shared" si="21"/>
        <v/>
      </c>
      <c r="V54" s="43" t="str">
        <f t="shared" si="21"/>
        <v/>
      </c>
      <c r="W54" s="43" t="str">
        <f t="shared" si="21"/>
        <v/>
      </c>
      <c r="X54" s="43" t="str">
        <f t="shared" si="21"/>
        <v/>
      </c>
      <c r="Y54" s="43" t="str">
        <f t="shared" si="21"/>
        <v/>
      </c>
      <c r="Z54" s="43" t="str">
        <f t="shared" si="21"/>
        <v/>
      </c>
      <c r="AA54" s="43" t="str">
        <f t="shared" si="21"/>
        <v/>
      </c>
      <c r="AB54" s="43" t="str">
        <f t="shared" si="22"/>
        <v/>
      </c>
      <c r="AC54" s="43" t="str">
        <f t="shared" si="22"/>
        <v/>
      </c>
      <c r="AD54" s="43" t="str">
        <f t="shared" si="22"/>
        <v/>
      </c>
      <c r="AE54" s="43" t="str">
        <f t="shared" si="22"/>
        <v/>
      </c>
      <c r="AF54" s="43" t="str">
        <f t="shared" si="22"/>
        <v/>
      </c>
      <c r="AG54" s="43" t="str">
        <f t="shared" si="22"/>
        <v/>
      </c>
      <c r="AH54" s="43" t="str">
        <f t="shared" si="22"/>
        <v/>
      </c>
      <c r="AI54" s="43" t="str">
        <f t="shared" si="22"/>
        <v/>
      </c>
      <c r="AJ54" s="43" t="str">
        <f t="shared" si="22"/>
        <v/>
      </c>
      <c r="AK54" s="43" t="str">
        <f t="shared" si="22"/>
        <v/>
      </c>
      <c r="AL54" s="43" t="str">
        <f t="shared" si="23"/>
        <v/>
      </c>
      <c r="AM54" s="43" t="str">
        <f t="shared" si="23"/>
        <v/>
      </c>
      <c r="AN54" s="43" t="str">
        <f t="shared" si="23"/>
        <v/>
      </c>
      <c r="AO54" s="43" t="str">
        <f t="shared" si="23"/>
        <v/>
      </c>
      <c r="AP54" s="43" t="str">
        <f t="shared" si="23"/>
        <v/>
      </c>
      <c r="AQ54" s="43" t="str">
        <f t="shared" si="23"/>
        <v/>
      </c>
      <c r="AR54" s="43" t="str">
        <f t="shared" si="23"/>
        <v/>
      </c>
      <c r="AS54" s="43" t="str">
        <f t="shared" si="23"/>
        <v/>
      </c>
      <c r="AT54" s="43" t="str">
        <f t="shared" si="23"/>
        <v/>
      </c>
      <c r="AU54" s="43" t="str">
        <f t="shared" si="23"/>
        <v/>
      </c>
      <c r="AV54" s="43" t="str">
        <f t="shared" si="24"/>
        <v/>
      </c>
      <c r="AW54" s="43" t="str">
        <f t="shared" si="24"/>
        <v/>
      </c>
      <c r="AX54" s="43" t="str">
        <f t="shared" si="24"/>
        <v/>
      </c>
      <c r="AY54" s="43" t="str">
        <f t="shared" si="24"/>
        <v/>
      </c>
      <c r="AZ54" s="43" t="str">
        <f t="shared" si="24"/>
        <v/>
      </c>
      <c r="BA54" s="43" t="str">
        <f t="shared" si="24"/>
        <v/>
      </c>
      <c r="BB54" s="43"/>
      <c r="BC54" s="43"/>
      <c r="BD54" s="43"/>
      <c r="BE54" s="43"/>
      <c r="BF54" s="43"/>
      <c r="BG54" s="43"/>
      <c r="BW54" s="1250"/>
    </row>
    <row r="55" spans="1:75" x14ac:dyDescent="0.25">
      <c r="A55" s="1251"/>
      <c r="B55" s="462">
        <v>49</v>
      </c>
      <c r="C55" s="462"/>
      <c r="D55" s="1244"/>
      <c r="E55" s="1050"/>
      <c r="F55" s="1244"/>
      <c r="H55" s="43" t="str">
        <f t="shared" si="20"/>
        <v/>
      </c>
      <c r="I55" s="43" t="str">
        <f t="shared" si="20"/>
        <v/>
      </c>
      <c r="J55" s="43" t="str">
        <f t="shared" si="20"/>
        <v/>
      </c>
      <c r="K55" s="43" t="str">
        <f t="shared" si="20"/>
        <v/>
      </c>
      <c r="L55" s="43" t="str">
        <f t="shared" si="20"/>
        <v/>
      </c>
      <c r="M55" s="43" t="str">
        <f t="shared" si="20"/>
        <v/>
      </c>
      <c r="N55" s="43" t="str">
        <f t="shared" si="20"/>
        <v/>
      </c>
      <c r="O55" s="43" t="str">
        <f t="shared" si="20"/>
        <v/>
      </c>
      <c r="P55" s="43" t="str">
        <f t="shared" si="20"/>
        <v/>
      </c>
      <c r="Q55" s="43" t="str">
        <f t="shared" si="20"/>
        <v/>
      </c>
      <c r="R55" s="43" t="str">
        <f t="shared" si="21"/>
        <v/>
      </c>
      <c r="S55" s="43" t="str">
        <f t="shared" si="21"/>
        <v/>
      </c>
      <c r="T55" s="43" t="str">
        <f t="shared" si="21"/>
        <v/>
      </c>
      <c r="U55" s="43" t="str">
        <f t="shared" si="21"/>
        <v/>
      </c>
      <c r="V55" s="43" t="str">
        <f t="shared" si="21"/>
        <v/>
      </c>
      <c r="W55" s="43" t="str">
        <f t="shared" si="21"/>
        <v/>
      </c>
      <c r="X55" s="43" t="str">
        <f t="shared" si="21"/>
        <v/>
      </c>
      <c r="Y55" s="43" t="str">
        <f t="shared" si="21"/>
        <v/>
      </c>
      <c r="Z55" s="43" t="str">
        <f t="shared" si="21"/>
        <v/>
      </c>
      <c r="AA55" s="43" t="str">
        <f t="shared" si="21"/>
        <v/>
      </c>
      <c r="AB55" s="43" t="str">
        <f t="shared" si="22"/>
        <v/>
      </c>
      <c r="AC55" s="43" t="str">
        <f t="shared" si="22"/>
        <v/>
      </c>
      <c r="AD55" s="43" t="str">
        <f t="shared" si="22"/>
        <v/>
      </c>
      <c r="AE55" s="43" t="str">
        <f t="shared" si="22"/>
        <v/>
      </c>
      <c r="AF55" s="43" t="str">
        <f t="shared" si="22"/>
        <v/>
      </c>
      <c r="AG55" s="43" t="str">
        <f t="shared" si="22"/>
        <v/>
      </c>
      <c r="AH55" s="43" t="str">
        <f t="shared" si="22"/>
        <v/>
      </c>
      <c r="AI55" s="43" t="str">
        <f t="shared" si="22"/>
        <v/>
      </c>
      <c r="AJ55" s="43" t="str">
        <f t="shared" si="22"/>
        <v/>
      </c>
      <c r="AK55" s="43" t="str">
        <f t="shared" si="22"/>
        <v/>
      </c>
      <c r="AL55" s="43" t="str">
        <f t="shared" si="23"/>
        <v/>
      </c>
      <c r="AM55" s="43" t="str">
        <f t="shared" si="23"/>
        <v/>
      </c>
      <c r="AN55" s="43" t="str">
        <f t="shared" si="23"/>
        <v/>
      </c>
      <c r="AO55" s="43" t="str">
        <f t="shared" si="23"/>
        <v/>
      </c>
      <c r="AP55" s="43" t="str">
        <f t="shared" si="23"/>
        <v/>
      </c>
      <c r="AQ55" s="43" t="str">
        <f t="shared" si="23"/>
        <v/>
      </c>
      <c r="AR55" s="43" t="str">
        <f t="shared" si="23"/>
        <v/>
      </c>
      <c r="AS55" s="43" t="str">
        <f t="shared" si="23"/>
        <v/>
      </c>
      <c r="AT55" s="43" t="str">
        <f t="shared" si="23"/>
        <v/>
      </c>
      <c r="AU55" s="43" t="str">
        <f t="shared" si="23"/>
        <v/>
      </c>
      <c r="AV55" s="43" t="str">
        <f t="shared" si="24"/>
        <v/>
      </c>
      <c r="AW55" s="43" t="str">
        <f t="shared" si="24"/>
        <v/>
      </c>
      <c r="AX55" s="43" t="str">
        <f t="shared" si="24"/>
        <v/>
      </c>
      <c r="AY55" s="43" t="str">
        <f t="shared" si="24"/>
        <v/>
      </c>
      <c r="AZ55" s="43" t="str">
        <f t="shared" si="24"/>
        <v/>
      </c>
      <c r="BA55" s="43" t="str">
        <f t="shared" si="24"/>
        <v/>
      </c>
      <c r="BB55" s="43"/>
      <c r="BC55" s="43"/>
      <c r="BD55" s="43"/>
      <c r="BE55" s="43"/>
      <c r="BF55" s="43"/>
      <c r="BG55" s="43"/>
      <c r="BW55" s="1250"/>
    </row>
    <row r="56" spans="1:75" x14ac:dyDescent="0.25">
      <c r="A56" s="1251"/>
      <c r="B56" s="462">
        <v>50</v>
      </c>
      <c r="C56" s="462"/>
      <c r="D56" s="1244"/>
      <c r="E56" s="1050"/>
      <c r="F56" s="1244"/>
      <c r="H56" s="43" t="str">
        <f t="shared" si="20"/>
        <v/>
      </c>
      <c r="I56" s="43" t="str">
        <f t="shared" si="20"/>
        <v/>
      </c>
      <c r="J56" s="43" t="str">
        <f t="shared" si="20"/>
        <v/>
      </c>
      <c r="K56" s="43" t="str">
        <f t="shared" si="20"/>
        <v/>
      </c>
      <c r="L56" s="43" t="str">
        <f t="shared" si="20"/>
        <v/>
      </c>
      <c r="M56" s="43" t="str">
        <f t="shared" si="20"/>
        <v/>
      </c>
      <c r="N56" s="43" t="str">
        <f t="shared" si="20"/>
        <v/>
      </c>
      <c r="O56" s="43" t="str">
        <f t="shared" si="20"/>
        <v/>
      </c>
      <c r="P56" s="43" t="str">
        <f t="shared" si="20"/>
        <v/>
      </c>
      <c r="Q56" s="43" t="str">
        <f t="shared" si="20"/>
        <v/>
      </c>
      <c r="R56" s="43" t="str">
        <f t="shared" si="21"/>
        <v/>
      </c>
      <c r="S56" s="43" t="str">
        <f t="shared" si="21"/>
        <v/>
      </c>
      <c r="T56" s="43" t="str">
        <f t="shared" si="21"/>
        <v/>
      </c>
      <c r="U56" s="43" t="str">
        <f t="shared" si="21"/>
        <v/>
      </c>
      <c r="V56" s="43" t="str">
        <f t="shared" si="21"/>
        <v/>
      </c>
      <c r="W56" s="43" t="str">
        <f t="shared" si="21"/>
        <v/>
      </c>
      <c r="X56" s="43" t="str">
        <f t="shared" si="21"/>
        <v/>
      </c>
      <c r="Y56" s="43" t="str">
        <f t="shared" si="21"/>
        <v/>
      </c>
      <c r="Z56" s="43" t="str">
        <f t="shared" si="21"/>
        <v/>
      </c>
      <c r="AA56" s="43" t="str">
        <f t="shared" si="21"/>
        <v/>
      </c>
      <c r="AB56" s="43" t="str">
        <f t="shared" si="22"/>
        <v/>
      </c>
      <c r="AC56" s="43" t="str">
        <f t="shared" si="22"/>
        <v/>
      </c>
      <c r="AD56" s="43" t="str">
        <f t="shared" si="22"/>
        <v/>
      </c>
      <c r="AE56" s="43" t="str">
        <f t="shared" si="22"/>
        <v/>
      </c>
      <c r="AF56" s="43" t="str">
        <f t="shared" si="22"/>
        <v/>
      </c>
      <c r="AG56" s="43" t="str">
        <f t="shared" si="22"/>
        <v/>
      </c>
      <c r="AH56" s="43" t="str">
        <f t="shared" si="22"/>
        <v/>
      </c>
      <c r="AI56" s="43" t="str">
        <f t="shared" si="22"/>
        <v/>
      </c>
      <c r="AJ56" s="43" t="str">
        <f t="shared" si="22"/>
        <v/>
      </c>
      <c r="AK56" s="43" t="str">
        <f t="shared" si="22"/>
        <v/>
      </c>
      <c r="AL56" s="43" t="str">
        <f t="shared" si="23"/>
        <v/>
      </c>
      <c r="AM56" s="43" t="str">
        <f t="shared" si="23"/>
        <v/>
      </c>
      <c r="AN56" s="43" t="str">
        <f t="shared" si="23"/>
        <v/>
      </c>
      <c r="AO56" s="43" t="str">
        <f t="shared" si="23"/>
        <v/>
      </c>
      <c r="AP56" s="43" t="str">
        <f t="shared" si="23"/>
        <v/>
      </c>
      <c r="AQ56" s="43" t="str">
        <f t="shared" si="23"/>
        <v/>
      </c>
      <c r="AR56" s="43" t="str">
        <f t="shared" si="23"/>
        <v/>
      </c>
      <c r="AS56" s="43" t="str">
        <f t="shared" si="23"/>
        <v/>
      </c>
      <c r="AT56" s="43" t="str">
        <f t="shared" si="23"/>
        <v/>
      </c>
      <c r="AU56" s="43" t="str">
        <f t="shared" si="23"/>
        <v/>
      </c>
      <c r="AV56" s="43" t="str">
        <f t="shared" si="24"/>
        <v/>
      </c>
      <c r="AW56" s="43" t="str">
        <f t="shared" si="24"/>
        <v/>
      </c>
      <c r="AX56" s="43" t="str">
        <f t="shared" si="24"/>
        <v/>
      </c>
      <c r="AY56" s="43" t="str">
        <f t="shared" si="24"/>
        <v/>
      </c>
      <c r="AZ56" s="43" t="str">
        <f t="shared" si="24"/>
        <v/>
      </c>
      <c r="BA56" s="43" t="str">
        <f t="shared" si="24"/>
        <v/>
      </c>
      <c r="BB56" s="43"/>
      <c r="BC56" s="43"/>
      <c r="BD56" s="43"/>
      <c r="BE56" s="43"/>
      <c r="BF56" s="43"/>
      <c r="BG56" s="43"/>
      <c r="BW56" s="1250"/>
    </row>
    <row r="57" spans="1:75" x14ac:dyDescent="0.25">
      <c r="A57" s="1251"/>
      <c r="B57" s="462">
        <v>51</v>
      </c>
      <c r="C57" s="462"/>
      <c r="D57" s="1244"/>
      <c r="E57" s="1050"/>
      <c r="F57" s="1244"/>
      <c r="H57" s="43" t="str">
        <f t="shared" ref="H57:Q66" si="25">IF($D57=H$6,$B57&amp;", ","")</f>
        <v/>
      </c>
      <c r="I57" s="43" t="str">
        <f t="shared" si="25"/>
        <v/>
      </c>
      <c r="J57" s="43" t="str">
        <f t="shared" si="25"/>
        <v/>
      </c>
      <c r="K57" s="43" t="str">
        <f t="shared" si="25"/>
        <v/>
      </c>
      <c r="L57" s="43" t="str">
        <f t="shared" si="25"/>
        <v/>
      </c>
      <c r="M57" s="43" t="str">
        <f t="shared" si="25"/>
        <v/>
      </c>
      <c r="N57" s="43" t="str">
        <f t="shared" si="25"/>
        <v/>
      </c>
      <c r="O57" s="43" t="str">
        <f t="shared" si="25"/>
        <v/>
      </c>
      <c r="P57" s="43" t="str">
        <f t="shared" si="25"/>
        <v/>
      </c>
      <c r="Q57" s="43" t="str">
        <f t="shared" si="25"/>
        <v/>
      </c>
      <c r="R57" s="43" t="str">
        <f t="shared" ref="R57:AA66" si="26">IF($D57=R$6,$B57&amp;", ","")</f>
        <v/>
      </c>
      <c r="S57" s="43" t="str">
        <f t="shared" si="26"/>
        <v/>
      </c>
      <c r="T57" s="43" t="str">
        <f t="shared" si="26"/>
        <v/>
      </c>
      <c r="U57" s="43" t="str">
        <f t="shared" si="26"/>
        <v/>
      </c>
      <c r="V57" s="43" t="str">
        <f t="shared" si="26"/>
        <v/>
      </c>
      <c r="W57" s="43" t="str">
        <f t="shared" si="26"/>
        <v/>
      </c>
      <c r="X57" s="43" t="str">
        <f t="shared" si="26"/>
        <v/>
      </c>
      <c r="Y57" s="43" t="str">
        <f t="shared" si="26"/>
        <v/>
      </c>
      <c r="Z57" s="43" t="str">
        <f t="shared" si="26"/>
        <v/>
      </c>
      <c r="AA57" s="43" t="str">
        <f t="shared" si="26"/>
        <v/>
      </c>
      <c r="AB57" s="43" t="str">
        <f t="shared" ref="AB57:AK66" si="27">IF($D57=AB$6,$B57&amp;", ","")</f>
        <v/>
      </c>
      <c r="AC57" s="43" t="str">
        <f t="shared" si="27"/>
        <v/>
      </c>
      <c r="AD57" s="43" t="str">
        <f t="shared" si="27"/>
        <v/>
      </c>
      <c r="AE57" s="43" t="str">
        <f t="shared" si="27"/>
        <v/>
      </c>
      <c r="AF57" s="43" t="str">
        <f t="shared" si="27"/>
        <v/>
      </c>
      <c r="AG57" s="43" t="str">
        <f t="shared" si="27"/>
        <v/>
      </c>
      <c r="AH57" s="43" t="str">
        <f t="shared" si="27"/>
        <v/>
      </c>
      <c r="AI57" s="43" t="str">
        <f t="shared" si="27"/>
        <v/>
      </c>
      <c r="AJ57" s="43" t="str">
        <f t="shared" si="27"/>
        <v/>
      </c>
      <c r="AK57" s="43" t="str">
        <f t="shared" si="27"/>
        <v/>
      </c>
      <c r="AL57" s="43" t="str">
        <f t="shared" ref="AL57:AU66" si="28">IF($D57=AL$6,$B57&amp;", ","")</f>
        <v/>
      </c>
      <c r="AM57" s="43" t="str">
        <f t="shared" si="28"/>
        <v/>
      </c>
      <c r="AN57" s="43" t="str">
        <f t="shared" si="28"/>
        <v/>
      </c>
      <c r="AO57" s="43" t="str">
        <f t="shared" si="28"/>
        <v/>
      </c>
      <c r="AP57" s="43" t="str">
        <f t="shared" si="28"/>
        <v/>
      </c>
      <c r="AQ57" s="43" t="str">
        <f t="shared" si="28"/>
        <v/>
      </c>
      <c r="AR57" s="43" t="str">
        <f t="shared" si="28"/>
        <v/>
      </c>
      <c r="AS57" s="43" t="str">
        <f t="shared" si="28"/>
        <v/>
      </c>
      <c r="AT57" s="43" t="str">
        <f t="shared" si="28"/>
        <v/>
      </c>
      <c r="AU57" s="43" t="str">
        <f t="shared" si="28"/>
        <v/>
      </c>
      <c r="AV57" s="43" t="str">
        <f t="shared" ref="AV57:BA66" si="29">IF($D57=AV$6,$B57&amp;", ","")</f>
        <v/>
      </c>
      <c r="AW57" s="43" t="str">
        <f t="shared" si="29"/>
        <v/>
      </c>
      <c r="AX57" s="43" t="str">
        <f t="shared" si="29"/>
        <v/>
      </c>
      <c r="AY57" s="43" t="str">
        <f t="shared" si="29"/>
        <v/>
      </c>
      <c r="AZ57" s="43" t="str">
        <f t="shared" si="29"/>
        <v/>
      </c>
      <c r="BA57" s="43" t="str">
        <f t="shared" si="29"/>
        <v/>
      </c>
      <c r="BB57" s="43"/>
      <c r="BC57" s="43"/>
      <c r="BD57" s="43"/>
      <c r="BE57" s="43"/>
      <c r="BF57" s="43"/>
      <c r="BG57" s="43"/>
      <c r="BW57" s="1250"/>
    </row>
    <row r="58" spans="1:75" x14ac:dyDescent="0.25">
      <c r="A58" s="1251"/>
      <c r="B58" s="462">
        <v>52</v>
      </c>
      <c r="C58" s="462"/>
      <c r="D58" s="1244"/>
      <c r="E58" s="1050"/>
      <c r="F58" s="1244"/>
      <c r="H58" s="43" t="str">
        <f t="shared" si="25"/>
        <v/>
      </c>
      <c r="I58" s="43" t="str">
        <f t="shared" si="25"/>
        <v/>
      </c>
      <c r="J58" s="43" t="str">
        <f t="shared" si="25"/>
        <v/>
      </c>
      <c r="K58" s="43" t="str">
        <f t="shared" si="25"/>
        <v/>
      </c>
      <c r="L58" s="43" t="str">
        <f t="shared" si="25"/>
        <v/>
      </c>
      <c r="M58" s="43" t="str">
        <f t="shared" si="25"/>
        <v/>
      </c>
      <c r="N58" s="43" t="str">
        <f t="shared" si="25"/>
        <v/>
      </c>
      <c r="O58" s="43" t="str">
        <f t="shared" si="25"/>
        <v/>
      </c>
      <c r="P58" s="43" t="str">
        <f t="shared" si="25"/>
        <v/>
      </c>
      <c r="Q58" s="43" t="str">
        <f t="shared" si="25"/>
        <v/>
      </c>
      <c r="R58" s="43" t="str">
        <f t="shared" si="26"/>
        <v/>
      </c>
      <c r="S58" s="43" t="str">
        <f t="shared" si="26"/>
        <v/>
      </c>
      <c r="T58" s="43" t="str">
        <f t="shared" si="26"/>
        <v/>
      </c>
      <c r="U58" s="43" t="str">
        <f t="shared" si="26"/>
        <v/>
      </c>
      <c r="V58" s="43" t="str">
        <f t="shared" si="26"/>
        <v/>
      </c>
      <c r="W58" s="43" t="str">
        <f t="shared" si="26"/>
        <v/>
      </c>
      <c r="X58" s="43" t="str">
        <f t="shared" si="26"/>
        <v/>
      </c>
      <c r="Y58" s="43" t="str">
        <f t="shared" si="26"/>
        <v/>
      </c>
      <c r="Z58" s="43" t="str">
        <f t="shared" si="26"/>
        <v/>
      </c>
      <c r="AA58" s="43" t="str">
        <f t="shared" si="26"/>
        <v/>
      </c>
      <c r="AB58" s="43" t="str">
        <f t="shared" si="27"/>
        <v/>
      </c>
      <c r="AC58" s="43" t="str">
        <f t="shared" si="27"/>
        <v/>
      </c>
      <c r="AD58" s="43" t="str">
        <f t="shared" si="27"/>
        <v/>
      </c>
      <c r="AE58" s="43" t="str">
        <f t="shared" si="27"/>
        <v/>
      </c>
      <c r="AF58" s="43" t="str">
        <f t="shared" si="27"/>
        <v/>
      </c>
      <c r="AG58" s="43" t="str">
        <f t="shared" si="27"/>
        <v/>
      </c>
      <c r="AH58" s="43" t="str">
        <f t="shared" si="27"/>
        <v/>
      </c>
      <c r="AI58" s="43" t="str">
        <f t="shared" si="27"/>
        <v/>
      </c>
      <c r="AJ58" s="43" t="str">
        <f t="shared" si="27"/>
        <v/>
      </c>
      <c r="AK58" s="43" t="str">
        <f t="shared" si="27"/>
        <v/>
      </c>
      <c r="AL58" s="43" t="str">
        <f t="shared" si="28"/>
        <v/>
      </c>
      <c r="AM58" s="43" t="str">
        <f t="shared" si="28"/>
        <v/>
      </c>
      <c r="AN58" s="43" t="str">
        <f t="shared" si="28"/>
        <v/>
      </c>
      <c r="AO58" s="43" t="str">
        <f t="shared" si="28"/>
        <v/>
      </c>
      <c r="AP58" s="43" t="str">
        <f t="shared" si="28"/>
        <v/>
      </c>
      <c r="AQ58" s="43" t="str">
        <f t="shared" si="28"/>
        <v/>
      </c>
      <c r="AR58" s="43" t="str">
        <f t="shared" si="28"/>
        <v/>
      </c>
      <c r="AS58" s="43" t="str">
        <f t="shared" si="28"/>
        <v/>
      </c>
      <c r="AT58" s="43" t="str">
        <f t="shared" si="28"/>
        <v/>
      </c>
      <c r="AU58" s="43" t="str">
        <f t="shared" si="28"/>
        <v/>
      </c>
      <c r="AV58" s="43" t="str">
        <f t="shared" si="29"/>
        <v/>
      </c>
      <c r="AW58" s="43" t="str">
        <f t="shared" si="29"/>
        <v/>
      </c>
      <c r="AX58" s="43" t="str">
        <f t="shared" si="29"/>
        <v/>
      </c>
      <c r="AY58" s="43" t="str">
        <f t="shared" si="29"/>
        <v/>
      </c>
      <c r="AZ58" s="43" t="str">
        <f t="shared" si="29"/>
        <v/>
      </c>
      <c r="BA58" s="43" t="str">
        <f t="shared" si="29"/>
        <v/>
      </c>
      <c r="BB58" s="43"/>
      <c r="BC58" s="43"/>
      <c r="BD58" s="43"/>
      <c r="BE58" s="43"/>
      <c r="BF58" s="43"/>
      <c r="BG58" s="43"/>
      <c r="BW58" s="1250"/>
    </row>
    <row r="59" spans="1:75" x14ac:dyDescent="0.25">
      <c r="A59" s="1251"/>
      <c r="B59" s="462">
        <v>53</v>
      </c>
      <c r="C59" s="462"/>
      <c r="D59" s="1244"/>
      <c r="E59" s="1050"/>
      <c r="F59" s="1244"/>
      <c r="H59" s="43" t="str">
        <f t="shared" si="25"/>
        <v/>
      </c>
      <c r="I59" s="43" t="str">
        <f t="shared" si="25"/>
        <v/>
      </c>
      <c r="J59" s="43" t="str">
        <f t="shared" si="25"/>
        <v/>
      </c>
      <c r="K59" s="43" t="str">
        <f t="shared" si="25"/>
        <v/>
      </c>
      <c r="L59" s="43" t="str">
        <f t="shared" si="25"/>
        <v/>
      </c>
      <c r="M59" s="43" t="str">
        <f t="shared" si="25"/>
        <v/>
      </c>
      <c r="N59" s="43" t="str">
        <f t="shared" si="25"/>
        <v/>
      </c>
      <c r="O59" s="43" t="str">
        <f t="shared" si="25"/>
        <v/>
      </c>
      <c r="P59" s="43" t="str">
        <f t="shared" si="25"/>
        <v/>
      </c>
      <c r="Q59" s="43" t="str">
        <f t="shared" si="25"/>
        <v/>
      </c>
      <c r="R59" s="43" t="str">
        <f t="shared" si="26"/>
        <v/>
      </c>
      <c r="S59" s="43" t="str">
        <f t="shared" si="26"/>
        <v/>
      </c>
      <c r="T59" s="43" t="str">
        <f t="shared" si="26"/>
        <v/>
      </c>
      <c r="U59" s="43" t="str">
        <f t="shared" si="26"/>
        <v/>
      </c>
      <c r="V59" s="43" t="str">
        <f t="shared" si="26"/>
        <v/>
      </c>
      <c r="W59" s="43" t="str">
        <f t="shared" si="26"/>
        <v/>
      </c>
      <c r="X59" s="43" t="str">
        <f t="shared" si="26"/>
        <v/>
      </c>
      <c r="Y59" s="43" t="str">
        <f t="shared" si="26"/>
        <v/>
      </c>
      <c r="Z59" s="43" t="str">
        <f t="shared" si="26"/>
        <v/>
      </c>
      <c r="AA59" s="43" t="str">
        <f t="shared" si="26"/>
        <v/>
      </c>
      <c r="AB59" s="43" t="str">
        <f t="shared" si="27"/>
        <v/>
      </c>
      <c r="AC59" s="43" t="str">
        <f t="shared" si="27"/>
        <v/>
      </c>
      <c r="AD59" s="43" t="str">
        <f t="shared" si="27"/>
        <v/>
      </c>
      <c r="AE59" s="43" t="str">
        <f t="shared" si="27"/>
        <v/>
      </c>
      <c r="AF59" s="43" t="str">
        <f t="shared" si="27"/>
        <v/>
      </c>
      <c r="AG59" s="43" t="str">
        <f t="shared" si="27"/>
        <v/>
      </c>
      <c r="AH59" s="43" t="str">
        <f t="shared" si="27"/>
        <v/>
      </c>
      <c r="AI59" s="43" t="str">
        <f t="shared" si="27"/>
        <v/>
      </c>
      <c r="AJ59" s="43" t="str">
        <f t="shared" si="27"/>
        <v/>
      </c>
      <c r="AK59" s="43" t="str">
        <f t="shared" si="27"/>
        <v/>
      </c>
      <c r="AL59" s="43" t="str">
        <f t="shared" si="28"/>
        <v/>
      </c>
      <c r="AM59" s="43" t="str">
        <f t="shared" si="28"/>
        <v/>
      </c>
      <c r="AN59" s="43" t="str">
        <f t="shared" si="28"/>
        <v/>
      </c>
      <c r="AO59" s="43" t="str">
        <f t="shared" si="28"/>
        <v/>
      </c>
      <c r="AP59" s="43" t="str">
        <f t="shared" si="28"/>
        <v/>
      </c>
      <c r="AQ59" s="43" t="str">
        <f t="shared" si="28"/>
        <v/>
      </c>
      <c r="AR59" s="43" t="str">
        <f t="shared" si="28"/>
        <v/>
      </c>
      <c r="AS59" s="43" t="str">
        <f t="shared" si="28"/>
        <v/>
      </c>
      <c r="AT59" s="43" t="str">
        <f t="shared" si="28"/>
        <v/>
      </c>
      <c r="AU59" s="43" t="str">
        <f t="shared" si="28"/>
        <v/>
      </c>
      <c r="AV59" s="43" t="str">
        <f t="shared" si="29"/>
        <v/>
      </c>
      <c r="AW59" s="43" t="str">
        <f t="shared" si="29"/>
        <v/>
      </c>
      <c r="AX59" s="43" t="str">
        <f t="shared" si="29"/>
        <v/>
      </c>
      <c r="AY59" s="43" t="str">
        <f t="shared" si="29"/>
        <v/>
      </c>
      <c r="AZ59" s="43" t="str">
        <f t="shared" si="29"/>
        <v/>
      </c>
      <c r="BA59" s="43" t="str">
        <f t="shared" si="29"/>
        <v/>
      </c>
      <c r="BB59" s="43"/>
      <c r="BC59" s="43"/>
      <c r="BD59" s="43"/>
      <c r="BE59" s="43"/>
      <c r="BF59" s="43"/>
      <c r="BG59" s="43"/>
      <c r="BW59" s="1250"/>
    </row>
    <row r="60" spans="1:75" x14ac:dyDescent="0.25">
      <c r="A60" s="1251"/>
      <c r="B60" s="462">
        <v>54</v>
      </c>
      <c r="C60" s="462"/>
      <c r="D60" s="1244"/>
      <c r="E60" s="1050"/>
      <c r="F60" s="1244"/>
      <c r="H60" s="43" t="str">
        <f t="shared" si="25"/>
        <v/>
      </c>
      <c r="I60" s="43" t="str">
        <f t="shared" si="25"/>
        <v/>
      </c>
      <c r="J60" s="43" t="str">
        <f t="shared" si="25"/>
        <v/>
      </c>
      <c r="K60" s="43" t="str">
        <f t="shared" si="25"/>
        <v/>
      </c>
      <c r="L60" s="43" t="str">
        <f t="shared" si="25"/>
        <v/>
      </c>
      <c r="M60" s="43" t="str">
        <f t="shared" si="25"/>
        <v/>
      </c>
      <c r="N60" s="43" t="str">
        <f t="shared" si="25"/>
        <v/>
      </c>
      <c r="O60" s="43" t="str">
        <f t="shared" si="25"/>
        <v/>
      </c>
      <c r="P60" s="43" t="str">
        <f t="shared" si="25"/>
        <v/>
      </c>
      <c r="Q60" s="43" t="str">
        <f t="shared" si="25"/>
        <v/>
      </c>
      <c r="R60" s="43" t="str">
        <f t="shared" si="26"/>
        <v/>
      </c>
      <c r="S60" s="43" t="str">
        <f t="shared" si="26"/>
        <v/>
      </c>
      <c r="T60" s="43" t="str">
        <f t="shared" si="26"/>
        <v/>
      </c>
      <c r="U60" s="43" t="str">
        <f t="shared" si="26"/>
        <v/>
      </c>
      <c r="V60" s="43" t="str">
        <f t="shared" si="26"/>
        <v/>
      </c>
      <c r="W60" s="43" t="str">
        <f t="shared" si="26"/>
        <v/>
      </c>
      <c r="X60" s="43" t="str">
        <f t="shared" si="26"/>
        <v/>
      </c>
      <c r="Y60" s="43" t="str">
        <f t="shared" si="26"/>
        <v/>
      </c>
      <c r="Z60" s="43" t="str">
        <f t="shared" si="26"/>
        <v/>
      </c>
      <c r="AA60" s="43" t="str">
        <f t="shared" si="26"/>
        <v/>
      </c>
      <c r="AB60" s="43" t="str">
        <f t="shared" si="27"/>
        <v/>
      </c>
      <c r="AC60" s="43" t="str">
        <f t="shared" si="27"/>
        <v/>
      </c>
      <c r="AD60" s="43" t="str">
        <f t="shared" si="27"/>
        <v/>
      </c>
      <c r="AE60" s="43" t="str">
        <f t="shared" si="27"/>
        <v/>
      </c>
      <c r="AF60" s="43" t="str">
        <f t="shared" si="27"/>
        <v/>
      </c>
      <c r="AG60" s="43" t="str">
        <f t="shared" si="27"/>
        <v/>
      </c>
      <c r="AH60" s="43" t="str">
        <f t="shared" si="27"/>
        <v/>
      </c>
      <c r="AI60" s="43" t="str">
        <f t="shared" si="27"/>
        <v/>
      </c>
      <c r="AJ60" s="43" t="str">
        <f t="shared" si="27"/>
        <v/>
      </c>
      <c r="AK60" s="43" t="str">
        <f t="shared" si="27"/>
        <v/>
      </c>
      <c r="AL60" s="43" t="str">
        <f t="shared" si="28"/>
        <v/>
      </c>
      <c r="AM60" s="43" t="str">
        <f t="shared" si="28"/>
        <v/>
      </c>
      <c r="AN60" s="43" t="str">
        <f t="shared" si="28"/>
        <v/>
      </c>
      <c r="AO60" s="43" t="str">
        <f t="shared" si="28"/>
        <v/>
      </c>
      <c r="AP60" s="43" t="str">
        <f t="shared" si="28"/>
        <v/>
      </c>
      <c r="AQ60" s="43" t="str">
        <f t="shared" si="28"/>
        <v/>
      </c>
      <c r="AR60" s="43" t="str">
        <f t="shared" si="28"/>
        <v/>
      </c>
      <c r="AS60" s="43" t="str">
        <f t="shared" si="28"/>
        <v/>
      </c>
      <c r="AT60" s="43" t="str">
        <f t="shared" si="28"/>
        <v/>
      </c>
      <c r="AU60" s="43" t="str">
        <f t="shared" si="28"/>
        <v/>
      </c>
      <c r="AV60" s="43" t="str">
        <f t="shared" si="29"/>
        <v/>
      </c>
      <c r="AW60" s="43" t="str">
        <f t="shared" si="29"/>
        <v/>
      </c>
      <c r="AX60" s="43" t="str">
        <f t="shared" si="29"/>
        <v/>
      </c>
      <c r="AY60" s="43" t="str">
        <f t="shared" si="29"/>
        <v/>
      </c>
      <c r="AZ60" s="43" t="str">
        <f t="shared" si="29"/>
        <v/>
      </c>
      <c r="BA60" s="43" t="str">
        <f t="shared" si="29"/>
        <v/>
      </c>
      <c r="BB60" s="43"/>
      <c r="BC60" s="43"/>
      <c r="BD60" s="43"/>
      <c r="BE60" s="43"/>
      <c r="BF60" s="43"/>
      <c r="BG60" s="43"/>
      <c r="BW60" s="1250"/>
    </row>
    <row r="61" spans="1:75" x14ac:dyDescent="0.25">
      <c r="A61" s="1251"/>
      <c r="B61" s="462">
        <v>55</v>
      </c>
      <c r="C61" s="462"/>
      <c r="D61" s="1244"/>
      <c r="E61" s="1050"/>
      <c r="F61" s="1244"/>
      <c r="H61" s="43" t="str">
        <f t="shared" si="25"/>
        <v/>
      </c>
      <c r="I61" s="43" t="str">
        <f t="shared" si="25"/>
        <v/>
      </c>
      <c r="J61" s="43" t="str">
        <f t="shared" si="25"/>
        <v/>
      </c>
      <c r="K61" s="43" t="str">
        <f t="shared" si="25"/>
        <v/>
      </c>
      <c r="L61" s="43" t="str">
        <f t="shared" si="25"/>
        <v/>
      </c>
      <c r="M61" s="43" t="str">
        <f t="shared" si="25"/>
        <v/>
      </c>
      <c r="N61" s="43" t="str">
        <f t="shared" si="25"/>
        <v/>
      </c>
      <c r="O61" s="43" t="str">
        <f t="shared" si="25"/>
        <v/>
      </c>
      <c r="P61" s="43" t="str">
        <f t="shared" si="25"/>
        <v/>
      </c>
      <c r="Q61" s="43" t="str">
        <f t="shared" si="25"/>
        <v/>
      </c>
      <c r="R61" s="43" t="str">
        <f t="shared" si="26"/>
        <v/>
      </c>
      <c r="S61" s="43" t="str">
        <f t="shared" si="26"/>
        <v/>
      </c>
      <c r="T61" s="43" t="str">
        <f t="shared" si="26"/>
        <v/>
      </c>
      <c r="U61" s="43" t="str">
        <f t="shared" si="26"/>
        <v/>
      </c>
      <c r="V61" s="43" t="str">
        <f t="shared" si="26"/>
        <v/>
      </c>
      <c r="W61" s="43" t="str">
        <f t="shared" si="26"/>
        <v/>
      </c>
      <c r="X61" s="43" t="str">
        <f t="shared" si="26"/>
        <v/>
      </c>
      <c r="Y61" s="43" t="str">
        <f t="shared" si="26"/>
        <v/>
      </c>
      <c r="Z61" s="43" t="str">
        <f t="shared" si="26"/>
        <v/>
      </c>
      <c r="AA61" s="43" t="str">
        <f t="shared" si="26"/>
        <v/>
      </c>
      <c r="AB61" s="43" t="str">
        <f t="shared" si="27"/>
        <v/>
      </c>
      <c r="AC61" s="43" t="str">
        <f t="shared" si="27"/>
        <v/>
      </c>
      <c r="AD61" s="43" t="str">
        <f t="shared" si="27"/>
        <v/>
      </c>
      <c r="AE61" s="43" t="str">
        <f t="shared" si="27"/>
        <v/>
      </c>
      <c r="AF61" s="43" t="str">
        <f t="shared" si="27"/>
        <v/>
      </c>
      <c r="AG61" s="43" t="str">
        <f t="shared" si="27"/>
        <v/>
      </c>
      <c r="AH61" s="43" t="str">
        <f t="shared" si="27"/>
        <v/>
      </c>
      <c r="AI61" s="43" t="str">
        <f t="shared" si="27"/>
        <v/>
      </c>
      <c r="AJ61" s="43" t="str">
        <f t="shared" si="27"/>
        <v/>
      </c>
      <c r="AK61" s="43" t="str">
        <f t="shared" si="27"/>
        <v/>
      </c>
      <c r="AL61" s="43" t="str">
        <f t="shared" si="28"/>
        <v/>
      </c>
      <c r="AM61" s="43" t="str">
        <f t="shared" si="28"/>
        <v/>
      </c>
      <c r="AN61" s="43" t="str">
        <f t="shared" si="28"/>
        <v/>
      </c>
      <c r="AO61" s="43" t="str">
        <f t="shared" si="28"/>
        <v/>
      </c>
      <c r="AP61" s="43" t="str">
        <f t="shared" si="28"/>
        <v/>
      </c>
      <c r="AQ61" s="43" t="str">
        <f t="shared" si="28"/>
        <v/>
      </c>
      <c r="AR61" s="43" t="str">
        <f t="shared" si="28"/>
        <v/>
      </c>
      <c r="AS61" s="43" t="str">
        <f t="shared" si="28"/>
        <v/>
      </c>
      <c r="AT61" s="43" t="str">
        <f t="shared" si="28"/>
        <v/>
      </c>
      <c r="AU61" s="43" t="str">
        <f t="shared" si="28"/>
        <v/>
      </c>
      <c r="AV61" s="43" t="str">
        <f t="shared" si="29"/>
        <v/>
      </c>
      <c r="AW61" s="43" t="str">
        <f t="shared" si="29"/>
        <v/>
      </c>
      <c r="AX61" s="43" t="str">
        <f t="shared" si="29"/>
        <v/>
      </c>
      <c r="AY61" s="43" t="str">
        <f t="shared" si="29"/>
        <v/>
      </c>
      <c r="AZ61" s="43" t="str">
        <f t="shared" si="29"/>
        <v/>
      </c>
      <c r="BA61" s="43" t="str">
        <f t="shared" si="29"/>
        <v/>
      </c>
      <c r="BB61" s="43"/>
      <c r="BC61" s="43"/>
      <c r="BD61" s="43"/>
      <c r="BE61" s="43"/>
      <c r="BF61" s="43"/>
      <c r="BG61" s="43"/>
      <c r="BW61" s="1250"/>
    </row>
    <row r="62" spans="1:75" x14ac:dyDescent="0.25">
      <c r="A62" s="1251"/>
      <c r="B62" s="462">
        <v>56</v>
      </c>
      <c r="C62" s="462"/>
      <c r="D62" s="1244"/>
      <c r="E62" s="1050"/>
      <c r="F62" s="1244"/>
      <c r="H62" s="43" t="str">
        <f t="shared" si="25"/>
        <v/>
      </c>
      <c r="I62" s="43" t="str">
        <f t="shared" si="25"/>
        <v/>
      </c>
      <c r="J62" s="43" t="str">
        <f t="shared" si="25"/>
        <v/>
      </c>
      <c r="K62" s="43" t="str">
        <f t="shared" si="25"/>
        <v/>
      </c>
      <c r="L62" s="43" t="str">
        <f t="shared" si="25"/>
        <v/>
      </c>
      <c r="M62" s="43" t="str">
        <f t="shared" si="25"/>
        <v/>
      </c>
      <c r="N62" s="43" t="str">
        <f t="shared" si="25"/>
        <v/>
      </c>
      <c r="O62" s="43" t="str">
        <f t="shared" si="25"/>
        <v/>
      </c>
      <c r="P62" s="43" t="str">
        <f t="shared" si="25"/>
        <v/>
      </c>
      <c r="Q62" s="43" t="str">
        <f t="shared" si="25"/>
        <v/>
      </c>
      <c r="R62" s="43" t="str">
        <f t="shared" si="26"/>
        <v/>
      </c>
      <c r="S62" s="43" t="str">
        <f t="shared" si="26"/>
        <v/>
      </c>
      <c r="T62" s="43" t="str">
        <f t="shared" si="26"/>
        <v/>
      </c>
      <c r="U62" s="43" t="str">
        <f t="shared" si="26"/>
        <v/>
      </c>
      <c r="V62" s="43" t="str">
        <f t="shared" si="26"/>
        <v/>
      </c>
      <c r="W62" s="43" t="str">
        <f t="shared" si="26"/>
        <v/>
      </c>
      <c r="X62" s="43" t="str">
        <f t="shared" si="26"/>
        <v/>
      </c>
      <c r="Y62" s="43" t="str">
        <f t="shared" si="26"/>
        <v/>
      </c>
      <c r="Z62" s="43" t="str">
        <f t="shared" si="26"/>
        <v/>
      </c>
      <c r="AA62" s="43" t="str">
        <f t="shared" si="26"/>
        <v/>
      </c>
      <c r="AB62" s="43" t="str">
        <f t="shared" si="27"/>
        <v/>
      </c>
      <c r="AC62" s="43" t="str">
        <f t="shared" si="27"/>
        <v/>
      </c>
      <c r="AD62" s="43" t="str">
        <f t="shared" si="27"/>
        <v/>
      </c>
      <c r="AE62" s="43" t="str">
        <f t="shared" si="27"/>
        <v/>
      </c>
      <c r="AF62" s="43" t="str">
        <f t="shared" si="27"/>
        <v/>
      </c>
      <c r="AG62" s="43" t="str">
        <f t="shared" si="27"/>
        <v/>
      </c>
      <c r="AH62" s="43" t="str">
        <f t="shared" si="27"/>
        <v/>
      </c>
      <c r="AI62" s="43" t="str">
        <f t="shared" si="27"/>
        <v/>
      </c>
      <c r="AJ62" s="43" t="str">
        <f t="shared" si="27"/>
        <v/>
      </c>
      <c r="AK62" s="43" t="str">
        <f t="shared" si="27"/>
        <v/>
      </c>
      <c r="AL62" s="43" t="str">
        <f t="shared" si="28"/>
        <v/>
      </c>
      <c r="AM62" s="43" t="str">
        <f t="shared" si="28"/>
        <v/>
      </c>
      <c r="AN62" s="43" t="str">
        <f t="shared" si="28"/>
        <v/>
      </c>
      <c r="AO62" s="43" t="str">
        <f t="shared" si="28"/>
        <v/>
      </c>
      <c r="AP62" s="43" t="str">
        <f t="shared" si="28"/>
        <v/>
      </c>
      <c r="AQ62" s="43" t="str">
        <f t="shared" si="28"/>
        <v/>
      </c>
      <c r="AR62" s="43" t="str">
        <f t="shared" si="28"/>
        <v/>
      </c>
      <c r="AS62" s="43" t="str">
        <f t="shared" si="28"/>
        <v/>
      </c>
      <c r="AT62" s="43" t="str">
        <f t="shared" si="28"/>
        <v/>
      </c>
      <c r="AU62" s="43" t="str">
        <f t="shared" si="28"/>
        <v/>
      </c>
      <c r="AV62" s="43" t="str">
        <f t="shared" si="29"/>
        <v/>
      </c>
      <c r="AW62" s="43" t="str">
        <f t="shared" si="29"/>
        <v/>
      </c>
      <c r="AX62" s="43" t="str">
        <f t="shared" si="29"/>
        <v/>
      </c>
      <c r="AY62" s="43" t="str">
        <f t="shared" si="29"/>
        <v/>
      </c>
      <c r="AZ62" s="43" t="str">
        <f t="shared" si="29"/>
        <v/>
      </c>
      <c r="BA62" s="43" t="str">
        <f t="shared" si="29"/>
        <v/>
      </c>
      <c r="BB62" s="43"/>
      <c r="BC62" s="43"/>
      <c r="BD62" s="43"/>
      <c r="BE62" s="43"/>
      <c r="BF62" s="43"/>
      <c r="BG62" s="43"/>
      <c r="BW62" s="1250"/>
    </row>
    <row r="63" spans="1:75" x14ac:dyDescent="0.25">
      <c r="A63" s="1251"/>
      <c r="B63" s="462">
        <v>57</v>
      </c>
      <c r="C63" s="462"/>
      <c r="D63" s="1244"/>
      <c r="E63" s="1050"/>
      <c r="F63" s="1244"/>
      <c r="H63" s="43" t="str">
        <f t="shared" si="25"/>
        <v/>
      </c>
      <c r="I63" s="43" t="str">
        <f t="shared" si="25"/>
        <v/>
      </c>
      <c r="J63" s="43" t="str">
        <f t="shared" si="25"/>
        <v/>
      </c>
      <c r="K63" s="43" t="str">
        <f t="shared" si="25"/>
        <v/>
      </c>
      <c r="L63" s="43" t="str">
        <f t="shared" si="25"/>
        <v/>
      </c>
      <c r="M63" s="43" t="str">
        <f t="shared" si="25"/>
        <v/>
      </c>
      <c r="N63" s="43" t="str">
        <f t="shared" si="25"/>
        <v/>
      </c>
      <c r="O63" s="43" t="str">
        <f t="shared" si="25"/>
        <v/>
      </c>
      <c r="P63" s="43" t="str">
        <f t="shared" si="25"/>
        <v/>
      </c>
      <c r="Q63" s="43" t="str">
        <f t="shared" si="25"/>
        <v/>
      </c>
      <c r="R63" s="43" t="str">
        <f t="shared" si="26"/>
        <v/>
      </c>
      <c r="S63" s="43" t="str">
        <f t="shared" si="26"/>
        <v/>
      </c>
      <c r="T63" s="43" t="str">
        <f t="shared" si="26"/>
        <v/>
      </c>
      <c r="U63" s="43" t="str">
        <f t="shared" si="26"/>
        <v/>
      </c>
      <c r="V63" s="43" t="str">
        <f t="shared" si="26"/>
        <v/>
      </c>
      <c r="W63" s="43" t="str">
        <f t="shared" si="26"/>
        <v/>
      </c>
      <c r="X63" s="43" t="str">
        <f t="shared" si="26"/>
        <v/>
      </c>
      <c r="Y63" s="43" t="str">
        <f t="shared" si="26"/>
        <v/>
      </c>
      <c r="Z63" s="43" t="str">
        <f t="shared" si="26"/>
        <v/>
      </c>
      <c r="AA63" s="43" t="str">
        <f t="shared" si="26"/>
        <v/>
      </c>
      <c r="AB63" s="43" t="str">
        <f t="shared" si="27"/>
        <v/>
      </c>
      <c r="AC63" s="43" t="str">
        <f t="shared" si="27"/>
        <v/>
      </c>
      <c r="AD63" s="43" t="str">
        <f t="shared" si="27"/>
        <v/>
      </c>
      <c r="AE63" s="43" t="str">
        <f t="shared" si="27"/>
        <v/>
      </c>
      <c r="AF63" s="43" t="str">
        <f t="shared" si="27"/>
        <v/>
      </c>
      <c r="AG63" s="43" t="str">
        <f t="shared" si="27"/>
        <v/>
      </c>
      <c r="AH63" s="43" t="str">
        <f t="shared" si="27"/>
        <v/>
      </c>
      <c r="AI63" s="43" t="str">
        <f t="shared" si="27"/>
        <v/>
      </c>
      <c r="AJ63" s="43" t="str">
        <f t="shared" si="27"/>
        <v/>
      </c>
      <c r="AK63" s="43" t="str">
        <f t="shared" si="27"/>
        <v/>
      </c>
      <c r="AL63" s="43" t="str">
        <f t="shared" si="28"/>
        <v/>
      </c>
      <c r="AM63" s="43" t="str">
        <f t="shared" si="28"/>
        <v/>
      </c>
      <c r="AN63" s="43" t="str">
        <f t="shared" si="28"/>
        <v/>
      </c>
      <c r="AO63" s="43" t="str">
        <f t="shared" si="28"/>
        <v/>
      </c>
      <c r="AP63" s="43" t="str">
        <f t="shared" si="28"/>
        <v/>
      </c>
      <c r="AQ63" s="43" t="str">
        <f t="shared" si="28"/>
        <v/>
      </c>
      <c r="AR63" s="43" t="str">
        <f t="shared" si="28"/>
        <v/>
      </c>
      <c r="AS63" s="43" t="str">
        <f t="shared" si="28"/>
        <v/>
      </c>
      <c r="AT63" s="43" t="str">
        <f t="shared" si="28"/>
        <v/>
      </c>
      <c r="AU63" s="43" t="str">
        <f t="shared" si="28"/>
        <v/>
      </c>
      <c r="AV63" s="43" t="str">
        <f t="shared" si="29"/>
        <v/>
      </c>
      <c r="AW63" s="43" t="str">
        <f t="shared" si="29"/>
        <v/>
      </c>
      <c r="AX63" s="43" t="str">
        <f t="shared" si="29"/>
        <v/>
      </c>
      <c r="AY63" s="43" t="str">
        <f t="shared" si="29"/>
        <v/>
      </c>
      <c r="AZ63" s="43" t="str">
        <f t="shared" si="29"/>
        <v/>
      </c>
      <c r="BA63" s="43" t="str">
        <f t="shared" si="29"/>
        <v/>
      </c>
      <c r="BB63" s="43"/>
      <c r="BC63" s="43"/>
      <c r="BD63" s="43"/>
      <c r="BE63" s="43"/>
      <c r="BF63" s="43"/>
      <c r="BG63" s="43"/>
      <c r="BW63" s="1250"/>
    </row>
    <row r="64" spans="1:75" x14ac:dyDescent="0.25">
      <c r="A64" s="1251"/>
      <c r="B64" s="462">
        <v>58</v>
      </c>
      <c r="C64" s="462"/>
      <c r="D64" s="1244"/>
      <c r="E64" s="1050"/>
      <c r="F64" s="1244"/>
      <c r="H64" s="43" t="str">
        <f t="shared" si="25"/>
        <v/>
      </c>
      <c r="I64" s="43" t="str">
        <f t="shared" si="25"/>
        <v/>
      </c>
      <c r="J64" s="43" t="str">
        <f t="shared" si="25"/>
        <v/>
      </c>
      <c r="K64" s="43" t="str">
        <f t="shared" si="25"/>
        <v/>
      </c>
      <c r="L64" s="43" t="str">
        <f t="shared" si="25"/>
        <v/>
      </c>
      <c r="M64" s="43" t="str">
        <f t="shared" si="25"/>
        <v/>
      </c>
      <c r="N64" s="43" t="str">
        <f t="shared" si="25"/>
        <v/>
      </c>
      <c r="O64" s="43" t="str">
        <f t="shared" si="25"/>
        <v/>
      </c>
      <c r="P64" s="43" t="str">
        <f t="shared" si="25"/>
        <v/>
      </c>
      <c r="Q64" s="43" t="str">
        <f t="shared" si="25"/>
        <v/>
      </c>
      <c r="R64" s="43" t="str">
        <f t="shared" si="26"/>
        <v/>
      </c>
      <c r="S64" s="43" t="str">
        <f t="shared" si="26"/>
        <v/>
      </c>
      <c r="T64" s="43" t="str">
        <f t="shared" si="26"/>
        <v/>
      </c>
      <c r="U64" s="43" t="str">
        <f t="shared" si="26"/>
        <v/>
      </c>
      <c r="V64" s="43" t="str">
        <f t="shared" si="26"/>
        <v/>
      </c>
      <c r="W64" s="43" t="str">
        <f t="shared" si="26"/>
        <v/>
      </c>
      <c r="X64" s="43" t="str">
        <f t="shared" si="26"/>
        <v/>
      </c>
      <c r="Y64" s="43" t="str">
        <f t="shared" si="26"/>
        <v/>
      </c>
      <c r="Z64" s="43" t="str">
        <f t="shared" si="26"/>
        <v/>
      </c>
      <c r="AA64" s="43" t="str">
        <f t="shared" si="26"/>
        <v/>
      </c>
      <c r="AB64" s="43" t="str">
        <f t="shared" si="27"/>
        <v/>
      </c>
      <c r="AC64" s="43" t="str">
        <f t="shared" si="27"/>
        <v/>
      </c>
      <c r="AD64" s="43" t="str">
        <f t="shared" si="27"/>
        <v/>
      </c>
      <c r="AE64" s="43" t="str">
        <f t="shared" si="27"/>
        <v/>
      </c>
      <c r="AF64" s="43" t="str">
        <f t="shared" si="27"/>
        <v/>
      </c>
      <c r="AG64" s="43" t="str">
        <f t="shared" si="27"/>
        <v/>
      </c>
      <c r="AH64" s="43" t="str">
        <f t="shared" si="27"/>
        <v/>
      </c>
      <c r="AI64" s="43" t="str">
        <f t="shared" si="27"/>
        <v/>
      </c>
      <c r="AJ64" s="43" t="str">
        <f t="shared" si="27"/>
        <v/>
      </c>
      <c r="AK64" s="43" t="str">
        <f t="shared" si="27"/>
        <v/>
      </c>
      <c r="AL64" s="43" t="str">
        <f t="shared" si="28"/>
        <v/>
      </c>
      <c r="AM64" s="43" t="str">
        <f t="shared" si="28"/>
        <v/>
      </c>
      <c r="AN64" s="43" t="str">
        <f t="shared" si="28"/>
        <v/>
      </c>
      <c r="AO64" s="43" t="str">
        <f t="shared" si="28"/>
        <v/>
      </c>
      <c r="AP64" s="43" t="str">
        <f t="shared" si="28"/>
        <v/>
      </c>
      <c r="AQ64" s="43" t="str">
        <f t="shared" si="28"/>
        <v/>
      </c>
      <c r="AR64" s="43" t="str">
        <f t="shared" si="28"/>
        <v/>
      </c>
      <c r="AS64" s="43" t="str">
        <f t="shared" si="28"/>
        <v/>
      </c>
      <c r="AT64" s="43" t="str">
        <f t="shared" si="28"/>
        <v/>
      </c>
      <c r="AU64" s="43" t="str">
        <f t="shared" si="28"/>
        <v/>
      </c>
      <c r="AV64" s="43" t="str">
        <f t="shared" si="29"/>
        <v/>
      </c>
      <c r="AW64" s="43" t="str">
        <f t="shared" si="29"/>
        <v/>
      </c>
      <c r="AX64" s="43" t="str">
        <f t="shared" si="29"/>
        <v/>
      </c>
      <c r="AY64" s="43" t="str">
        <f t="shared" si="29"/>
        <v/>
      </c>
      <c r="AZ64" s="43" t="str">
        <f t="shared" si="29"/>
        <v/>
      </c>
      <c r="BA64" s="43" t="str">
        <f t="shared" si="29"/>
        <v/>
      </c>
      <c r="BB64" s="43"/>
      <c r="BC64" s="43"/>
      <c r="BD64" s="43"/>
      <c r="BE64" s="43"/>
      <c r="BF64" s="43"/>
      <c r="BG64" s="43"/>
      <c r="BW64" s="1250"/>
    </row>
    <row r="65" spans="1:75" x14ac:dyDescent="0.25">
      <c r="A65" s="1251"/>
      <c r="B65" s="462">
        <v>59</v>
      </c>
      <c r="C65" s="462"/>
      <c r="D65" s="1244"/>
      <c r="E65" s="1050"/>
      <c r="F65" s="1244"/>
      <c r="H65" s="43" t="str">
        <f t="shared" si="25"/>
        <v/>
      </c>
      <c r="I65" s="43" t="str">
        <f t="shared" si="25"/>
        <v/>
      </c>
      <c r="J65" s="43" t="str">
        <f t="shared" si="25"/>
        <v/>
      </c>
      <c r="K65" s="43" t="str">
        <f t="shared" si="25"/>
        <v/>
      </c>
      <c r="L65" s="43" t="str">
        <f t="shared" si="25"/>
        <v/>
      </c>
      <c r="M65" s="43" t="str">
        <f t="shared" si="25"/>
        <v/>
      </c>
      <c r="N65" s="43" t="str">
        <f t="shared" si="25"/>
        <v/>
      </c>
      <c r="O65" s="43" t="str">
        <f t="shared" si="25"/>
        <v/>
      </c>
      <c r="P65" s="43" t="str">
        <f t="shared" si="25"/>
        <v/>
      </c>
      <c r="Q65" s="43" t="str">
        <f t="shared" si="25"/>
        <v/>
      </c>
      <c r="R65" s="43" t="str">
        <f t="shared" si="26"/>
        <v/>
      </c>
      <c r="S65" s="43" t="str">
        <f t="shared" si="26"/>
        <v/>
      </c>
      <c r="T65" s="43" t="str">
        <f t="shared" si="26"/>
        <v/>
      </c>
      <c r="U65" s="43" t="str">
        <f t="shared" si="26"/>
        <v/>
      </c>
      <c r="V65" s="43" t="str">
        <f t="shared" si="26"/>
        <v/>
      </c>
      <c r="W65" s="43" t="str">
        <f t="shared" si="26"/>
        <v/>
      </c>
      <c r="X65" s="43" t="str">
        <f t="shared" si="26"/>
        <v/>
      </c>
      <c r="Y65" s="43" t="str">
        <f t="shared" si="26"/>
        <v/>
      </c>
      <c r="Z65" s="43" t="str">
        <f t="shared" si="26"/>
        <v/>
      </c>
      <c r="AA65" s="43" t="str">
        <f t="shared" si="26"/>
        <v/>
      </c>
      <c r="AB65" s="43" t="str">
        <f t="shared" si="27"/>
        <v/>
      </c>
      <c r="AC65" s="43" t="str">
        <f t="shared" si="27"/>
        <v/>
      </c>
      <c r="AD65" s="43" t="str">
        <f t="shared" si="27"/>
        <v/>
      </c>
      <c r="AE65" s="43" t="str">
        <f t="shared" si="27"/>
        <v/>
      </c>
      <c r="AF65" s="43" t="str">
        <f t="shared" si="27"/>
        <v/>
      </c>
      <c r="AG65" s="43" t="str">
        <f t="shared" si="27"/>
        <v/>
      </c>
      <c r="AH65" s="43" t="str">
        <f t="shared" si="27"/>
        <v/>
      </c>
      <c r="AI65" s="43" t="str">
        <f t="shared" si="27"/>
        <v/>
      </c>
      <c r="AJ65" s="43" t="str">
        <f t="shared" si="27"/>
        <v/>
      </c>
      <c r="AK65" s="43" t="str">
        <f t="shared" si="27"/>
        <v/>
      </c>
      <c r="AL65" s="43" t="str">
        <f t="shared" si="28"/>
        <v/>
      </c>
      <c r="AM65" s="43" t="str">
        <f t="shared" si="28"/>
        <v/>
      </c>
      <c r="AN65" s="43" t="str">
        <f t="shared" si="28"/>
        <v/>
      </c>
      <c r="AO65" s="43" t="str">
        <f t="shared" si="28"/>
        <v/>
      </c>
      <c r="AP65" s="43" t="str">
        <f t="shared" si="28"/>
        <v/>
      </c>
      <c r="AQ65" s="43" t="str">
        <f t="shared" si="28"/>
        <v/>
      </c>
      <c r="AR65" s="43" t="str">
        <f t="shared" si="28"/>
        <v/>
      </c>
      <c r="AS65" s="43" t="str">
        <f t="shared" si="28"/>
        <v/>
      </c>
      <c r="AT65" s="43" t="str">
        <f t="shared" si="28"/>
        <v/>
      </c>
      <c r="AU65" s="43" t="str">
        <f t="shared" si="28"/>
        <v/>
      </c>
      <c r="AV65" s="43" t="str">
        <f t="shared" si="29"/>
        <v/>
      </c>
      <c r="AW65" s="43" t="str">
        <f t="shared" si="29"/>
        <v/>
      </c>
      <c r="AX65" s="43" t="str">
        <f t="shared" si="29"/>
        <v/>
      </c>
      <c r="AY65" s="43" t="str">
        <f t="shared" si="29"/>
        <v/>
      </c>
      <c r="AZ65" s="43" t="str">
        <f t="shared" si="29"/>
        <v/>
      </c>
      <c r="BA65" s="43" t="str">
        <f t="shared" si="29"/>
        <v/>
      </c>
      <c r="BB65" s="43"/>
      <c r="BC65" s="43"/>
      <c r="BD65" s="43"/>
      <c r="BE65" s="43"/>
      <c r="BF65" s="43"/>
      <c r="BG65" s="43"/>
      <c r="BW65" s="1250"/>
    </row>
    <row r="66" spans="1:75" x14ac:dyDescent="0.25">
      <c r="A66" s="1251"/>
      <c r="B66" s="462">
        <v>60</v>
      </c>
      <c r="C66" s="462"/>
      <c r="D66" s="1244"/>
      <c r="E66" s="1050"/>
      <c r="F66" s="1244"/>
      <c r="H66" s="43" t="str">
        <f t="shared" si="25"/>
        <v/>
      </c>
      <c r="I66" s="43" t="str">
        <f t="shared" si="25"/>
        <v/>
      </c>
      <c r="J66" s="43" t="str">
        <f t="shared" si="25"/>
        <v/>
      </c>
      <c r="K66" s="43" t="str">
        <f t="shared" si="25"/>
        <v/>
      </c>
      <c r="L66" s="43" t="str">
        <f t="shared" si="25"/>
        <v/>
      </c>
      <c r="M66" s="43" t="str">
        <f t="shared" si="25"/>
        <v/>
      </c>
      <c r="N66" s="43" t="str">
        <f t="shared" si="25"/>
        <v/>
      </c>
      <c r="O66" s="43" t="str">
        <f t="shared" si="25"/>
        <v/>
      </c>
      <c r="P66" s="43" t="str">
        <f t="shared" si="25"/>
        <v/>
      </c>
      <c r="Q66" s="43" t="str">
        <f t="shared" si="25"/>
        <v/>
      </c>
      <c r="R66" s="43" t="str">
        <f t="shared" si="26"/>
        <v/>
      </c>
      <c r="S66" s="43" t="str">
        <f t="shared" si="26"/>
        <v/>
      </c>
      <c r="T66" s="43" t="str">
        <f t="shared" si="26"/>
        <v/>
      </c>
      <c r="U66" s="43" t="str">
        <f t="shared" si="26"/>
        <v/>
      </c>
      <c r="V66" s="43" t="str">
        <f t="shared" si="26"/>
        <v/>
      </c>
      <c r="W66" s="43" t="str">
        <f t="shared" si="26"/>
        <v/>
      </c>
      <c r="X66" s="43" t="str">
        <f t="shared" si="26"/>
        <v/>
      </c>
      <c r="Y66" s="43" t="str">
        <f t="shared" si="26"/>
        <v/>
      </c>
      <c r="Z66" s="43" t="str">
        <f t="shared" si="26"/>
        <v/>
      </c>
      <c r="AA66" s="43" t="str">
        <f t="shared" si="26"/>
        <v/>
      </c>
      <c r="AB66" s="43" t="str">
        <f t="shared" si="27"/>
        <v/>
      </c>
      <c r="AC66" s="43" t="str">
        <f t="shared" si="27"/>
        <v/>
      </c>
      <c r="AD66" s="43" t="str">
        <f t="shared" si="27"/>
        <v/>
      </c>
      <c r="AE66" s="43" t="str">
        <f t="shared" si="27"/>
        <v/>
      </c>
      <c r="AF66" s="43" t="str">
        <f t="shared" si="27"/>
        <v/>
      </c>
      <c r="AG66" s="43" t="str">
        <f t="shared" si="27"/>
        <v/>
      </c>
      <c r="AH66" s="43" t="str">
        <f t="shared" si="27"/>
        <v/>
      </c>
      <c r="AI66" s="43" t="str">
        <f t="shared" si="27"/>
        <v/>
      </c>
      <c r="AJ66" s="43" t="str">
        <f t="shared" si="27"/>
        <v/>
      </c>
      <c r="AK66" s="43" t="str">
        <f t="shared" si="27"/>
        <v/>
      </c>
      <c r="AL66" s="43" t="str">
        <f t="shared" si="28"/>
        <v/>
      </c>
      <c r="AM66" s="43" t="str">
        <f t="shared" si="28"/>
        <v/>
      </c>
      <c r="AN66" s="43" t="str">
        <f t="shared" si="28"/>
        <v/>
      </c>
      <c r="AO66" s="43" t="str">
        <f t="shared" si="28"/>
        <v/>
      </c>
      <c r="AP66" s="43" t="str">
        <f t="shared" si="28"/>
        <v/>
      </c>
      <c r="AQ66" s="43" t="str">
        <f t="shared" si="28"/>
        <v/>
      </c>
      <c r="AR66" s="43" t="str">
        <f t="shared" si="28"/>
        <v/>
      </c>
      <c r="AS66" s="43" t="str">
        <f t="shared" si="28"/>
        <v/>
      </c>
      <c r="AT66" s="43" t="str">
        <f t="shared" si="28"/>
        <v/>
      </c>
      <c r="AU66" s="43" t="str">
        <f t="shared" si="28"/>
        <v/>
      </c>
      <c r="AV66" s="43" t="str">
        <f t="shared" si="29"/>
        <v/>
      </c>
      <c r="AW66" s="43" t="str">
        <f t="shared" si="29"/>
        <v/>
      </c>
      <c r="AX66" s="43" t="str">
        <f t="shared" si="29"/>
        <v/>
      </c>
      <c r="AY66" s="43" t="str">
        <f t="shared" si="29"/>
        <v/>
      </c>
      <c r="AZ66" s="43" t="str">
        <f t="shared" si="29"/>
        <v/>
      </c>
      <c r="BA66" s="43" t="str">
        <f t="shared" si="29"/>
        <v/>
      </c>
      <c r="BB66" s="43"/>
      <c r="BC66" s="43"/>
      <c r="BD66" s="43"/>
      <c r="BE66" s="43"/>
      <c r="BF66" s="43"/>
      <c r="BG66" s="43"/>
      <c r="BW66" s="1250"/>
    </row>
    <row r="67" spans="1:75" x14ac:dyDescent="0.25">
      <c r="A67" s="1251"/>
      <c r="B67" s="462">
        <v>61</v>
      </c>
      <c r="C67" s="462"/>
      <c r="D67" s="1244"/>
      <c r="E67" s="1050"/>
      <c r="F67" s="1244"/>
      <c r="H67" s="43" t="str">
        <f t="shared" ref="H67:Q76" si="30">IF($D67=H$6,$B67&amp;", ","")</f>
        <v/>
      </c>
      <c r="I67" s="43" t="str">
        <f t="shared" si="30"/>
        <v/>
      </c>
      <c r="J67" s="43" t="str">
        <f t="shared" si="30"/>
        <v/>
      </c>
      <c r="K67" s="43" t="str">
        <f t="shared" si="30"/>
        <v/>
      </c>
      <c r="L67" s="43" t="str">
        <f t="shared" si="30"/>
        <v/>
      </c>
      <c r="M67" s="43" t="str">
        <f t="shared" si="30"/>
        <v/>
      </c>
      <c r="N67" s="43" t="str">
        <f t="shared" si="30"/>
        <v/>
      </c>
      <c r="O67" s="43" t="str">
        <f t="shared" si="30"/>
        <v/>
      </c>
      <c r="P67" s="43" t="str">
        <f t="shared" si="30"/>
        <v/>
      </c>
      <c r="Q67" s="43" t="str">
        <f t="shared" si="30"/>
        <v/>
      </c>
      <c r="R67" s="43" t="str">
        <f t="shared" ref="R67:AA76" si="31">IF($D67=R$6,$B67&amp;", ","")</f>
        <v/>
      </c>
      <c r="S67" s="43" t="str">
        <f t="shared" si="31"/>
        <v/>
      </c>
      <c r="T67" s="43" t="str">
        <f t="shared" si="31"/>
        <v/>
      </c>
      <c r="U67" s="43" t="str">
        <f t="shared" si="31"/>
        <v/>
      </c>
      <c r="V67" s="43" t="str">
        <f t="shared" si="31"/>
        <v/>
      </c>
      <c r="W67" s="43" t="str">
        <f t="shared" si="31"/>
        <v/>
      </c>
      <c r="X67" s="43" t="str">
        <f t="shared" si="31"/>
        <v/>
      </c>
      <c r="Y67" s="43" t="str">
        <f t="shared" si="31"/>
        <v/>
      </c>
      <c r="Z67" s="43" t="str">
        <f t="shared" si="31"/>
        <v/>
      </c>
      <c r="AA67" s="43" t="str">
        <f t="shared" si="31"/>
        <v/>
      </c>
      <c r="AB67" s="43" t="str">
        <f t="shared" ref="AB67:AK76" si="32">IF($D67=AB$6,$B67&amp;", ","")</f>
        <v/>
      </c>
      <c r="AC67" s="43" t="str">
        <f t="shared" si="32"/>
        <v/>
      </c>
      <c r="AD67" s="43" t="str">
        <f t="shared" si="32"/>
        <v/>
      </c>
      <c r="AE67" s="43" t="str">
        <f t="shared" si="32"/>
        <v/>
      </c>
      <c r="AF67" s="43" t="str">
        <f t="shared" si="32"/>
        <v/>
      </c>
      <c r="AG67" s="43" t="str">
        <f t="shared" si="32"/>
        <v/>
      </c>
      <c r="AH67" s="43" t="str">
        <f t="shared" si="32"/>
        <v/>
      </c>
      <c r="AI67" s="43" t="str">
        <f t="shared" si="32"/>
        <v/>
      </c>
      <c r="AJ67" s="43" t="str">
        <f t="shared" si="32"/>
        <v/>
      </c>
      <c r="AK67" s="43" t="str">
        <f t="shared" si="32"/>
        <v/>
      </c>
      <c r="AL67" s="43" t="str">
        <f t="shared" ref="AL67:AU76" si="33">IF($D67=AL$6,$B67&amp;", ","")</f>
        <v/>
      </c>
      <c r="AM67" s="43" t="str">
        <f t="shared" si="33"/>
        <v/>
      </c>
      <c r="AN67" s="43" t="str">
        <f t="shared" si="33"/>
        <v/>
      </c>
      <c r="AO67" s="43" t="str">
        <f t="shared" si="33"/>
        <v/>
      </c>
      <c r="AP67" s="43" t="str">
        <f t="shared" si="33"/>
        <v/>
      </c>
      <c r="AQ67" s="43" t="str">
        <f t="shared" si="33"/>
        <v/>
      </c>
      <c r="AR67" s="43" t="str">
        <f t="shared" si="33"/>
        <v/>
      </c>
      <c r="AS67" s="43" t="str">
        <f t="shared" si="33"/>
        <v/>
      </c>
      <c r="AT67" s="43" t="str">
        <f t="shared" si="33"/>
        <v/>
      </c>
      <c r="AU67" s="43" t="str">
        <f t="shared" si="33"/>
        <v/>
      </c>
      <c r="AV67" s="43" t="str">
        <f t="shared" ref="AV67:BA76" si="34">IF($D67=AV$6,$B67&amp;", ","")</f>
        <v/>
      </c>
      <c r="AW67" s="43" t="str">
        <f t="shared" si="34"/>
        <v/>
      </c>
      <c r="AX67" s="43" t="str">
        <f t="shared" si="34"/>
        <v/>
      </c>
      <c r="AY67" s="43" t="str">
        <f t="shared" si="34"/>
        <v/>
      </c>
      <c r="AZ67" s="43" t="str">
        <f t="shared" si="34"/>
        <v/>
      </c>
      <c r="BA67" s="43" t="str">
        <f t="shared" si="34"/>
        <v/>
      </c>
      <c r="BB67" s="43"/>
      <c r="BC67" s="43"/>
      <c r="BD67" s="43"/>
      <c r="BE67" s="43"/>
      <c r="BF67" s="43"/>
      <c r="BG67" s="43"/>
      <c r="BW67" s="1250"/>
    </row>
    <row r="68" spans="1:75" x14ac:dyDescent="0.25">
      <c r="A68" s="1251"/>
      <c r="B68" s="462">
        <v>62</v>
      </c>
      <c r="C68" s="462"/>
      <c r="D68" s="1244"/>
      <c r="E68" s="1050"/>
      <c r="F68" s="1244"/>
      <c r="H68" s="43" t="str">
        <f t="shared" si="30"/>
        <v/>
      </c>
      <c r="I68" s="43" t="str">
        <f t="shared" si="30"/>
        <v/>
      </c>
      <c r="J68" s="43" t="str">
        <f t="shared" si="30"/>
        <v/>
      </c>
      <c r="K68" s="43" t="str">
        <f t="shared" si="30"/>
        <v/>
      </c>
      <c r="L68" s="43" t="str">
        <f t="shared" si="30"/>
        <v/>
      </c>
      <c r="M68" s="43" t="str">
        <f t="shared" si="30"/>
        <v/>
      </c>
      <c r="N68" s="43" t="str">
        <f t="shared" si="30"/>
        <v/>
      </c>
      <c r="O68" s="43" t="str">
        <f t="shared" si="30"/>
        <v/>
      </c>
      <c r="P68" s="43" t="str">
        <f t="shared" si="30"/>
        <v/>
      </c>
      <c r="Q68" s="43" t="str">
        <f t="shared" si="30"/>
        <v/>
      </c>
      <c r="R68" s="43" t="str">
        <f t="shared" si="31"/>
        <v/>
      </c>
      <c r="S68" s="43" t="str">
        <f t="shared" si="31"/>
        <v/>
      </c>
      <c r="T68" s="43" t="str">
        <f t="shared" si="31"/>
        <v/>
      </c>
      <c r="U68" s="43" t="str">
        <f t="shared" si="31"/>
        <v/>
      </c>
      <c r="V68" s="43" t="str">
        <f t="shared" si="31"/>
        <v/>
      </c>
      <c r="W68" s="43" t="str">
        <f t="shared" si="31"/>
        <v/>
      </c>
      <c r="X68" s="43" t="str">
        <f t="shared" si="31"/>
        <v/>
      </c>
      <c r="Y68" s="43" t="str">
        <f t="shared" si="31"/>
        <v/>
      </c>
      <c r="Z68" s="43" t="str">
        <f t="shared" si="31"/>
        <v/>
      </c>
      <c r="AA68" s="43" t="str">
        <f t="shared" si="31"/>
        <v/>
      </c>
      <c r="AB68" s="43" t="str">
        <f t="shared" si="32"/>
        <v/>
      </c>
      <c r="AC68" s="43" t="str">
        <f t="shared" si="32"/>
        <v/>
      </c>
      <c r="AD68" s="43" t="str">
        <f t="shared" si="32"/>
        <v/>
      </c>
      <c r="AE68" s="43" t="str">
        <f t="shared" si="32"/>
        <v/>
      </c>
      <c r="AF68" s="43" t="str">
        <f t="shared" si="32"/>
        <v/>
      </c>
      <c r="AG68" s="43" t="str">
        <f t="shared" si="32"/>
        <v/>
      </c>
      <c r="AH68" s="43" t="str">
        <f t="shared" si="32"/>
        <v/>
      </c>
      <c r="AI68" s="43" t="str">
        <f t="shared" si="32"/>
        <v/>
      </c>
      <c r="AJ68" s="43" t="str">
        <f t="shared" si="32"/>
        <v/>
      </c>
      <c r="AK68" s="43" t="str">
        <f t="shared" si="32"/>
        <v/>
      </c>
      <c r="AL68" s="43" t="str">
        <f t="shared" si="33"/>
        <v/>
      </c>
      <c r="AM68" s="43" t="str">
        <f t="shared" si="33"/>
        <v/>
      </c>
      <c r="AN68" s="43" t="str">
        <f t="shared" si="33"/>
        <v/>
      </c>
      <c r="AO68" s="43" t="str">
        <f t="shared" si="33"/>
        <v/>
      </c>
      <c r="AP68" s="43" t="str">
        <f t="shared" si="33"/>
        <v/>
      </c>
      <c r="AQ68" s="43" t="str">
        <f t="shared" si="33"/>
        <v/>
      </c>
      <c r="AR68" s="43" t="str">
        <f t="shared" si="33"/>
        <v/>
      </c>
      <c r="AS68" s="43" t="str">
        <f t="shared" si="33"/>
        <v/>
      </c>
      <c r="AT68" s="43" t="str">
        <f t="shared" si="33"/>
        <v/>
      </c>
      <c r="AU68" s="43" t="str">
        <f t="shared" si="33"/>
        <v/>
      </c>
      <c r="AV68" s="43" t="str">
        <f t="shared" si="34"/>
        <v/>
      </c>
      <c r="AW68" s="43" t="str">
        <f t="shared" si="34"/>
        <v/>
      </c>
      <c r="AX68" s="43" t="str">
        <f t="shared" si="34"/>
        <v/>
      </c>
      <c r="AY68" s="43" t="str">
        <f t="shared" si="34"/>
        <v/>
      </c>
      <c r="AZ68" s="43" t="str">
        <f t="shared" si="34"/>
        <v/>
      </c>
      <c r="BA68" s="43" t="str">
        <f t="shared" si="34"/>
        <v/>
      </c>
      <c r="BB68" s="43"/>
      <c r="BC68" s="43"/>
      <c r="BD68" s="43"/>
      <c r="BE68" s="43"/>
      <c r="BF68" s="43"/>
      <c r="BG68" s="43"/>
      <c r="BW68" s="1250"/>
    </row>
    <row r="69" spans="1:75" x14ac:dyDescent="0.25">
      <c r="A69" s="1251"/>
      <c r="B69" s="462">
        <v>63</v>
      </c>
      <c r="C69" s="462"/>
      <c r="D69" s="1244"/>
      <c r="E69" s="1050"/>
      <c r="F69" s="1244"/>
      <c r="H69" s="43" t="str">
        <f t="shared" si="30"/>
        <v/>
      </c>
      <c r="I69" s="43" t="str">
        <f t="shared" si="30"/>
        <v/>
      </c>
      <c r="J69" s="43" t="str">
        <f t="shared" si="30"/>
        <v/>
      </c>
      <c r="K69" s="43" t="str">
        <f t="shared" si="30"/>
        <v/>
      </c>
      <c r="L69" s="43" t="str">
        <f t="shared" si="30"/>
        <v/>
      </c>
      <c r="M69" s="43" t="str">
        <f t="shared" si="30"/>
        <v/>
      </c>
      <c r="N69" s="43" t="str">
        <f t="shared" si="30"/>
        <v/>
      </c>
      <c r="O69" s="43" t="str">
        <f t="shared" si="30"/>
        <v/>
      </c>
      <c r="P69" s="43" t="str">
        <f t="shared" si="30"/>
        <v/>
      </c>
      <c r="Q69" s="43" t="str">
        <f t="shared" si="30"/>
        <v/>
      </c>
      <c r="R69" s="43" t="str">
        <f t="shared" si="31"/>
        <v/>
      </c>
      <c r="S69" s="43" t="str">
        <f t="shared" si="31"/>
        <v/>
      </c>
      <c r="T69" s="43" t="str">
        <f t="shared" si="31"/>
        <v/>
      </c>
      <c r="U69" s="43" t="str">
        <f t="shared" si="31"/>
        <v/>
      </c>
      <c r="V69" s="43" t="str">
        <f t="shared" si="31"/>
        <v/>
      </c>
      <c r="W69" s="43" t="str">
        <f t="shared" si="31"/>
        <v/>
      </c>
      <c r="X69" s="43" t="str">
        <f t="shared" si="31"/>
        <v/>
      </c>
      <c r="Y69" s="43" t="str">
        <f t="shared" si="31"/>
        <v/>
      </c>
      <c r="Z69" s="43" t="str">
        <f t="shared" si="31"/>
        <v/>
      </c>
      <c r="AA69" s="43" t="str">
        <f t="shared" si="31"/>
        <v/>
      </c>
      <c r="AB69" s="43" t="str">
        <f t="shared" si="32"/>
        <v/>
      </c>
      <c r="AC69" s="43" t="str">
        <f t="shared" si="32"/>
        <v/>
      </c>
      <c r="AD69" s="43" t="str">
        <f t="shared" si="32"/>
        <v/>
      </c>
      <c r="AE69" s="43" t="str">
        <f t="shared" si="32"/>
        <v/>
      </c>
      <c r="AF69" s="43" t="str">
        <f t="shared" si="32"/>
        <v/>
      </c>
      <c r="AG69" s="43" t="str">
        <f t="shared" si="32"/>
        <v/>
      </c>
      <c r="AH69" s="43" t="str">
        <f t="shared" si="32"/>
        <v/>
      </c>
      <c r="AI69" s="43" t="str">
        <f t="shared" si="32"/>
        <v/>
      </c>
      <c r="AJ69" s="43" t="str">
        <f t="shared" si="32"/>
        <v/>
      </c>
      <c r="AK69" s="43" t="str">
        <f t="shared" si="32"/>
        <v/>
      </c>
      <c r="AL69" s="43" t="str">
        <f t="shared" si="33"/>
        <v/>
      </c>
      <c r="AM69" s="43" t="str">
        <f t="shared" si="33"/>
        <v/>
      </c>
      <c r="AN69" s="43" t="str">
        <f t="shared" si="33"/>
        <v/>
      </c>
      <c r="AO69" s="43" t="str">
        <f t="shared" si="33"/>
        <v/>
      </c>
      <c r="AP69" s="43" t="str">
        <f t="shared" si="33"/>
        <v/>
      </c>
      <c r="AQ69" s="43" t="str">
        <f t="shared" si="33"/>
        <v/>
      </c>
      <c r="AR69" s="43" t="str">
        <f t="shared" si="33"/>
        <v/>
      </c>
      <c r="AS69" s="43" t="str">
        <f t="shared" si="33"/>
        <v/>
      </c>
      <c r="AT69" s="43" t="str">
        <f t="shared" si="33"/>
        <v/>
      </c>
      <c r="AU69" s="43" t="str">
        <f t="shared" si="33"/>
        <v/>
      </c>
      <c r="AV69" s="43" t="str">
        <f t="shared" si="34"/>
        <v/>
      </c>
      <c r="AW69" s="43" t="str">
        <f t="shared" si="34"/>
        <v/>
      </c>
      <c r="AX69" s="43" t="str">
        <f t="shared" si="34"/>
        <v/>
      </c>
      <c r="AY69" s="43" t="str">
        <f t="shared" si="34"/>
        <v/>
      </c>
      <c r="AZ69" s="43" t="str">
        <f t="shared" si="34"/>
        <v/>
      </c>
      <c r="BA69" s="43" t="str">
        <f t="shared" si="34"/>
        <v/>
      </c>
      <c r="BB69" s="43"/>
      <c r="BC69" s="43"/>
      <c r="BD69" s="43"/>
      <c r="BE69" s="43"/>
      <c r="BF69" s="43"/>
      <c r="BG69" s="43"/>
      <c r="BW69" s="1250"/>
    </row>
    <row r="70" spans="1:75" x14ac:dyDescent="0.25">
      <c r="A70" s="1251"/>
      <c r="B70" s="462">
        <v>64</v>
      </c>
      <c r="C70" s="462"/>
      <c r="D70" s="1244"/>
      <c r="E70" s="1050"/>
      <c r="F70" s="1244"/>
      <c r="H70" s="43" t="str">
        <f t="shared" si="30"/>
        <v/>
      </c>
      <c r="I70" s="43" t="str">
        <f t="shared" si="30"/>
        <v/>
      </c>
      <c r="J70" s="43" t="str">
        <f t="shared" si="30"/>
        <v/>
      </c>
      <c r="K70" s="43" t="str">
        <f t="shared" si="30"/>
        <v/>
      </c>
      <c r="L70" s="43" t="str">
        <f t="shared" si="30"/>
        <v/>
      </c>
      <c r="M70" s="43" t="str">
        <f t="shared" si="30"/>
        <v/>
      </c>
      <c r="N70" s="43" t="str">
        <f t="shared" si="30"/>
        <v/>
      </c>
      <c r="O70" s="43" t="str">
        <f t="shared" si="30"/>
        <v/>
      </c>
      <c r="P70" s="43" t="str">
        <f t="shared" si="30"/>
        <v/>
      </c>
      <c r="Q70" s="43" t="str">
        <f t="shared" si="30"/>
        <v/>
      </c>
      <c r="R70" s="43" t="str">
        <f t="shared" si="31"/>
        <v/>
      </c>
      <c r="S70" s="43" t="str">
        <f t="shared" si="31"/>
        <v/>
      </c>
      <c r="T70" s="43" t="str">
        <f t="shared" si="31"/>
        <v/>
      </c>
      <c r="U70" s="43" t="str">
        <f t="shared" si="31"/>
        <v/>
      </c>
      <c r="V70" s="43" t="str">
        <f t="shared" si="31"/>
        <v/>
      </c>
      <c r="W70" s="43" t="str">
        <f t="shared" si="31"/>
        <v/>
      </c>
      <c r="X70" s="43" t="str">
        <f t="shared" si="31"/>
        <v/>
      </c>
      <c r="Y70" s="43" t="str">
        <f t="shared" si="31"/>
        <v/>
      </c>
      <c r="Z70" s="43" t="str">
        <f t="shared" si="31"/>
        <v/>
      </c>
      <c r="AA70" s="43" t="str">
        <f t="shared" si="31"/>
        <v/>
      </c>
      <c r="AB70" s="43" t="str">
        <f t="shared" si="32"/>
        <v/>
      </c>
      <c r="AC70" s="43" t="str">
        <f t="shared" si="32"/>
        <v/>
      </c>
      <c r="AD70" s="43" t="str">
        <f t="shared" si="32"/>
        <v/>
      </c>
      <c r="AE70" s="43" t="str">
        <f t="shared" si="32"/>
        <v/>
      </c>
      <c r="AF70" s="43" t="str">
        <f t="shared" si="32"/>
        <v/>
      </c>
      <c r="AG70" s="43" t="str">
        <f t="shared" si="32"/>
        <v/>
      </c>
      <c r="AH70" s="43" t="str">
        <f t="shared" si="32"/>
        <v/>
      </c>
      <c r="AI70" s="43" t="str">
        <f t="shared" si="32"/>
        <v/>
      </c>
      <c r="AJ70" s="43" t="str">
        <f t="shared" si="32"/>
        <v/>
      </c>
      <c r="AK70" s="43" t="str">
        <f t="shared" si="32"/>
        <v/>
      </c>
      <c r="AL70" s="43" t="str">
        <f t="shared" si="33"/>
        <v/>
      </c>
      <c r="AM70" s="43" t="str">
        <f t="shared" si="33"/>
        <v/>
      </c>
      <c r="AN70" s="43" t="str">
        <f t="shared" si="33"/>
        <v/>
      </c>
      <c r="AO70" s="43" t="str">
        <f t="shared" si="33"/>
        <v/>
      </c>
      <c r="AP70" s="43" t="str">
        <f t="shared" si="33"/>
        <v/>
      </c>
      <c r="AQ70" s="43" t="str">
        <f t="shared" si="33"/>
        <v/>
      </c>
      <c r="AR70" s="43" t="str">
        <f t="shared" si="33"/>
        <v/>
      </c>
      <c r="AS70" s="43" t="str">
        <f t="shared" si="33"/>
        <v/>
      </c>
      <c r="AT70" s="43" t="str">
        <f t="shared" si="33"/>
        <v/>
      </c>
      <c r="AU70" s="43" t="str">
        <f t="shared" si="33"/>
        <v/>
      </c>
      <c r="AV70" s="43" t="str">
        <f t="shared" si="34"/>
        <v/>
      </c>
      <c r="AW70" s="43" t="str">
        <f t="shared" si="34"/>
        <v/>
      </c>
      <c r="AX70" s="43" t="str">
        <f t="shared" si="34"/>
        <v/>
      </c>
      <c r="AY70" s="43" t="str">
        <f t="shared" si="34"/>
        <v/>
      </c>
      <c r="AZ70" s="43" t="str">
        <f t="shared" si="34"/>
        <v/>
      </c>
      <c r="BA70" s="43" t="str">
        <f t="shared" si="34"/>
        <v/>
      </c>
      <c r="BB70" s="43"/>
      <c r="BC70" s="43"/>
      <c r="BD70" s="43"/>
      <c r="BE70" s="43"/>
      <c r="BF70" s="43"/>
      <c r="BG70" s="43"/>
      <c r="BW70" s="1250"/>
    </row>
    <row r="71" spans="1:75" x14ac:dyDescent="0.25">
      <c r="A71" s="1251"/>
      <c r="B71" s="462">
        <v>65</v>
      </c>
      <c r="C71" s="462"/>
      <c r="D71" s="1244"/>
      <c r="E71" s="1050"/>
      <c r="F71" s="1244"/>
      <c r="H71" s="43" t="str">
        <f t="shared" si="30"/>
        <v/>
      </c>
      <c r="I71" s="43" t="str">
        <f t="shared" si="30"/>
        <v/>
      </c>
      <c r="J71" s="43" t="str">
        <f t="shared" si="30"/>
        <v/>
      </c>
      <c r="K71" s="43" t="str">
        <f t="shared" si="30"/>
        <v/>
      </c>
      <c r="L71" s="43" t="str">
        <f t="shared" si="30"/>
        <v/>
      </c>
      <c r="M71" s="43" t="str">
        <f t="shared" si="30"/>
        <v/>
      </c>
      <c r="N71" s="43" t="str">
        <f t="shared" si="30"/>
        <v/>
      </c>
      <c r="O71" s="43" t="str">
        <f t="shared" si="30"/>
        <v/>
      </c>
      <c r="P71" s="43" t="str">
        <f t="shared" si="30"/>
        <v/>
      </c>
      <c r="Q71" s="43" t="str">
        <f t="shared" si="30"/>
        <v/>
      </c>
      <c r="R71" s="43" t="str">
        <f t="shared" si="31"/>
        <v/>
      </c>
      <c r="S71" s="43" t="str">
        <f t="shared" si="31"/>
        <v/>
      </c>
      <c r="T71" s="43" t="str">
        <f t="shared" si="31"/>
        <v/>
      </c>
      <c r="U71" s="43" t="str">
        <f t="shared" si="31"/>
        <v/>
      </c>
      <c r="V71" s="43" t="str">
        <f t="shared" si="31"/>
        <v/>
      </c>
      <c r="W71" s="43" t="str">
        <f t="shared" si="31"/>
        <v/>
      </c>
      <c r="X71" s="43" t="str">
        <f t="shared" si="31"/>
        <v/>
      </c>
      <c r="Y71" s="43" t="str">
        <f t="shared" si="31"/>
        <v/>
      </c>
      <c r="Z71" s="43" t="str">
        <f t="shared" si="31"/>
        <v/>
      </c>
      <c r="AA71" s="43" t="str">
        <f t="shared" si="31"/>
        <v/>
      </c>
      <c r="AB71" s="43" t="str">
        <f t="shared" si="32"/>
        <v/>
      </c>
      <c r="AC71" s="43" t="str">
        <f t="shared" si="32"/>
        <v/>
      </c>
      <c r="AD71" s="43" t="str">
        <f t="shared" si="32"/>
        <v/>
      </c>
      <c r="AE71" s="43" t="str">
        <f t="shared" si="32"/>
        <v/>
      </c>
      <c r="AF71" s="43" t="str">
        <f t="shared" si="32"/>
        <v/>
      </c>
      <c r="AG71" s="43" t="str">
        <f t="shared" si="32"/>
        <v/>
      </c>
      <c r="AH71" s="43" t="str">
        <f t="shared" si="32"/>
        <v/>
      </c>
      <c r="AI71" s="43" t="str">
        <f t="shared" si="32"/>
        <v/>
      </c>
      <c r="AJ71" s="43" t="str">
        <f t="shared" si="32"/>
        <v/>
      </c>
      <c r="AK71" s="43" t="str">
        <f t="shared" si="32"/>
        <v/>
      </c>
      <c r="AL71" s="43" t="str">
        <f t="shared" si="33"/>
        <v/>
      </c>
      <c r="AM71" s="43" t="str">
        <f t="shared" si="33"/>
        <v/>
      </c>
      <c r="AN71" s="43" t="str">
        <f t="shared" si="33"/>
        <v/>
      </c>
      <c r="AO71" s="43" t="str">
        <f t="shared" si="33"/>
        <v/>
      </c>
      <c r="AP71" s="43" t="str">
        <f t="shared" si="33"/>
        <v/>
      </c>
      <c r="AQ71" s="43" t="str">
        <f t="shared" si="33"/>
        <v/>
      </c>
      <c r="AR71" s="43" t="str">
        <f t="shared" si="33"/>
        <v/>
      </c>
      <c r="AS71" s="43" t="str">
        <f t="shared" si="33"/>
        <v/>
      </c>
      <c r="AT71" s="43" t="str">
        <f t="shared" si="33"/>
        <v/>
      </c>
      <c r="AU71" s="43" t="str">
        <f t="shared" si="33"/>
        <v/>
      </c>
      <c r="AV71" s="43" t="str">
        <f t="shared" si="34"/>
        <v/>
      </c>
      <c r="AW71" s="43" t="str">
        <f t="shared" si="34"/>
        <v/>
      </c>
      <c r="AX71" s="43" t="str">
        <f t="shared" si="34"/>
        <v/>
      </c>
      <c r="AY71" s="43" t="str">
        <f t="shared" si="34"/>
        <v/>
      </c>
      <c r="AZ71" s="43" t="str">
        <f t="shared" si="34"/>
        <v/>
      </c>
      <c r="BA71" s="43" t="str">
        <f t="shared" si="34"/>
        <v/>
      </c>
      <c r="BB71" s="43"/>
      <c r="BC71" s="43"/>
      <c r="BD71" s="43"/>
      <c r="BE71" s="43"/>
      <c r="BF71" s="43"/>
      <c r="BG71" s="43"/>
      <c r="BW71" s="1250"/>
    </row>
    <row r="72" spans="1:75" x14ac:dyDescent="0.25">
      <c r="A72" s="1251"/>
      <c r="B72" s="462">
        <v>66</v>
      </c>
      <c r="C72" s="462"/>
      <c r="D72" s="1244"/>
      <c r="E72" s="1050"/>
      <c r="F72" s="1244"/>
      <c r="H72" s="43" t="str">
        <f t="shared" si="30"/>
        <v/>
      </c>
      <c r="I72" s="43" t="str">
        <f t="shared" si="30"/>
        <v/>
      </c>
      <c r="J72" s="43" t="str">
        <f t="shared" si="30"/>
        <v/>
      </c>
      <c r="K72" s="43" t="str">
        <f t="shared" si="30"/>
        <v/>
      </c>
      <c r="L72" s="43" t="str">
        <f t="shared" si="30"/>
        <v/>
      </c>
      <c r="M72" s="43" t="str">
        <f t="shared" si="30"/>
        <v/>
      </c>
      <c r="N72" s="43" t="str">
        <f t="shared" si="30"/>
        <v/>
      </c>
      <c r="O72" s="43" t="str">
        <f t="shared" si="30"/>
        <v/>
      </c>
      <c r="P72" s="43" t="str">
        <f t="shared" si="30"/>
        <v/>
      </c>
      <c r="Q72" s="43" t="str">
        <f t="shared" si="30"/>
        <v/>
      </c>
      <c r="R72" s="43" t="str">
        <f t="shared" si="31"/>
        <v/>
      </c>
      <c r="S72" s="43" t="str">
        <f t="shared" si="31"/>
        <v/>
      </c>
      <c r="T72" s="43" t="str">
        <f t="shared" si="31"/>
        <v/>
      </c>
      <c r="U72" s="43" t="str">
        <f t="shared" si="31"/>
        <v/>
      </c>
      <c r="V72" s="43" t="str">
        <f t="shared" si="31"/>
        <v/>
      </c>
      <c r="W72" s="43" t="str">
        <f t="shared" si="31"/>
        <v/>
      </c>
      <c r="X72" s="43" t="str">
        <f t="shared" si="31"/>
        <v/>
      </c>
      <c r="Y72" s="43" t="str">
        <f t="shared" si="31"/>
        <v/>
      </c>
      <c r="Z72" s="43" t="str">
        <f t="shared" si="31"/>
        <v/>
      </c>
      <c r="AA72" s="43" t="str">
        <f t="shared" si="31"/>
        <v/>
      </c>
      <c r="AB72" s="43" t="str">
        <f t="shared" si="32"/>
        <v/>
      </c>
      <c r="AC72" s="43" t="str">
        <f t="shared" si="32"/>
        <v/>
      </c>
      <c r="AD72" s="43" t="str">
        <f t="shared" si="32"/>
        <v/>
      </c>
      <c r="AE72" s="43" t="str">
        <f t="shared" si="32"/>
        <v/>
      </c>
      <c r="AF72" s="43" t="str">
        <f t="shared" si="32"/>
        <v/>
      </c>
      <c r="AG72" s="43" t="str">
        <f t="shared" si="32"/>
        <v/>
      </c>
      <c r="AH72" s="43" t="str">
        <f t="shared" si="32"/>
        <v/>
      </c>
      <c r="AI72" s="43" t="str">
        <f t="shared" si="32"/>
        <v/>
      </c>
      <c r="AJ72" s="43" t="str">
        <f t="shared" si="32"/>
        <v/>
      </c>
      <c r="AK72" s="43" t="str">
        <f t="shared" si="32"/>
        <v/>
      </c>
      <c r="AL72" s="43" t="str">
        <f t="shared" si="33"/>
        <v/>
      </c>
      <c r="AM72" s="43" t="str">
        <f t="shared" si="33"/>
        <v/>
      </c>
      <c r="AN72" s="43" t="str">
        <f t="shared" si="33"/>
        <v/>
      </c>
      <c r="AO72" s="43" t="str">
        <f t="shared" si="33"/>
        <v/>
      </c>
      <c r="AP72" s="43" t="str">
        <f t="shared" si="33"/>
        <v/>
      </c>
      <c r="AQ72" s="43" t="str">
        <f t="shared" si="33"/>
        <v/>
      </c>
      <c r="AR72" s="43" t="str">
        <f t="shared" si="33"/>
        <v/>
      </c>
      <c r="AS72" s="43" t="str">
        <f t="shared" si="33"/>
        <v/>
      </c>
      <c r="AT72" s="43" t="str">
        <f t="shared" si="33"/>
        <v/>
      </c>
      <c r="AU72" s="43" t="str">
        <f t="shared" si="33"/>
        <v/>
      </c>
      <c r="AV72" s="43" t="str">
        <f t="shared" si="34"/>
        <v/>
      </c>
      <c r="AW72" s="43" t="str">
        <f t="shared" si="34"/>
        <v/>
      </c>
      <c r="AX72" s="43" t="str">
        <f t="shared" si="34"/>
        <v/>
      </c>
      <c r="AY72" s="43" t="str">
        <f t="shared" si="34"/>
        <v/>
      </c>
      <c r="AZ72" s="43" t="str">
        <f t="shared" si="34"/>
        <v/>
      </c>
      <c r="BA72" s="43" t="str">
        <f t="shared" si="34"/>
        <v/>
      </c>
      <c r="BB72" s="43"/>
      <c r="BC72" s="43"/>
      <c r="BD72" s="43"/>
      <c r="BE72" s="43"/>
      <c r="BF72" s="43"/>
      <c r="BG72" s="43"/>
      <c r="BW72" s="1250"/>
    </row>
    <row r="73" spans="1:75" x14ac:dyDescent="0.25">
      <c r="A73" s="1251"/>
      <c r="B73" s="462">
        <v>67</v>
      </c>
      <c r="C73" s="462"/>
      <c r="D73" s="1244"/>
      <c r="E73" s="1050"/>
      <c r="F73" s="1244"/>
      <c r="H73" s="43" t="str">
        <f t="shared" si="30"/>
        <v/>
      </c>
      <c r="I73" s="43" t="str">
        <f t="shared" si="30"/>
        <v/>
      </c>
      <c r="J73" s="43" t="str">
        <f t="shared" si="30"/>
        <v/>
      </c>
      <c r="K73" s="43" t="str">
        <f t="shared" si="30"/>
        <v/>
      </c>
      <c r="L73" s="43" t="str">
        <f t="shared" si="30"/>
        <v/>
      </c>
      <c r="M73" s="43" t="str">
        <f t="shared" si="30"/>
        <v/>
      </c>
      <c r="N73" s="43" t="str">
        <f t="shared" si="30"/>
        <v/>
      </c>
      <c r="O73" s="43" t="str">
        <f t="shared" si="30"/>
        <v/>
      </c>
      <c r="P73" s="43" t="str">
        <f t="shared" si="30"/>
        <v/>
      </c>
      <c r="Q73" s="43" t="str">
        <f t="shared" si="30"/>
        <v/>
      </c>
      <c r="R73" s="43" t="str">
        <f t="shared" si="31"/>
        <v/>
      </c>
      <c r="S73" s="43" t="str">
        <f t="shared" si="31"/>
        <v/>
      </c>
      <c r="T73" s="43" t="str">
        <f t="shared" si="31"/>
        <v/>
      </c>
      <c r="U73" s="43" t="str">
        <f t="shared" si="31"/>
        <v/>
      </c>
      <c r="V73" s="43" t="str">
        <f t="shared" si="31"/>
        <v/>
      </c>
      <c r="W73" s="43" t="str">
        <f t="shared" si="31"/>
        <v/>
      </c>
      <c r="X73" s="43" t="str">
        <f t="shared" si="31"/>
        <v/>
      </c>
      <c r="Y73" s="43" t="str">
        <f t="shared" si="31"/>
        <v/>
      </c>
      <c r="Z73" s="43" t="str">
        <f t="shared" si="31"/>
        <v/>
      </c>
      <c r="AA73" s="43" t="str">
        <f t="shared" si="31"/>
        <v/>
      </c>
      <c r="AB73" s="43" t="str">
        <f t="shared" si="32"/>
        <v/>
      </c>
      <c r="AC73" s="43" t="str">
        <f t="shared" si="32"/>
        <v/>
      </c>
      <c r="AD73" s="43" t="str">
        <f t="shared" si="32"/>
        <v/>
      </c>
      <c r="AE73" s="43" t="str">
        <f t="shared" si="32"/>
        <v/>
      </c>
      <c r="AF73" s="43" t="str">
        <f t="shared" si="32"/>
        <v/>
      </c>
      <c r="AG73" s="43" t="str">
        <f t="shared" si="32"/>
        <v/>
      </c>
      <c r="AH73" s="43" t="str">
        <f t="shared" si="32"/>
        <v/>
      </c>
      <c r="AI73" s="43" t="str">
        <f t="shared" si="32"/>
        <v/>
      </c>
      <c r="AJ73" s="43" t="str">
        <f t="shared" si="32"/>
        <v/>
      </c>
      <c r="AK73" s="43" t="str">
        <f t="shared" si="32"/>
        <v/>
      </c>
      <c r="AL73" s="43" t="str">
        <f t="shared" si="33"/>
        <v/>
      </c>
      <c r="AM73" s="43" t="str">
        <f t="shared" si="33"/>
        <v/>
      </c>
      <c r="AN73" s="43" t="str">
        <f t="shared" si="33"/>
        <v/>
      </c>
      <c r="AO73" s="43" t="str">
        <f t="shared" si="33"/>
        <v/>
      </c>
      <c r="AP73" s="43" t="str">
        <f t="shared" si="33"/>
        <v/>
      </c>
      <c r="AQ73" s="43" t="str">
        <f t="shared" si="33"/>
        <v/>
      </c>
      <c r="AR73" s="43" t="str">
        <f t="shared" si="33"/>
        <v/>
      </c>
      <c r="AS73" s="43" t="str">
        <f t="shared" si="33"/>
        <v/>
      </c>
      <c r="AT73" s="43" t="str">
        <f t="shared" si="33"/>
        <v/>
      </c>
      <c r="AU73" s="43" t="str">
        <f t="shared" si="33"/>
        <v/>
      </c>
      <c r="AV73" s="43" t="str">
        <f t="shared" si="34"/>
        <v/>
      </c>
      <c r="AW73" s="43" t="str">
        <f t="shared" si="34"/>
        <v/>
      </c>
      <c r="AX73" s="43" t="str">
        <f t="shared" si="34"/>
        <v/>
      </c>
      <c r="AY73" s="43" t="str">
        <f t="shared" si="34"/>
        <v/>
      </c>
      <c r="AZ73" s="43" t="str">
        <f t="shared" si="34"/>
        <v/>
      </c>
      <c r="BA73" s="43" t="str">
        <f t="shared" si="34"/>
        <v/>
      </c>
      <c r="BB73" s="43"/>
      <c r="BC73" s="43"/>
      <c r="BD73" s="43"/>
      <c r="BE73" s="43"/>
      <c r="BF73" s="43"/>
      <c r="BG73" s="43"/>
      <c r="BW73" s="1250"/>
    </row>
    <row r="74" spans="1:75" x14ac:dyDescent="0.25">
      <c r="A74" s="1251"/>
      <c r="B74" s="462">
        <v>68</v>
      </c>
      <c r="C74" s="462"/>
      <c r="D74" s="1244"/>
      <c r="E74" s="1050"/>
      <c r="F74" s="1244"/>
      <c r="H74" s="43" t="str">
        <f t="shared" si="30"/>
        <v/>
      </c>
      <c r="I74" s="43" t="str">
        <f t="shared" si="30"/>
        <v/>
      </c>
      <c r="J74" s="43" t="str">
        <f t="shared" si="30"/>
        <v/>
      </c>
      <c r="K74" s="43" t="str">
        <f t="shared" si="30"/>
        <v/>
      </c>
      <c r="L74" s="43" t="str">
        <f t="shared" si="30"/>
        <v/>
      </c>
      <c r="M74" s="43" t="str">
        <f t="shared" si="30"/>
        <v/>
      </c>
      <c r="N74" s="43" t="str">
        <f t="shared" si="30"/>
        <v/>
      </c>
      <c r="O74" s="43" t="str">
        <f t="shared" si="30"/>
        <v/>
      </c>
      <c r="P74" s="43" t="str">
        <f t="shared" si="30"/>
        <v/>
      </c>
      <c r="Q74" s="43" t="str">
        <f t="shared" si="30"/>
        <v/>
      </c>
      <c r="R74" s="43" t="str">
        <f t="shared" si="31"/>
        <v/>
      </c>
      <c r="S74" s="43" t="str">
        <f t="shared" si="31"/>
        <v/>
      </c>
      <c r="T74" s="43" t="str">
        <f t="shared" si="31"/>
        <v/>
      </c>
      <c r="U74" s="43" t="str">
        <f t="shared" si="31"/>
        <v/>
      </c>
      <c r="V74" s="43" t="str">
        <f t="shared" si="31"/>
        <v/>
      </c>
      <c r="W74" s="43" t="str">
        <f t="shared" si="31"/>
        <v/>
      </c>
      <c r="X74" s="43" t="str">
        <f t="shared" si="31"/>
        <v/>
      </c>
      <c r="Y74" s="43" t="str">
        <f t="shared" si="31"/>
        <v/>
      </c>
      <c r="Z74" s="43" t="str">
        <f t="shared" si="31"/>
        <v/>
      </c>
      <c r="AA74" s="43" t="str">
        <f t="shared" si="31"/>
        <v/>
      </c>
      <c r="AB74" s="43" t="str">
        <f t="shared" si="32"/>
        <v/>
      </c>
      <c r="AC74" s="43" t="str">
        <f t="shared" si="32"/>
        <v/>
      </c>
      <c r="AD74" s="43" t="str">
        <f t="shared" si="32"/>
        <v/>
      </c>
      <c r="AE74" s="43" t="str">
        <f t="shared" si="32"/>
        <v/>
      </c>
      <c r="AF74" s="43" t="str">
        <f t="shared" si="32"/>
        <v/>
      </c>
      <c r="AG74" s="43" t="str">
        <f t="shared" si="32"/>
        <v/>
      </c>
      <c r="AH74" s="43" t="str">
        <f t="shared" si="32"/>
        <v/>
      </c>
      <c r="AI74" s="43" t="str">
        <f t="shared" si="32"/>
        <v/>
      </c>
      <c r="AJ74" s="43" t="str">
        <f t="shared" si="32"/>
        <v/>
      </c>
      <c r="AK74" s="43" t="str">
        <f t="shared" si="32"/>
        <v/>
      </c>
      <c r="AL74" s="43" t="str">
        <f t="shared" si="33"/>
        <v/>
      </c>
      <c r="AM74" s="43" t="str">
        <f t="shared" si="33"/>
        <v/>
      </c>
      <c r="AN74" s="43" t="str">
        <f t="shared" si="33"/>
        <v/>
      </c>
      <c r="AO74" s="43" t="str">
        <f t="shared" si="33"/>
        <v/>
      </c>
      <c r="AP74" s="43" t="str">
        <f t="shared" si="33"/>
        <v/>
      </c>
      <c r="AQ74" s="43" t="str">
        <f t="shared" si="33"/>
        <v/>
      </c>
      <c r="AR74" s="43" t="str">
        <f t="shared" si="33"/>
        <v/>
      </c>
      <c r="AS74" s="43" t="str">
        <f t="shared" si="33"/>
        <v/>
      </c>
      <c r="AT74" s="43" t="str">
        <f t="shared" si="33"/>
        <v/>
      </c>
      <c r="AU74" s="43" t="str">
        <f t="shared" si="33"/>
        <v/>
      </c>
      <c r="AV74" s="43" t="str">
        <f t="shared" si="34"/>
        <v/>
      </c>
      <c r="AW74" s="43" t="str">
        <f t="shared" si="34"/>
        <v/>
      </c>
      <c r="AX74" s="43" t="str">
        <f t="shared" si="34"/>
        <v/>
      </c>
      <c r="AY74" s="43" t="str">
        <f t="shared" si="34"/>
        <v/>
      </c>
      <c r="AZ74" s="43" t="str">
        <f t="shared" si="34"/>
        <v/>
      </c>
      <c r="BA74" s="43" t="str">
        <f t="shared" si="34"/>
        <v/>
      </c>
      <c r="BB74" s="43"/>
      <c r="BC74" s="43"/>
      <c r="BD74" s="43"/>
      <c r="BE74" s="43"/>
      <c r="BF74" s="43"/>
      <c r="BG74" s="43"/>
      <c r="BW74" s="1250"/>
    </row>
    <row r="75" spans="1:75" x14ac:dyDescent="0.25">
      <c r="A75" s="1251"/>
      <c r="B75" s="462">
        <v>69</v>
      </c>
      <c r="C75" s="462"/>
      <c r="D75" s="1244"/>
      <c r="E75" s="1050"/>
      <c r="F75" s="1244"/>
      <c r="H75" s="43" t="str">
        <f t="shared" si="30"/>
        <v/>
      </c>
      <c r="I75" s="43" t="str">
        <f t="shared" si="30"/>
        <v/>
      </c>
      <c r="J75" s="43" t="str">
        <f t="shared" si="30"/>
        <v/>
      </c>
      <c r="K75" s="43" t="str">
        <f t="shared" si="30"/>
        <v/>
      </c>
      <c r="L75" s="43" t="str">
        <f t="shared" si="30"/>
        <v/>
      </c>
      <c r="M75" s="43" t="str">
        <f t="shared" si="30"/>
        <v/>
      </c>
      <c r="N75" s="43" t="str">
        <f t="shared" si="30"/>
        <v/>
      </c>
      <c r="O75" s="43" t="str">
        <f t="shared" si="30"/>
        <v/>
      </c>
      <c r="P75" s="43" t="str">
        <f t="shared" si="30"/>
        <v/>
      </c>
      <c r="Q75" s="43" t="str">
        <f t="shared" si="30"/>
        <v/>
      </c>
      <c r="R75" s="43" t="str">
        <f t="shared" si="31"/>
        <v/>
      </c>
      <c r="S75" s="43" t="str">
        <f t="shared" si="31"/>
        <v/>
      </c>
      <c r="T75" s="43" t="str">
        <f t="shared" si="31"/>
        <v/>
      </c>
      <c r="U75" s="43" t="str">
        <f t="shared" si="31"/>
        <v/>
      </c>
      <c r="V75" s="43" t="str">
        <f t="shared" si="31"/>
        <v/>
      </c>
      <c r="W75" s="43" t="str">
        <f t="shared" si="31"/>
        <v/>
      </c>
      <c r="X75" s="43" t="str">
        <f t="shared" si="31"/>
        <v/>
      </c>
      <c r="Y75" s="43" t="str">
        <f t="shared" si="31"/>
        <v/>
      </c>
      <c r="Z75" s="43" t="str">
        <f t="shared" si="31"/>
        <v/>
      </c>
      <c r="AA75" s="43" t="str">
        <f t="shared" si="31"/>
        <v/>
      </c>
      <c r="AB75" s="43" t="str">
        <f t="shared" si="32"/>
        <v/>
      </c>
      <c r="AC75" s="43" t="str">
        <f t="shared" si="32"/>
        <v/>
      </c>
      <c r="AD75" s="43" t="str">
        <f t="shared" si="32"/>
        <v/>
      </c>
      <c r="AE75" s="43" t="str">
        <f t="shared" si="32"/>
        <v/>
      </c>
      <c r="AF75" s="43" t="str">
        <f t="shared" si="32"/>
        <v/>
      </c>
      <c r="AG75" s="43" t="str">
        <f t="shared" si="32"/>
        <v/>
      </c>
      <c r="AH75" s="43" t="str">
        <f t="shared" si="32"/>
        <v/>
      </c>
      <c r="AI75" s="43" t="str">
        <f t="shared" si="32"/>
        <v/>
      </c>
      <c r="AJ75" s="43" t="str">
        <f t="shared" si="32"/>
        <v/>
      </c>
      <c r="AK75" s="43" t="str">
        <f t="shared" si="32"/>
        <v/>
      </c>
      <c r="AL75" s="43" t="str">
        <f t="shared" si="33"/>
        <v/>
      </c>
      <c r="AM75" s="43" t="str">
        <f t="shared" si="33"/>
        <v/>
      </c>
      <c r="AN75" s="43" t="str">
        <f t="shared" si="33"/>
        <v/>
      </c>
      <c r="AO75" s="43" t="str">
        <f t="shared" si="33"/>
        <v/>
      </c>
      <c r="AP75" s="43" t="str">
        <f t="shared" si="33"/>
        <v/>
      </c>
      <c r="AQ75" s="43" t="str">
        <f t="shared" si="33"/>
        <v/>
      </c>
      <c r="AR75" s="43" t="str">
        <f t="shared" si="33"/>
        <v/>
      </c>
      <c r="AS75" s="43" t="str">
        <f t="shared" si="33"/>
        <v/>
      </c>
      <c r="AT75" s="43" t="str">
        <f t="shared" si="33"/>
        <v/>
      </c>
      <c r="AU75" s="43" t="str">
        <f t="shared" si="33"/>
        <v/>
      </c>
      <c r="AV75" s="43" t="str">
        <f t="shared" si="34"/>
        <v/>
      </c>
      <c r="AW75" s="43" t="str">
        <f t="shared" si="34"/>
        <v/>
      </c>
      <c r="AX75" s="43" t="str">
        <f t="shared" si="34"/>
        <v/>
      </c>
      <c r="AY75" s="43" t="str">
        <f t="shared" si="34"/>
        <v/>
      </c>
      <c r="AZ75" s="43" t="str">
        <f t="shared" si="34"/>
        <v/>
      </c>
      <c r="BA75" s="43" t="str">
        <f t="shared" si="34"/>
        <v/>
      </c>
      <c r="BB75" s="43"/>
      <c r="BC75" s="43"/>
      <c r="BD75" s="43"/>
      <c r="BE75" s="43"/>
      <c r="BF75" s="43"/>
      <c r="BG75" s="43"/>
      <c r="BW75" s="1250"/>
    </row>
    <row r="76" spans="1:75" x14ac:dyDescent="0.25">
      <c r="A76" s="1251"/>
      <c r="B76" s="462">
        <v>70</v>
      </c>
      <c r="C76" s="462"/>
      <c r="D76" s="1244"/>
      <c r="E76" s="1050"/>
      <c r="F76" s="1244"/>
      <c r="H76" s="43" t="str">
        <f t="shared" si="30"/>
        <v/>
      </c>
      <c r="I76" s="43" t="str">
        <f t="shared" si="30"/>
        <v/>
      </c>
      <c r="J76" s="43" t="str">
        <f t="shared" si="30"/>
        <v/>
      </c>
      <c r="K76" s="43" t="str">
        <f t="shared" si="30"/>
        <v/>
      </c>
      <c r="L76" s="43" t="str">
        <f t="shared" si="30"/>
        <v/>
      </c>
      <c r="M76" s="43" t="str">
        <f t="shared" si="30"/>
        <v/>
      </c>
      <c r="N76" s="43" t="str">
        <f t="shared" si="30"/>
        <v/>
      </c>
      <c r="O76" s="43" t="str">
        <f t="shared" si="30"/>
        <v/>
      </c>
      <c r="P76" s="43" t="str">
        <f t="shared" si="30"/>
        <v/>
      </c>
      <c r="Q76" s="43" t="str">
        <f t="shared" si="30"/>
        <v/>
      </c>
      <c r="R76" s="43" t="str">
        <f t="shared" si="31"/>
        <v/>
      </c>
      <c r="S76" s="43" t="str">
        <f t="shared" si="31"/>
        <v/>
      </c>
      <c r="T76" s="43" t="str">
        <f t="shared" si="31"/>
        <v/>
      </c>
      <c r="U76" s="43" t="str">
        <f t="shared" si="31"/>
        <v/>
      </c>
      <c r="V76" s="43" t="str">
        <f t="shared" si="31"/>
        <v/>
      </c>
      <c r="W76" s="43" t="str">
        <f t="shared" si="31"/>
        <v/>
      </c>
      <c r="X76" s="43" t="str">
        <f t="shared" si="31"/>
        <v/>
      </c>
      <c r="Y76" s="43" t="str">
        <f t="shared" si="31"/>
        <v/>
      </c>
      <c r="Z76" s="43" t="str">
        <f t="shared" si="31"/>
        <v/>
      </c>
      <c r="AA76" s="43" t="str">
        <f t="shared" si="31"/>
        <v/>
      </c>
      <c r="AB76" s="43" t="str">
        <f t="shared" si="32"/>
        <v/>
      </c>
      <c r="AC76" s="43" t="str">
        <f t="shared" si="32"/>
        <v/>
      </c>
      <c r="AD76" s="43" t="str">
        <f t="shared" si="32"/>
        <v/>
      </c>
      <c r="AE76" s="43" t="str">
        <f t="shared" si="32"/>
        <v/>
      </c>
      <c r="AF76" s="43" t="str">
        <f t="shared" si="32"/>
        <v/>
      </c>
      <c r="AG76" s="43" t="str">
        <f t="shared" si="32"/>
        <v/>
      </c>
      <c r="AH76" s="43" t="str">
        <f t="shared" si="32"/>
        <v/>
      </c>
      <c r="AI76" s="43" t="str">
        <f t="shared" si="32"/>
        <v/>
      </c>
      <c r="AJ76" s="43" t="str">
        <f t="shared" si="32"/>
        <v/>
      </c>
      <c r="AK76" s="43" t="str">
        <f t="shared" si="32"/>
        <v/>
      </c>
      <c r="AL76" s="43" t="str">
        <f t="shared" si="33"/>
        <v/>
      </c>
      <c r="AM76" s="43" t="str">
        <f t="shared" si="33"/>
        <v/>
      </c>
      <c r="AN76" s="43" t="str">
        <f t="shared" si="33"/>
        <v/>
      </c>
      <c r="AO76" s="43" t="str">
        <f t="shared" si="33"/>
        <v/>
      </c>
      <c r="AP76" s="43" t="str">
        <f t="shared" si="33"/>
        <v/>
      </c>
      <c r="AQ76" s="43" t="str">
        <f t="shared" si="33"/>
        <v/>
      </c>
      <c r="AR76" s="43" t="str">
        <f t="shared" si="33"/>
        <v/>
      </c>
      <c r="AS76" s="43" t="str">
        <f t="shared" si="33"/>
        <v/>
      </c>
      <c r="AT76" s="43" t="str">
        <f t="shared" si="33"/>
        <v/>
      </c>
      <c r="AU76" s="43" t="str">
        <f t="shared" si="33"/>
        <v/>
      </c>
      <c r="AV76" s="43" t="str">
        <f t="shared" si="34"/>
        <v/>
      </c>
      <c r="AW76" s="43" t="str">
        <f t="shared" si="34"/>
        <v/>
      </c>
      <c r="AX76" s="43" t="str">
        <f t="shared" si="34"/>
        <v/>
      </c>
      <c r="AY76" s="43" t="str">
        <f t="shared" si="34"/>
        <v/>
      </c>
      <c r="AZ76" s="43" t="str">
        <f t="shared" si="34"/>
        <v/>
      </c>
      <c r="BA76" s="43" t="str">
        <f t="shared" si="34"/>
        <v/>
      </c>
      <c r="BB76" s="43"/>
      <c r="BC76" s="43"/>
      <c r="BD76" s="43"/>
      <c r="BE76" s="43"/>
      <c r="BF76" s="43"/>
      <c r="BG76" s="43"/>
      <c r="BW76" s="1250"/>
    </row>
    <row r="77" spans="1:75" x14ac:dyDescent="0.25">
      <c r="A77" s="1251"/>
      <c r="B77" s="462">
        <v>71</v>
      </c>
      <c r="C77" s="462"/>
      <c r="D77" s="1244"/>
      <c r="E77" s="1050"/>
      <c r="F77" s="1244"/>
      <c r="H77" s="43" t="str">
        <f t="shared" ref="H77:Q86" si="35">IF($D77=H$6,$B77&amp;", ","")</f>
        <v/>
      </c>
      <c r="I77" s="43" t="str">
        <f t="shared" si="35"/>
        <v/>
      </c>
      <c r="J77" s="43" t="str">
        <f t="shared" si="35"/>
        <v/>
      </c>
      <c r="K77" s="43" t="str">
        <f t="shared" si="35"/>
        <v/>
      </c>
      <c r="L77" s="43" t="str">
        <f t="shared" si="35"/>
        <v/>
      </c>
      <c r="M77" s="43" t="str">
        <f t="shared" si="35"/>
        <v/>
      </c>
      <c r="N77" s="43" t="str">
        <f t="shared" si="35"/>
        <v/>
      </c>
      <c r="O77" s="43" t="str">
        <f t="shared" si="35"/>
        <v/>
      </c>
      <c r="P77" s="43" t="str">
        <f t="shared" si="35"/>
        <v/>
      </c>
      <c r="Q77" s="43" t="str">
        <f t="shared" si="35"/>
        <v/>
      </c>
      <c r="R77" s="43" t="str">
        <f t="shared" ref="R77:AA86" si="36">IF($D77=R$6,$B77&amp;", ","")</f>
        <v/>
      </c>
      <c r="S77" s="43" t="str">
        <f t="shared" si="36"/>
        <v/>
      </c>
      <c r="T77" s="43" t="str">
        <f t="shared" si="36"/>
        <v/>
      </c>
      <c r="U77" s="43" t="str">
        <f t="shared" si="36"/>
        <v/>
      </c>
      <c r="V77" s="43" t="str">
        <f t="shared" si="36"/>
        <v/>
      </c>
      <c r="W77" s="43" t="str">
        <f t="shared" si="36"/>
        <v/>
      </c>
      <c r="X77" s="43" t="str">
        <f t="shared" si="36"/>
        <v/>
      </c>
      <c r="Y77" s="43" t="str">
        <f t="shared" si="36"/>
        <v/>
      </c>
      <c r="Z77" s="43" t="str">
        <f t="shared" si="36"/>
        <v/>
      </c>
      <c r="AA77" s="43" t="str">
        <f t="shared" si="36"/>
        <v/>
      </c>
      <c r="AB77" s="43" t="str">
        <f t="shared" ref="AB77:AK86" si="37">IF($D77=AB$6,$B77&amp;", ","")</f>
        <v/>
      </c>
      <c r="AC77" s="43" t="str">
        <f t="shared" si="37"/>
        <v/>
      </c>
      <c r="AD77" s="43" t="str">
        <f t="shared" si="37"/>
        <v/>
      </c>
      <c r="AE77" s="43" t="str">
        <f t="shared" si="37"/>
        <v/>
      </c>
      <c r="AF77" s="43" t="str">
        <f t="shared" si="37"/>
        <v/>
      </c>
      <c r="AG77" s="43" t="str">
        <f t="shared" si="37"/>
        <v/>
      </c>
      <c r="AH77" s="43" t="str">
        <f t="shared" si="37"/>
        <v/>
      </c>
      <c r="AI77" s="43" t="str">
        <f t="shared" si="37"/>
        <v/>
      </c>
      <c r="AJ77" s="43" t="str">
        <f t="shared" si="37"/>
        <v/>
      </c>
      <c r="AK77" s="43" t="str">
        <f t="shared" si="37"/>
        <v/>
      </c>
      <c r="AL77" s="43" t="str">
        <f t="shared" ref="AL77:AU86" si="38">IF($D77=AL$6,$B77&amp;", ","")</f>
        <v/>
      </c>
      <c r="AM77" s="43" t="str">
        <f t="shared" si="38"/>
        <v/>
      </c>
      <c r="AN77" s="43" t="str">
        <f t="shared" si="38"/>
        <v/>
      </c>
      <c r="AO77" s="43" t="str">
        <f t="shared" si="38"/>
        <v/>
      </c>
      <c r="AP77" s="43" t="str">
        <f t="shared" si="38"/>
        <v/>
      </c>
      <c r="AQ77" s="43" t="str">
        <f t="shared" si="38"/>
        <v/>
      </c>
      <c r="AR77" s="43" t="str">
        <f t="shared" si="38"/>
        <v/>
      </c>
      <c r="AS77" s="43" t="str">
        <f t="shared" si="38"/>
        <v/>
      </c>
      <c r="AT77" s="43" t="str">
        <f t="shared" si="38"/>
        <v/>
      </c>
      <c r="AU77" s="43" t="str">
        <f t="shared" si="38"/>
        <v/>
      </c>
      <c r="AV77" s="43" t="str">
        <f t="shared" ref="AV77:BA86" si="39">IF($D77=AV$6,$B77&amp;", ","")</f>
        <v/>
      </c>
      <c r="AW77" s="43" t="str">
        <f t="shared" si="39"/>
        <v/>
      </c>
      <c r="AX77" s="43" t="str">
        <f t="shared" si="39"/>
        <v/>
      </c>
      <c r="AY77" s="43" t="str">
        <f t="shared" si="39"/>
        <v/>
      </c>
      <c r="AZ77" s="43" t="str">
        <f t="shared" si="39"/>
        <v/>
      </c>
      <c r="BA77" s="43" t="str">
        <f t="shared" si="39"/>
        <v/>
      </c>
      <c r="BB77" s="43"/>
      <c r="BC77" s="43"/>
      <c r="BD77" s="43"/>
      <c r="BE77" s="43"/>
      <c r="BF77" s="43"/>
      <c r="BG77" s="43"/>
      <c r="BW77" s="1250"/>
    </row>
    <row r="78" spans="1:75" x14ac:dyDescent="0.25">
      <c r="A78" s="1251"/>
      <c r="B78" s="462">
        <v>72</v>
      </c>
      <c r="C78" s="462"/>
      <c r="D78" s="1244"/>
      <c r="E78" s="1050"/>
      <c r="F78" s="1244"/>
      <c r="H78" s="43" t="str">
        <f t="shared" si="35"/>
        <v/>
      </c>
      <c r="I78" s="43" t="str">
        <f t="shared" si="35"/>
        <v/>
      </c>
      <c r="J78" s="43" t="str">
        <f t="shared" si="35"/>
        <v/>
      </c>
      <c r="K78" s="43" t="str">
        <f t="shared" si="35"/>
        <v/>
      </c>
      <c r="L78" s="43" t="str">
        <f t="shared" si="35"/>
        <v/>
      </c>
      <c r="M78" s="43" t="str">
        <f t="shared" si="35"/>
        <v/>
      </c>
      <c r="N78" s="43" t="str">
        <f t="shared" si="35"/>
        <v/>
      </c>
      <c r="O78" s="43" t="str">
        <f t="shared" si="35"/>
        <v/>
      </c>
      <c r="P78" s="43" t="str">
        <f t="shared" si="35"/>
        <v/>
      </c>
      <c r="Q78" s="43" t="str">
        <f t="shared" si="35"/>
        <v/>
      </c>
      <c r="R78" s="43" t="str">
        <f t="shared" si="36"/>
        <v/>
      </c>
      <c r="S78" s="43" t="str">
        <f t="shared" si="36"/>
        <v/>
      </c>
      <c r="T78" s="43" t="str">
        <f t="shared" si="36"/>
        <v/>
      </c>
      <c r="U78" s="43" t="str">
        <f t="shared" si="36"/>
        <v/>
      </c>
      <c r="V78" s="43" t="str">
        <f t="shared" si="36"/>
        <v/>
      </c>
      <c r="W78" s="43" t="str">
        <f t="shared" si="36"/>
        <v/>
      </c>
      <c r="X78" s="43" t="str">
        <f t="shared" si="36"/>
        <v/>
      </c>
      <c r="Y78" s="43" t="str">
        <f t="shared" si="36"/>
        <v/>
      </c>
      <c r="Z78" s="43" t="str">
        <f t="shared" si="36"/>
        <v/>
      </c>
      <c r="AA78" s="43" t="str">
        <f t="shared" si="36"/>
        <v/>
      </c>
      <c r="AB78" s="43" t="str">
        <f t="shared" si="37"/>
        <v/>
      </c>
      <c r="AC78" s="43" t="str">
        <f t="shared" si="37"/>
        <v/>
      </c>
      <c r="AD78" s="43" t="str">
        <f t="shared" si="37"/>
        <v/>
      </c>
      <c r="AE78" s="43" t="str">
        <f t="shared" si="37"/>
        <v/>
      </c>
      <c r="AF78" s="43" t="str">
        <f t="shared" si="37"/>
        <v/>
      </c>
      <c r="AG78" s="43" t="str">
        <f t="shared" si="37"/>
        <v/>
      </c>
      <c r="AH78" s="43" t="str">
        <f t="shared" si="37"/>
        <v/>
      </c>
      <c r="AI78" s="43" t="str">
        <f t="shared" si="37"/>
        <v/>
      </c>
      <c r="AJ78" s="43" t="str">
        <f t="shared" si="37"/>
        <v/>
      </c>
      <c r="AK78" s="43" t="str">
        <f t="shared" si="37"/>
        <v/>
      </c>
      <c r="AL78" s="43" t="str">
        <f t="shared" si="38"/>
        <v/>
      </c>
      <c r="AM78" s="43" t="str">
        <f t="shared" si="38"/>
        <v/>
      </c>
      <c r="AN78" s="43" t="str">
        <f t="shared" si="38"/>
        <v/>
      </c>
      <c r="AO78" s="43" t="str">
        <f t="shared" si="38"/>
        <v/>
      </c>
      <c r="AP78" s="43" t="str">
        <f t="shared" si="38"/>
        <v/>
      </c>
      <c r="AQ78" s="43" t="str">
        <f t="shared" si="38"/>
        <v/>
      </c>
      <c r="AR78" s="43" t="str">
        <f t="shared" si="38"/>
        <v/>
      </c>
      <c r="AS78" s="43" t="str">
        <f t="shared" si="38"/>
        <v/>
      </c>
      <c r="AT78" s="43" t="str">
        <f t="shared" si="38"/>
        <v/>
      </c>
      <c r="AU78" s="43" t="str">
        <f t="shared" si="38"/>
        <v/>
      </c>
      <c r="AV78" s="43" t="str">
        <f t="shared" si="39"/>
        <v/>
      </c>
      <c r="AW78" s="43" t="str">
        <f t="shared" si="39"/>
        <v/>
      </c>
      <c r="AX78" s="43" t="str">
        <f t="shared" si="39"/>
        <v/>
      </c>
      <c r="AY78" s="43" t="str">
        <f t="shared" si="39"/>
        <v/>
      </c>
      <c r="AZ78" s="43" t="str">
        <f t="shared" si="39"/>
        <v/>
      </c>
      <c r="BA78" s="43" t="str">
        <f t="shared" si="39"/>
        <v/>
      </c>
      <c r="BB78" s="43"/>
      <c r="BC78" s="43"/>
      <c r="BD78" s="43"/>
      <c r="BE78" s="43"/>
      <c r="BF78" s="43"/>
      <c r="BG78" s="43"/>
      <c r="BW78" s="1250"/>
    </row>
    <row r="79" spans="1:75" x14ac:dyDescent="0.25">
      <c r="A79" s="1251"/>
      <c r="B79" s="462">
        <v>73</v>
      </c>
      <c r="C79" s="462"/>
      <c r="D79" s="1244"/>
      <c r="E79" s="1050"/>
      <c r="F79" s="1244"/>
      <c r="H79" s="43" t="str">
        <f t="shared" si="35"/>
        <v/>
      </c>
      <c r="I79" s="43" t="str">
        <f t="shared" si="35"/>
        <v/>
      </c>
      <c r="J79" s="43" t="str">
        <f t="shared" si="35"/>
        <v/>
      </c>
      <c r="K79" s="43" t="str">
        <f t="shared" si="35"/>
        <v/>
      </c>
      <c r="L79" s="43" t="str">
        <f t="shared" si="35"/>
        <v/>
      </c>
      <c r="M79" s="43" t="str">
        <f t="shared" si="35"/>
        <v/>
      </c>
      <c r="N79" s="43" t="str">
        <f t="shared" si="35"/>
        <v/>
      </c>
      <c r="O79" s="43" t="str">
        <f t="shared" si="35"/>
        <v/>
      </c>
      <c r="P79" s="43" t="str">
        <f t="shared" si="35"/>
        <v/>
      </c>
      <c r="Q79" s="43" t="str">
        <f t="shared" si="35"/>
        <v/>
      </c>
      <c r="R79" s="43" t="str">
        <f t="shared" si="36"/>
        <v/>
      </c>
      <c r="S79" s="43" t="str">
        <f t="shared" si="36"/>
        <v/>
      </c>
      <c r="T79" s="43" t="str">
        <f t="shared" si="36"/>
        <v/>
      </c>
      <c r="U79" s="43" t="str">
        <f t="shared" si="36"/>
        <v/>
      </c>
      <c r="V79" s="43" t="str">
        <f t="shared" si="36"/>
        <v/>
      </c>
      <c r="W79" s="43" t="str">
        <f t="shared" si="36"/>
        <v/>
      </c>
      <c r="X79" s="43" t="str">
        <f t="shared" si="36"/>
        <v/>
      </c>
      <c r="Y79" s="43" t="str">
        <f t="shared" si="36"/>
        <v/>
      </c>
      <c r="Z79" s="43" t="str">
        <f t="shared" si="36"/>
        <v/>
      </c>
      <c r="AA79" s="43" t="str">
        <f t="shared" si="36"/>
        <v/>
      </c>
      <c r="AB79" s="43" t="str">
        <f t="shared" si="37"/>
        <v/>
      </c>
      <c r="AC79" s="43" t="str">
        <f t="shared" si="37"/>
        <v/>
      </c>
      <c r="AD79" s="43" t="str">
        <f t="shared" si="37"/>
        <v/>
      </c>
      <c r="AE79" s="43" t="str">
        <f t="shared" si="37"/>
        <v/>
      </c>
      <c r="AF79" s="43" t="str">
        <f t="shared" si="37"/>
        <v/>
      </c>
      <c r="AG79" s="43" t="str">
        <f t="shared" si="37"/>
        <v/>
      </c>
      <c r="AH79" s="43" t="str">
        <f t="shared" si="37"/>
        <v/>
      </c>
      <c r="AI79" s="43" t="str">
        <f t="shared" si="37"/>
        <v/>
      </c>
      <c r="AJ79" s="43" t="str">
        <f t="shared" si="37"/>
        <v/>
      </c>
      <c r="AK79" s="43" t="str">
        <f t="shared" si="37"/>
        <v/>
      </c>
      <c r="AL79" s="43" t="str">
        <f t="shared" si="38"/>
        <v/>
      </c>
      <c r="AM79" s="43" t="str">
        <f t="shared" si="38"/>
        <v/>
      </c>
      <c r="AN79" s="43" t="str">
        <f t="shared" si="38"/>
        <v/>
      </c>
      <c r="AO79" s="43" t="str">
        <f t="shared" si="38"/>
        <v/>
      </c>
      <c r="AP79" s="43" t="str">
        <f t="shared" si="38"/>
        <v/>
      </c>
      <c r="AQ79" s="43" t="str">
        <f t="shared" si="38"/>
        <v/>
      </c>
      <c r="AR79" s="43" t="str">
        <f t="shared" si="38"/>
        <v/>
      </c>
      <c r="AS79" s="43" t="str">
        <f t="shared" si="38"/>
        <v/>
      </c>
      <c r="AT79" s="43" t="str">
        <f t="shared" si="38"/>
        <v/>
      </c>
      <c r="AU79" s="43" t="str">
        <f t="shared" si="38"/>
        <v/>
      </c>
      <c r="AV79" s="43" t="str">
        <f t="shared" si="39"/>
        <v/>
      </c>
      <c r="AW79" s="43" t="str">
        <f t="shared" si="39"/>
        <v/>
      </c>
      <c r="AX79" s="43" t="str">
        <f t="shared" si="39"/>
        <v/>
      </c>
      <c r="AY79" s="43" t="str">
        <f t="shared" si="39"/>
        <v/>
      </c>
      <c r="AZ79" s="43" t="str">
        <f t="shared" si="39"/>
        <v/>
      </c>
      <c r="BA79" s="43" t="str">
        <f t="shared" si="39"/>
        <v/>
      </c>
      <c r="BB79" s="43"/>
      <c r="BC79" s="43"/>
      <c r="BD79" s="43"/>
      <c r="BE79" s="43"/>
      <c r="BF79" s="43"/>
      <c r="BG79" s="43"/>
      <c r="BW79" s="1250"/>
    </row>
    <row r="80" spans="1:75" x14ac:dyDescent="0.25">
      <c r="A80" s="1251"/>
      <c r="B80" s="462">
        <v>74</v>
      </c>
      <c r="C80" s="462"/>
      <c r="D80" s="1244"/>
      <c r="E80" s="1050"/>
      <c r="F80" s="1244"/>
      <c r="H80" s="43" t="str">
        <f t="shared" si="35"/>
        <v/>
      </c>
      <c r="I80" s="43" t="str">
        <f t="shared" si="35"/>
        <v/>
      </c>
      <c r="J80" s="43" t="str">
        <f t="shared" si="35"/>
        <v/>
      </c>
      <c r="K80" s="43" t="str">
        <f t="shared" si="35"/>
        <v/>
      </c>
      <c r="L80" s="43" t="str">
        <f t="shared" si="35"/>
        <v/>
      </c>
      <c r="M80" s="43" t="str">
        <f t="shared" si="35"/>
        <v/>
      </c>
      <c r="N80" s="43" t="str">
        <f t="shared" si="35"/>
        <v/>
      </c>
      <c r="O80" s="43" t="str">
        <f t="shared" si="35"/>
        <v/>
      </c>
      <c r="P80" s="43" t="str">
        <f t="shared" si="35"/>
        <v/>
      </c>
      <c r="Q80" s="43" t="str">
        <f t="shared" si="35"/>
        <v/>
      </c>
      <c r="R80" s="43" t="str">
        <f t="shared" si="36"/>
        <v/>
      </c>
      <c r="S80" s="43" t="str">
        <f t="shared" si="36"/>
        <v/>
      </c>
      <c r="T80" s="43" t="str">
        <f t="shared" si="36"/>
        <v/>
      </c>
      <c r="U80" s="43" t="str">
        <f t="shared" si="36"/>
        <v/>
      </c>
      <c r="V80" s="43" t="str">
        <f t="shared" si="36"/>
        <v/>
      </c>
      <c r="W80" s="43" t="str">
        <f t="shared" si="36"/>
        <v/>
      </c>
      <c r="X80" s="43" t="str">
        <f t="shared" si="36"/>
        <v/>
      </c>
      <c r="Y80" s="43" t="str">
        <f t="shared" si="36"/>
        <v/>
      </c>
      <c r="Z80" s="43" t="str">
        <f t="shared" si="36"/>
        <v/>
      </c>
      <c r="AA80" s="43" t="str">
        <f t="shared" si="36"/>
        <v/>
      </c>
      <c r="AB80" s="43" t="str">
        <f t="shared" si="37"/>
        <v/>
      </c>
      <c r="AC80" s="43" t="str">
        <f t="shared" si="37"/>
        <v/>
      </c>
      <c r="AD80" s="43" t="str">
        <f t="shared" si="37"/>
        <v/>
      </c>
      <c r="AE80" s="43" t="str">
        <f t="shared" si="37"/>
        <v/>
      </c>
      <c r="AF80" s="43" t="str">
        <f t="shared" si="37"/>
        <v/>
      </c>
      <c r="AG80" s="43" t="str">
        <f t="shared" si="37"/>
        <v/>
      </c>
      <c r="AH80" s="43" t="str">
        <f t="shared" si="37"/>
        <v/>
      </c>
      <c r="AI80" s="43" t="str">
        <f t="shared" si="37"/>
        <v/>
      </c>
      <c r="AJ80" s="43" t="str">
        <f t="shared" si="37"/>
        <v/>
      </c>
      <c r="AK80" s="43" t="str">
        <f t="shared" si="37"/>
        <v/>
      </c>
      <c r="AL80" s="43" t="str">
        <f t="shared" si="38"/>
        <v/>
      </c>
      <c r="AM80" s="43" t="str">
        <f t="shared" si="38"/>
        <v/>
      </c>
      <c r="AN80" s="43" t="str">
        <f t="shared" si="38"/>
        <v/>
      </c>
      <c r="AO80" s="43" t="str">
        <f t="shared" si="38"/>
        <v/>
      </c>
      <c r="AP80" s="43" t="str">
        <f t="shared" si="38"/>
        <v/>
      </c>
      <c r="AQ80" s="43" t="str">
        <f t="shared" si="38"/>
        <v/>
      </c>
      <c r="AR80" s="43" t="str">
        <f t="shared" si="38"/>
        <v/>
      </c>
      <c r="AS80" s="43" t="str">
        <f t="shared" si="38"/>
        <v/>
      </c>
      <c r="AT80" s="43" t="str">
        <f t="shared" si="38"/>
        <v/>
      </c>
      <c r="AU80" s="43" t="str">
        <f t="shared" si="38"/>
        <v/>
      </c>
      <c r="AV80" s="43" t="str">
        <f t="shared" si="39"/>
        <v/>
      </c>
      <c r="AW80" s="43" t="str">
        <f t="shared" si="39"/>
        <v/>
      </c>
      <c r="AX80" s="43" t="str">
        <f t="shared" si="39"/>
        <v/>
      </c>
      <c r="AY80" s="43" t="str">
        <f t="shared" si="39"/>
        <v/>
      </c>
      <c r="AZ80" s="43" t="str">
        <f t="shared" si="39"/>
        <v/>
      </c>
      <c r="BA80" s="43" t="str">
        <f t="shared" si="39"/>
        <v/>
      </c>
      <c r="BB80" s="43"/>
      <c r="BC80" s="43"/>
      <c r="BD80" s="43"/>
      <c r="BE80" s="43"/>
      <c r="BF80" s="43"/>
      <c r="BG80" s="43"/>
      <c r="BW80" s="1250"/>
    </row>
    <row r="81" spans="1:75" x14ac:dyDescent="0.25">
      <c r="A81" s="1251"/>
      <c r="B81" s="462">
        <v>75</v>
      </c>
      <c r="C81" s="462"/>
      <c r="D81" s="1244"/>
      <c r="E81" s="1050"/>
      <c r="F81" s="1244"/>
      <c r="H81" s="43" t="str">
        <f t="shared" si="35"/>
        <v/>
      </c>
      <c r="I81" s="43" t="str">
        <f t="shared" si="35"/>
        <v/>
      </c>
      <c r="J81" s="43" t="str">
        <f t="shared" si="35"/>
        <v/>
      </c>
      <c r="K81" s="43" t="str">
        <f t="shared" si="35"/>
        <v/>
      </c>
      <c r="L81" s="43" t="str">
        <f t="shared" si="35"/>
        <v/>
      </c>
      <c r="M81" s="43" t="str">
        <f t="shared" si="35"/>
        <v/>
      </c>
      <c r="N81" s="43" t="str">
        <f t="shared" si="35"/>
        <v/>
      </c>
      <c r="O81" s="43" t="str">
        <f t="shared" si="35"/>
        <v/>
      </c>
      <c r="P81" s="43" t="str">
        <f t="shared" si="35"/>
        <v/>
      </c>
      <c r="Q81" s="43" t="str">
        <f t="shared" si="35"/>
        <v/>
      </c>
      <c r="R81" s="43" t="str">
        <f t="shared" si="36"/>
        <v/>
      </c>
      <c r="S81" s="43" t="str">
        <f t="shared" si="36"/>
        <v/>
      </c>
      <c r="T81" s="43" t="str">
        <f t="shared" si="36"/>
        <v/>
      </c>
      <c r="U81" s="43" t="str">
        <f t="shared" si="36"/>
        <v/>
      </c>
      <c r="V81" s="43" t="str">
        <f t="shared" si="36"/>
        <v/>
      </c>
      <c r="W81" s="43" t="str">
        <f t="shared" si="36"/>
        <v/>
      </c>
      <c r="X81" s="43" t="str">
        <f t="shared" si="36"/>
        <v/>
      </c>
      <c r="Y81" s="43" t="str">
        <f t="shared" si="36"/>
        <v/>
      </c>
      <c r="Z81" s="43" t="str">
        <f t="shared" si="36"/>
        <v/>
      </c>
      <c r="AA81" s="43" t="str">
        <f t="shared" si="36"/>
        <v/>
      </c>
      <c r="AB81" s="43" t="str">
        <f t="shared" si="37"/>
        <v/>
      </c>
      <c r="AC81" s="43" t="str">
        <f t="shared" si="37"/>
        <v/>
      </c>
      <c r="AD81" s="43" t="str">
        <f t="shared" si="37"/>
        <v/>
      </c>
      <c r="AE81" s="43" t="str">
        <f t="shared" si="37"/>
        <v/>
      </c>
      <c r="AF81" s="43" t="str">
        <f t="shared" si="37"/>
        <v/>
      </c>
      <c r="AG81" s="43" t="str">
        <f t="shared" si="37"/>
        <v/>
      </c>
      <c r="AH81" s="43" t="str">
        <f t="shared" si="37"/>
        <v/>
      </c>
      <c r="AI81" s="43" t="str">
        <f t="shared" si="37"/>
        <v/>
      </c>
      <c r="AJ81" s="43" t="str">
        <f t="shared" si="37"/>
        <v/>
      </c>
      <c r="AK81" s="43" t="str">
        <f t="shared" si="37"/>
        <v/>
      </c>
      <c r="AL81" s="43" t="str">
        <f t="shared" si="38"/>
        <v/>
      </c>
      <c r="AM81" s="43" t="str">
        <f t="shared" si="38"/>
        <v/>
      </c>
      <c r="AN81" s="43" t="str">
        <f t="shared" si="38"/>
        <v/>
      </c>
      <c r="AO81" s="43" t="str">
        <f t="shared" si="38"/>
        <v/>
      </c>
      <c r="AP81" s="43" t="str">
        <f t="shared" si="38"/>
        <v/>
      </c>
      <c r="AQ81" s="43" t="str">
        <f t="shared" si="38"/>
        <v/>
      </c>
      <c r="AR81" s="43" t="str">
        <f t="shared" si="38"/>
        <v/>
      </c>
      <c r="AS81" s="43" t="str">
        <f t="shared" si="38"/>
        <v/>
      </c>
      <c r="AT81" s="43" t="str">
        <f t="shared" si="38"/>
        <v/>
      </c>
      <c r="AU81" s="43" t="str">
        <f t="shared" si="38"/>
        <v/>
      </c>
      <c r="AV81" s="43" t="str">
        <f t="shared" si="39"/>
        <v/>
      </c>
      <c r="AW81" s="43" t="str">
        <f t="shared" si="39"/>
        <v/>
      </c>
      <c r="AX81" s="43" t="str">
        <f t="shared" si="39"/>
        <v/>
      </c>
      <c r="AY81" s="43" t="str">
        <f t="shared" si="39"/>
        <v/>
      </c>
      <c r="AZ81" s="43" t="str">
        <f t="shared" si="39"/>
        <v/>
      </c>
      <c r="BA81" s="43" t="str">
        <f t="shared" si="39"/>
        <v/>
      </c>
      <c r="BB81" s="43"/>
      <c r="BC81" s="43"/>
      <c r="BD81" s="43"/>
      <c r="BE81" s="43"/>
      <c r="BF81" s="43"/>
      <c r="BG81" s="43"/>
      <c r="BW81" s="1250"/>
    </row>
    <row r="82" spans="1:75" x14ac:dyDescent="0.25">
      <c r="A82" s="1251"/>
      <c r="B82" s="462">
        <v>76</v>
      </c>
      <c r="C82" s="462"/>
      <c r="D82" s="1244"/>
      <c r="E82" s="1050"/>
      <c r="F82" s="1244"/>
      <c r="H82" s="43" t="str">
        <f t="shared" si="35"/>
        <v/>
      </c>
      <c r="I82" s="43" t="str">
        <f t="shared" si="35"/>
        <v/>
      </c>
      <c r="J82" s="43" t="str">
        <f t="shared" si="35"/>
        <v/>
      </c>
      <c r="K82" s="43" t="str">
        <f t="shared" si="35"/>
        <v/>
      </c>
      <c r="L82" s="43" t="str">
        <f t="shared" si="35"/>
        <v/>
      </c>
      <c r="M82" s="43" t="str">
        <f t="shared" si="35"/>
        <v/>
      </c>
      <c r="N82" s="43" t="str">
        <f t="shared" si="35"/>
        <v/>
      </c>
      <c r="O82" s="43" t="str">
        <f t="shared" si="35"/>
        <v/>
      </c>
      <c r="P82" s="43" t="str">
        <f t="shared" si="35"/>
        <v/>
      </c>
      <c r="Q82" s="43" t="str">
        <f t="shared" si="35"/>
        <v/>
      </c>
      <c r="R82" s="43" t="str">
        <f t="shared" si="36"/>
        <v/>
      </c>
      <c r="S82" s="43" t="str">
        <f t="shared" si="36"/>
        <v/>
      </c>
      <c r="T82" s="43" t="str">
        <f t="shared" si="36"/>
        <v/>
      </c>
      <c r="U82" s="43" t="str">
        <f t="shared" si="36"/>
        <v/>
      </c>
      <c r="V82" s="43" t="str">
        <f t="shared" si="36"/>
        <v/>
      </c>
      <c r="W82" s="43" t="str">
        <f t="shared" si="36"/>
        <v/>
      </c>
      <c r="X82" s="43" t="str">
        <f t="shared" si="36"/>
        <v/>
      </c>
      <c r="Y82" s="43" t="str">
        <f t="shared" si="36"/>
        <v/>
      </c>
      <c r="Z82" s="43" t="str">
        <f t="shared" si="36"/>
        <v/>
      </c>
      <c r="AA82" s="43" t="str">
        <f t="shared" si="36"/>
        <v/>
      </c>
      <c r="AB82" s="43" t="str">
        <f t="shared" si="37"/>
        <v/>
      </c>
      <c r="AC82" s="43" t="str">
        <f t="shared" si="37"/>
        <v/>
      </c>
      <c r="AD82" s="43" t="str">
        <f t="shared" si="37"/>
        <v/>
      </c>
      <c r="AE82" s="43" t="str">
        <f t="shared" si="37"/>
        <v/>
      </c>
      <c r="AF82" s="43" t="str">
        <f t="shared" si="37"/>
        <v/>
      </c>
      <c r="AG82" s="43" t="str">
        <f t="shared" si="37"/>
        <v/>
      </c>
      <c r="AH82" s="43" t="str">
        <f t="shared" si="37"/>
        <v/>
      </c>
      <c r="AI82" s="43" t="str">
        <f t="shared" si="37"/>
        <v/>
      </c>
      <c r="AJ82" s="43" t="str">
        <f t="shared" si="37"/>
        <v/>
      </c>
      <c r="AK82" s="43" t="str">
        <f t="shared" si="37"/>
        <v/>
      </c>
      <c r="AL82" s="43" t="str">
        <f t="shared" si="38"/>
        <v/>
      </c>
      <c r="AM82" s="43" t="str">
        <f t="shared" si="38"/>
        <v/>
      </c>
      <c r="AN82" s="43" t="str">
        <f t="shared" si="38"/>
        <v/>
      </c>
      <c r="AO82" s="43" t="str">
        <f t="shared" si="38"/>
        <v/>
      </c>
      <c r="AP82" s="43" t="str">
        <f t="shared" si="38"/>
        <v/>
      </c>
      <c r="AQ82" s="43" t="str">
        <f t="shared" si="38"/>
        <v/>
      </c>
      <c r="AR82" s="43" t="str">
        <f t="shared" si="38"/>
        <v/>
      </c>
      <c r="AS82" s="43" t="str">
        <f t="shared" si="38"/>
        <v/>
      </c>
      <c r="AT82" s="43" t="str">
        <f t="shared" si="38"/>
        <v/>
      </c>
      <c r="AU82" s="43" t="str">
        <f t="shared" si="38"/>
        <v/>
      </c>
      <c r="AV82" s="43" t="str">
        <f t="shared" si="39"/>
        <v/>
      </c>
      <c r="AW82" s="43" t="str">
        <f t="shared" si="39"/>
        <v/>
      </c>
      <c r="AX82" s="43" t="str">
        <f t="shared" si="39"/>
        <v/>
      </c>
      <c r="AY82" s="43" t="str">
        <f t="shared" si="39"/>
        <v/>
      </c>
      <c r="AZ82" s="43" t="str">
        <f t="shared" si="39"/>
        <v/>
      </c>
      <c r="BA82" s="43" t="str">
        <f t="shared" si="39"/>
        <v/>
      </c>
      <c r="BB82" s="43"/>
      <c r="BC82" s="43"/>
      <c r="BD82" s="43"/>
      <c r="BE82" s="43"/>
      <c r="BF82" s="43"/>
      <c r="BG82" s="43"/>
      <c r="BW82" s="1250"/>
    </row>
    <row r="83" spans="1:75" x14ac:dyDescent="0.25">
      <c r="A83" s="1251"/>
      <c r="B83" s="462">
        <v>77</v>
      </c>
      <c r="C83" s="462"/>
      <c r="D83" s="1244"/>
      <c r="E83" s="1050"/>
      <c r="F83" s="1244"/>
      <c r="H83" s="43" t="str">
        <f t="shared" si="35"/>
        <v/>
      </c>
      <c r="I83" s="43" t="str">
        <f t="shared" si="35"/>
        <v/>
      </c>
      <c r="J83" s="43" t="str">
        <f t="shared" si="35"/>
        <v/>
      </c>
      <c r="K83" s="43" t="str">
        <f t="shared" si="35"/>
        <v/>
      </c>
      <c r="L83" s="43" t="str">
        <f t="shared" si="35"/>
        <v/>
      </c>
      <c r="M83" s="43" t="str">
        <f t="shared" si="35"/>
        <v/>
      </c>
      <c r="N83" s="43" t="str">
        <f t="shared" si="35"/>
        <v/>
      </c>
      <c r="O83" s="43" t="str">
        <f t="shared" si="35"/>
        <v/>
      </c>
      <c r="P83" s="43" t="str">
        <f t="shared" si="35"/>
        <v/>
      </c>
      <c r="Q83" s="43" t="str">
        <f t="shared" si="35"/>
        <v/>
      </c>
      <c r="R83" s="43" t="str">
        <f t="shared" si="36"/>
        <v/>
      </c>
      <c r="S83" s="43" t="str">
        <f t="shared" si="36"/>
        <v/>
      </c>
      <c r="T83" s="43" t="str">
        <f t="shared" si="36"/>
        <v/>
      </c>
      <c r="U83" s="43" t="str">
        <f t="shared" si="36"/>
        <v/>
      </c>
      <c r="V83" s="43" t="str">
        <f t="shared" si="36"/>
        <v/>
      </c>
      <c r="W83" s="43" t="str">
        <f t="shared" si="36"/>
        <v/>
      </c>
      <c r="X83" s="43" t="str">
        <f t="shared" si="36"/>
        <v/>
      </c>
      <c r="Y83" s="43" t="str">
        <f t="shared" si="36"/>
        <v/>
      </c>
      <c r="Z83" s="43" t="str">
        <f t="shared" si="36"/>
        <v/>
      </c>
      <c r="AA83" s="43" t="str">
        <f t="shared" si="36"/>
        <v/>
      </c>
      <c r="AB83" s="43" t="str">
        <f t="shared" si="37"/>
        <v/>
      </c>
      <c r="AC83" s="43" t="str">
        <f t="shared" si="37"/>
        <v/>
      </c>
      <c r="AD83" s="43" t="str">
        <f t="shared" si="37"/>
        <v/>
      </c>
      <c r="AE83" s="43" t="str">
        <f t="shared" si="37"/>
        <v/>
      </c>
      <c r="AF83" s="43" t="str">
        <f t="shared" si="37"/>
        <v/>
      </c>
      <c r="AG83" s="43" t="str">
        <f t="shared" si="37"/>
        <v/>
      </c>
      <c r="AH83" s="43" t="str">
        <f t="shared" si="37"/>
        <v/>
      </c>
      <c r="AI83" s="43" t="str">
        <f t="shared" si="37"/>
        <v/>
      </c>
      <c r="AJ83" s="43" t="str">
        <f t="shared" si="37"/>
        <v/>
      </c>
      <c r="AK83" s="43" t="str">
        <f t="shared" si="37"/>
        <v/>
      </c>
      <c r="AL83" s="43" t="str">
        <f t="shared" si="38"/>
        <v/>
      </c>
      <c r="AM83" s="43" t="str">
        <f t="shared" si="38"/>
        <v/>
      </c>
      <c r="AN83" s="43" t="str">
        <f t="shared" si="38"/>
        <v/>
      </c>
      <c r="AO83" s="43" t="str">
        <f t="shared" si="38"/>
        <v/>
      </c>
      <c r="AP83" s="43" t="str">
        <f t="shared" si="38"/>
        <v/>
      </c>
      <c r="AQ83" s="43" t="str">
        <f t="shared" si="38"/>
        <v/>
      </c>
      <c r="AR83" s="43" t="str">
        <f t="shared" si="38"/>
        <v/>
      </c>
      <c r="AS83" s="43" t="str">
        <f t="shared" si="38"/>
        <v/>
      </c>
      <c r="AT83" s="43" t="str">
        <f t="shared" si="38"/>
        <v/>
      </c>
      <c r="AU83" s="43" t="str">
        <f t="shared" si="38"/>
        <v/>
      </c>
      <c r="AV83" s="43" t="str">
        <f t="shared" si="39"/>
        <v/>
      </c>
      <c r="AW83" s="43" t="str">
        <f t="shared" si="39"/>
        <v/>
      </c>
      <c r="AX83" s="43" t="str">
        <f t="shared" si="39"/>
        <v/>
      </c>
      <c r="AY83" s="43" t="str">
        <f t="shared" si="39"/>
        <v/>
      </c>
      <c r="AZ83" s="43" t="str">
        <f t="shared" si="39"/>
        <v/>
      </c>
      <c r="BA83" s="43" t="str">
        <f t="shared" si="39"/>
        <v/>
      </c>
      <c r="BB83" s="43"/>
      <c r="BC83" s="43"/>
      <c r="BD83" s="43"/>
      <c r="BE83" s="43"/>
      <c r="BF83" s="43"/>
      <c r="BG83" s="43"/>
      <c r="BW83" s="1250"/>
    </row>
    <row r="84" spans="1:75" x14ac:dyDescent="0.25">
      <c r="A84" s="1251"/>
      <c r="B84" s="462">
        <v>78</v>
      </c>
      <c r="C84" s="462"/>
      <c r="D84" s="1244"/>
      <c r="E84" s="1050"/>
      <c r="F84" s="1244"/>
      <c r="H84" s="43" t="str">
        <f t="shared" si="35"/>
        <v/>
      </c>
      <c r="I84" s="43" t="str">
        <f t="shared" si="35"/>
        <v/>
      </c>
      <c r="J84" s="43" t="str">
        <f t="shared" si="35"/>
        <v/>
      </c>
      <c r="K84" s="43" t="str">
        <f t="shared" si="35"/>
        <v/>
      </c>
      <c r="L84" s="43" t="str">
        <f t="shared" si="35"/>
        <v/>
      </c>
      <c r="M84" s="43" t="str">
        <f t="shared" si="35"/>
        <v/>
      </c>
      <c r="N84" s="43" t="str">
        <f t="shared" si="35"/>
        <v/>
      </c>
      <c r="O84" s="43" t="str">
        <f t="shared" si="35"/>
        <v/>
      </c>
      <c r="P84" s="43" t="str">
        <f t="shared" si="35"/>
        <v/>
      </c>
      <c r="Q84" s="43" t="str">
        <f t="shared" si="35"/>
        <v/>
      </c>
      <c r="R84" s="43" t="str">
        <f t="shared" si="36"/>
        <v/>
      </c>
      <c r="S84" s="43" t="str">
        <f t="shared" si="36"/>
        <v/>
      </c>
      <c r="T84" s="43" t="str">
        <f t="shared" si="36"/>
        <v/>
      </c>
      <c r="U84" s="43" t="str">
        <f t="shared" si="36"/>
        <v/>
      </c>
      <c r="V84" s="43" t="str">
        <f t="shared" si="36"/>
        <v/>
      </c>
      <c r="W84" s="43" t="str">
        <f t="shared" si="36"/>
        <v/>
      </c>
      <c r="X84" s="43" t="str">
        <f t="shared" si="36"/>
        <v/>
      </c>
      <c r="Y84" s="43" t="str">
        <f t="shared" si="36"/>
        <v/>
      </c>
      <c r="Z84" s="43" t="str">
        <f t="shared" si="36"/>
        <v/>
      </c>
      <c r="AA84" s="43" t="str">
        <f t="shared" si="36"/>
        <v/>
      </c>
      <c r="AB84" s="43" t="str">
        <f t="shared" si="37"/>
        <v/>
      </c>
      <c r="AC84" s="43" t="str">
        <f t="shared" si="37"/>
        <v/>
      </c>
      <c r="AD84" s="43" t="str">
        <f t="shared" si="37"/>
        <v/>
      </c>
      <c r="AE84" s="43" t="str">
        <f t="shared" si="37"/>
        <v/>
      </c>
      <c r="AF84" s="43" t="str">
        <f t="shared" si="37"/>
        <v/>
      </c>
      <c r="AG84" s="43" t="str">
        <f t="shared" si="37"/>
        <v/>
      </c>
      <c r="AH84" s="43" t="str">
        <f t="shared" si="37"/>
        <v/>
      </c>
      <c r="AI84" s="43" t="str">
        <f t="shared" si="37"/>
        <v/>
      </c>
      <c r="AJ84" s="43" t="str">
        <f t="shared" si="37"/>
        <v/>
      </c>
      <c r="AK84" s="43" t="str">
        <f t="shared" si="37"/>
        <v/>
      </c>
      <c r="AL84" s="43" t="str">
        <f t="shared" si="38"/>
        <v/>
      </c>
      <c r="AM84" s="43" t="str">
        <f t="shared" si="38"/>
        <v/>
      </c>
      <c r="AN84" s="43" t="str">
        <f t="shared" si="38"/>
        <v/>
      </c>
      <c r="AO84" s="43" t="str">
        <f t="shared" si="38"/>
        <v/>
      </c>
      <c r="AP84" s="43" t="str">
        <f t="shared" si="38"/>
        <v/>
      </c>
      <c r="AQ84" s="43" t="str">
        <f t="shared" si="38"/>
        <v/>
      </c>
      <c r="AR84" s="43" t="str">
        <f t="shared" si="38"/>
        <v/>
      </c>
      <c r="AS84" s="43" t="str">
        <f t="shared" si="38"/>
        <v/>
      </c>
      <c r="AT84" s="43" t="str">
        <f t="shared" si="38"/>
        <v/>
      </c>
      <c r="AU84" s="43" t="str">
        <f t="shared" si="38"/>
        <v/>
      </c>
      <c r="AV84" s="43" t="str">
        <f t="shared" si="39"/>
        <v/>
      </c>
      <c r="AW84" s="43" t="str">
        <f t="shared" si="39"/>
        <v/>
      </c>
      <c r="AX84" s="43" t="str">
        <f t="shared" si="39"/>
        <v/>
      </c>
      <c r="AY84" s="43" t="str">
        <f t="shared" si="39"/>
        <v/>
      </c>
      <c r="AZ84" s="43" t="str">
        <f t="shared" si="39"/>
        <v/>
      </c>
      <c r="BA84" s="43" t="str">
        <f t="shared" si="39"/>
        <v/>
      </c>
      <c r="BB84" s="43"/>
      <c r="BC84" s="43"/>
      <c r="BD84" s="43"/>
      <c r="BE84" s="43"/>
      <c r="BF84" s="43"/>
      <c r="BG84" s="43"/>
      <c r="BW84" s="1250"/>
    </row>
    <row r="85" spans="1:75" x14ac:dyDescent="0.25">
      <c r="A85" s="1251"/>
      <c r="B85" s="462">
        <v>79</v>
      </c>
      <c r="C85" s="462"/>
      <c r="D85" s="1244"/>
      <c r="E85" s="1050"/>
      <c r="F85" s="1244"/>
      <c r="H85" s="43" t="str">
        <f t="shared" si="35"/>
        <v/>
      </c>
      <c r="I85" s="43" t="str">
        <f t="shared" si="35"/>
        <v/>
      </c>
      <c r="J85" s="43" t="str">
        <f t="shared" si="35"/>
        <v/>
      </c>
      <c r="K85" s="43" t="str">
        <f t="shared" si="35"/>
        <v/>
      </c>
      <c r="L85" s="43" t="str">
        <f t="shared" si="35"/>
        <v/>
      </c>
      <c r="M85" s="43" t="str">
        <f t="shared" si="35"/>
        <v/>
      </c>
      <c r="N85" s="43" t="str">
        <f t="shared" si="35"/>
        <v/>
      </c>
      <c r="O85" s="43" t="str">
        <f t="shared" si="35"/>
        <v/>
      </c>
      <c r="P85" s="43" t="str">
        <f t="shared" si="35"/>
        <v/>
      </c>
      <c r="Q85" s="43" t="str">
        <f t="shared" si="35"/>
        <v/>
      </c>
      <c r="R85" s="43" t="str">
        <f t="shared" si="36"/>
        <v/>
      </c>
      <c r="S85" s="43" t="str">
        <f t="shared" si="36"/>
        <v/>
      </c>
      <c r="T85" s="43" t="str">
        <f t="shared" si="36"/>
        <v/>
      </c>
      <c r="U85" s="43" t="str">
        <f t="shared" si="36"/>
        <v/>
      </c>
      <c r="V85" s="43" t="str">
        <f t="shared" si="36"/>
        <v/>
      </c>
      <c r="W85" s="43" t="str">
        <f t="shared" si="36"/>
        <v/>
      </c>
      <c r="X85" s="43" t="str">
        <f t="shared" si="36"/>
        <v/>
      </c>
      <c r="Y85" s="43" t="str">
        <f t="shared" si="36"/>
        <v/>
      </c>
      <c r="Z85" s="43" t="str">
        <f t="shared" si="36"/>
        <v/>
      </c>
      <c r="AA85" s="43" t="str">
        <f t="shared" si="36"/>
        <v/>
      </c>
      <c r="AB85" s="43" t="str">
        <f t="shared" si="37"/>
        <v/>
      </c>
      <c r="AC85" s="43" t="str">
        <f t="shared" si="37"/>
        <v/>
      </c>
      <c r="AD85" s="43" t="str">
        <f t="shared" si="37"/>
        <v/>
      </c>
      <c r="AE85" s="43" t="str">
        <f t="shared" si="37"/>
        <v/>
      </c>
      <c r="AF85" s="43" t="str">
        <f t="shared" si="37"/>
        <v/>
      </c>
      <c r="AG85" s="43" t="str">
        <f t="shared" si="37"/>
        <v/>
      </c>
      <c r="AH85" s="43" t="str">
        <f t="shared" si="37"/>
        <v/>
      </c>
      <c r="AI85" s="43" t="str">
        <f t="shared" si="37"/>
        <v/>
      </c>
      <c r="AJ85" s="43" t="str">
        <f t="shared" si="37"/>
        <v/>
      </c>
      <c r="AK85" s="43" t="str">
        <f t="shared" si="37"/>
        <v/>
      </c>
      <c r="AL85" s="43" t="str">
        <f t="shared" si="38"/>
        <v/>
      </c>
      <c r="AM85" s="43" t="str">
        <f t="shared" si="38"/>
        <v/>
      </c>
      <c r="AN85" s="43" t="str">
        <f t="shared" si="38"/>
        <v/>
      </c>
      <c r="AO85" s="43" t="str">
        <f t="shared" si="38"/>
        <v/>
      </c>
      <c r="AP85" s="43" t="str">
        <f t="shared" si="38"/>
        <v/>
      </c>
      <c r="AQ85" s="43" t="str">
        <f t="shared" si="38"/>
        <v/>
      </c>
      <c r="AR85" s="43" t="str">
        <f t="shared" si="38"/>
        <v/>
      </c>
      <c r="AS85" s="43" t="str">
        <f t="shared" si="38"/>
        <v/>
      </c>
      <c r="AT85" s="43" t="str">
        <f t="shared" si="38"/>
        <v/>
      </c>
      <c r="AU85" s="43" t="str">
        <f t="shared" si="38"/>
        <v/>
      </c>
      <c r="AV85" s="43" t="str">
        <f t="shared" si="39"/>
        <v/>
      </c>
      <c r="AW85" s="43" t="str">
        <f t="shared" si="39"/>
        <v/>
      </c>
      <c r="AX85" s="43" t="str">
        <f t="shared" si="39"/>
        <v/>
      </c>
      <c r="AY85" s="43" t="str">
        <f t="shared" si="39"/>
        <v/>
      </c>
      <c r="AZ85" s="43" t="str">
        <f t="shared" si="39"/>
        <v/>
      </c>
      <c r="BA85" s="43" t="str">
        <f t="shared" si="39"/>
        <v/>
      </c>
      <c r="BB85" s="43"/>
      <c r="BC85" s="43"/>
      <c r="BD85" s="43"/>
      <c r="BE85" s="43"/>
      <c r="BF85" s="43"/>
      <c r="BG85" s="43"/>
      <c r="BW85" s="1250"/>
    </row>
    <row r="86" spans="1:75" x14ac:dyDescent="0.25">
      <c r="A86" s="1251"/>
      <c r="B86" s="462">
        <v>80</v>
      </c>
      <c r="C86" s="462"/>
      <c r="D86" s="1244"/>
      <c r="E86" s="1050"/>
      <c r="F86" s="1244"/>
      <c r="H86" s="43" t="str">
        <f t="shared" si="35"/>
        <v/>
      </c>
      <c r="I86" s="43" t="str">
        <f t="shared" si="35"/>
        <v/>
      </c>
      <c r="J86" s="43" t="str">
        <f t="shared" si="35"/>
        <v/>
      </c>
      <c r="K86" s="43" t="str">
        <f t="shared" si="35"/>
        <v/>
      </c>
      <c r="L86" s="43" t="str">
        <f t="shared" si="35"/>
        <v/>
      </c>
      <c r="M86" s="43" t="str">
        <f t="shared" si="35"/>
        <v/>
      </c>
      <c r="N86" s="43" t="str">
        <f t="shared" si="35"/>
        <v/>
      </c>
      <c r="O86" s="43" t="str">
        <f t="shared" si="35"/>
        <v/>
      </c>
      <c r="P86" s="43" t="str">
        <f t="shared" si="35"/>
        <v/>
      </c>
      <c r="Q86" s="43" t="str">
        <f t="shared" si="35"/>
        <v/>
      </c>
      <c r="R86" s="43" t="str">
        <f t="shared" si="36"/>
        <v/>
      </c>
      <c r="S86" s="43" t="str">
        <f t="shared" si="36"/>
        <v/>
      </c>
      <c r="T86" s="43" t="str">
        <f t="shared" si="36"/>
        <v/>
      </c>
      <c r="U86" s="43" t="str">
        <f t="shared" si="36"/>
        <v/>
      </c>
      <c r="V86" s="43" t="str">
        <f t="shared" si="36"/>
        <v/>
      </c>
      <c r="W86" s="43" t="str">
        <f t="shared" si="36"/>
        <v/>
      </c>
      <c r="X86" s="43" t="str">
        <f t="shared" si="36"/>
        <v/>
      </c>
      <c r="Y86" s="43" t="str">
        <f t="shared" si="36"/>
        <v/>
      </c>
      <c r="Z86" s="43" t="str">
        <f t="shared" si="36"/>
        <v/>
      </c>
      <c r="AA86" s="43" t="str">
        <f t="shared" si="36"/>
        <v/>
      </c>
      <c r="AB86" s="43" t="str">
        <f t="shared" si="37"/>
        <v/>
      </c>
      <c r="AC86" s="43" t="str">
        <f t="shared" si="37"/>
        <v/>
      </c>
      <c r="AD86" s="43" t="str">
        <f t="shared" si="37"/>
        <v/>
      </c>
      <c r="AE86" s="43" t="str">
        <f t="shared" si="37"/>
        <v/>
      </c>
      <c r="AF86" s="43" t="str">
        <f t="shared" si="37"/>
        <v/>
      </c>
      <c r="AG86" s="43" t="str">
        <f t="shared" si="37"/>
        <v/>
      </c>
      <c r="AH86" s="43" t="str">
        <f t="shared" si="37"/>
        <v/>
      </c>
      <c r="AI86" s="43" t="str">
        <f t="shared" si="37"/>
        <v/>
      </c>
      <c r="AJ86" s="43" t="str">
        <f t="shared" si="37"/>
        <v/>
      </c>
      <c r="AK86" s="43" t="str">
        <f t="shared" si="37"/>
        <v/>
      </c>
      <c r="AL86" s="43" t="str">
        <f t="shared" si="38"/>
        <v/>
      </c>
      <c r="AM86" s="43" t="str">
        <f t="shared" si="38"/>
        <v/>
      </c>
      <c r="AN86" s="43" t="str">
        <f t="shared" si="38"/>
        <v/>
      </c>
      <c r="AO86" s="43" t="str">
        <f t="shared" si="38"/>
        <v/>
      </c>
      <c r="AP86" s="43" t="str">
        <f t="shared" si="38"/>
        <v/>
      </c>
      <c r="AQ86" s="43" t="str">
        <f t="shared" si="38"/>
        <v/>
      </c>
      <c r="AR86" s="43" t="str">
        <f t="shared" si="38"/>
        <v/>
      </c>
      <c r="AS86" s="43" t="str">
        <f t="shared" si="38"/>
        <v/>
      </c>
      <c r="AT86" s="43" t="str">
        <f t="shared" si="38"/>
        <v/>
      </c>
      <c r="AU86" s="43" t="str">
        <f t="shared" si="38"/>
        <v/>
      </c>
      <c r="AV86" s="43" t="str">
        <f t="shared" si="39"/>
        <v/>
      </c>
      <c r="AW86" s="43" t="str">
        <f t="shared" si="39"/>
        <v/>
      </c>
      <c r="AX86" s="43" t="str">
        <f t="shared" si="39"/>
        <v/>
      </c>
      <c r="AY86" s="43" t="str">
        <f t="shared" si="39"/>
        <v/>
      </c>
      <c r="AZ86" s="43" t="str">
        <f t="shared" si="39"/>
        <v/>
      </c>
      <c r="BA86" s="43" t="str">
        <f t="shared" si="39"/>
        <v/>
      </c>
      <c r="BB86" s="43"/>
      <c r="BC86" s="43"/>
      <c r="BD86" s="43"/>
      <c r="BE86" s="43"/>
      <c r="BF86" s="43"/>
      <c r="BG86" s="43"/>
      <c r="BW86" s="1250"/>
    </row>
    <row r="87" spans="1:75" x14ac:dyDescent="0.25">
      <c r="A87" s="1251"/>
      <c r="B87" s="462">
        <v>81</v>
      </c>
      <c r="C87" s="462"/>
      <c r="D87" s="1244"/>
      <c r="E87" s="1050"/>
      <c r="F87" s="1244"/>
      <c r="H87" s="43" t="str">
        <f t="shared" ref="H87:Q96" si="40">IF($D87=H$6,$B87&amp;", ","")</f>
        <v/>
      </c>
      <c r="I87" s="43" t="str">
        <f t="shared" si="40"/>
        <v/>
      </c>
      <c r="J87" s="43" t="str">
        <f t="shared" si="40"/>
        <v/>
      </c>
      <c r="K87" s="43" t="str">
        <f t="shared" si="40"/>
        <v/>
      </c>
      <c r="L87" s="43" t="str">
        <f t="shared" si="40"/>
        <v/>
      </c>
      <c r="M87" s="43" t="str">
        <f t="shared" si="40"/>
        <v/>
      </c>
      <c r="N87" s="43" t="str">
        <f t="shared" si="40"/>
        <v/>
      </c>
      <c r="O87" s="43" t="str">
        <f t="shared" si="40"/>
        <v/>
      </c>
      <c r="P87" s="43" t="str">
        <f t="shared" si="40"/>
        <v/>
      </c>
      <c r="Q87" s="43" t="str">
        <f t="shared" si="40"/>
        <v/>
      </c>
      <c r="R87" s="43" t="str">
        <f t="shared" ref="R87:AA96" si="41">IF($D87=R$6,$B87&amp;", ","")</f>
        <v/>
      </c>
      <c r="S87" s="43" t="str">
        <f t="shared" si="41"/>
        <v/>
      </c>
      <c r="T87" s="43" t="str">
        <f t="shared" si="41"/>
        <v/>
      </c>
      <c r="U87" s="43" t="str">
        <f t="shared" si="41"/>
        <v/>
      </c>
      <c r="V87" s="43" t="str">
        <f t="shared" si="41"/>
        <v/>
      </c>
      <c r="W87" s="43" t="str">
        <f t="shared" si="41"/>
        <v/>
      </c>
      <c r="X87" s="43" t="str">
        <f t="shared" si="41"/>
        <v/>
      </c>
      <c r="Y87" s="43" t="str">
        <f t="shared" si="41"/>
        <v/>
      </c>
      <c r="Z87" s="43" t="str">
        <f t="shared" si="41"/>
        <v/>
      </c>
      <c r="AA87" s="43" t="str">
        <f t="shared" si="41"/>
        <v/>
      </c>
      <c r="AB87" s="43" t="str">
        <f t="shared" ref="AB87:AK96" si="42">IF($D87=AB$6,$B87&amp;", ","")</f>
        <v/>
      </c>
      <c r="AC87" s="43" t="str">
        <f t="shared" si="42"/>
        <v/>
      </c>
      <c r="AD87" s="43" t="str">
        <f t="shared" si="42"/>
        <v/>
      </c>
      <c r="AE87" s="43" t="str">
        <f t="shared" si="42"/>
        <v/>
      </c>
      <c r="AF87" s="43" t="str">
        <f t="shared" si="42"/>
        <v/>
      </c>
      <c r="AG87" s="43" t="str">
        <f t="shared" si="42"/>
        <v/>
      </c>
      <c r="AH87" s="43" t="str">
        <f t="shared" si="42"/>
        <v/>
      </c>
      <c r="AI87" s="43" t="str">
        <f t="shared" si="42"/>
        <v/>
      </c>
      <c r="AJ87" s="43" t="str">
        <f t="shared" si="42"/>
        <v/>
      </c>
      <c r="AK87" s="43" t="str">
        <f t="shared" si="42"/>
        <v/>
      </c>
      <c r="AL87" s="43" t="str">
        <f t="shared" ref="AL87:AU96" si="43">IF($D87=AL$6,$B87&amp;", ","")</f>
        <v/>
      </c>
      <c r="AM87" s="43" t="str">
        <f t="shared" si="43"/>
        <v/>
      </c>
      <c r="AN87" s="43" t="str">
        <f t="shared" si="43"/>
        <v/>
      </c>
      <c r="AO87" s="43" t="str">
        <f t="shared" si="43"/>
        <v/>
      </c>
      <c r="AP87" s="43" t="str">
        <f t="shared" si="43"/>
        <v/>
      </c>
      <c r="AQ87" s="43" t="str">
        <f t="shared" si="43"/>
        <v/>
      </c>
      <c r="AR87" s="43" t="str">
        <f t="shared" si="43"/>
        <v/>
      </c>
      <c r="AS87" s="43" t="str">
        <f t="shared" si="43"/>
        <v/>
      </c>
      <c r="AT87" s="43" t="str">
        <f t="shared" si="43"/>
        <v/>
      </c>
      <c r="AU87" s="43" t="str">
        <f t="shared" si="43"/>
        <v/>
      </c>
      <c r="AV87" s="43" t="str">
        <f t="shared" ref="AV87:BA96" si="44">IF($D87=AV$6,$B87&amp;", ","")</f>
        <v/>
      </c>
      <c r="AW87" s="43" t="str">
        <f t="shared" si="44"/>
        <v/>
      </c>
      <c r="AX87" s="43" t="str">
        <f t="shared" si="44"/>
        <v/>
      </c>
      <c r="AY87" s="43" t="str">
        <f t="shared" si="44"/>
        <v/>
      </c>
      <c r="AZ87" s="43" t="str">
        <f t="shared" si="44"/>
        <v/>
      </c>
      <c r="BA87" s="43" t="str">
        <f t="shared" si="44"/>
        <v/>
      </c>
      <c r="BB87" s="43"/>
      <c r="BC87" s="43"/>
      <c r="BD87" s="43"/>
      <c r="BE87" s="43"/>
      <c r="BF87" s="43"/>
      <c r="BG87" s="43"/>
      <c r="BW87" s="1250"/>
    </row>
    <row r="88" spans="1:75" x14ac:dyDescent="0.25">
      <c r="A88" s="1251"/>
      <c r="B88" s="462">
        <v>82</v>
      </c>
      <c r="C88" s="462"/>
      <c r="D88" s="1244"/>
      <c r="E88" s="1050"/>
      <c r="F88" s="1244"/>
      <c r="H88" s="43" t="str">
        <f t="shared" si="40"/>
        <v/>
      </c>
      <c r="I88" s="43" t="str">
        <f t="shared" si="40"/>
        <v/>
      </c>
      <c r="J88" s="43" t="str">
        <f t="shared" si="40"/>
        <v/>
      </c>
      <c r="K88" s="43" t="str">
        <f t="shared" si="40"/>
        <v/>
      </c>
      <c r="L88" s="43" t="str">
        <f t="shared" si="40"/>
        <v/>
      </c>
      <c r="M88" s="43" t="str">
        <f t="shared" si="40"/>
        <v/>
      </c>
      <c r="N88" s="43" t="str">
        <f t="shared" si="40"/>
        <v/>
      </c>
      <c r="O88" s="43" t="str">
        <f t="shared" si="40"/>
        <v/>
      </c>
      <c r="P88" s="43" t="str">
        <f t="shared" si="40"/>
        <v/>
      </c>
      <c r="Q88" s="43" t="str">
        <f t="shared" si="40"/>
        <v/>
      </c>
      <c r="R88" s="43" t="str">
        <f t="shared" si="41"/>
        <v/>
      </c>
      <c r="S88" s="43" t="str">
        <f t="shared" si="41"/>
        <v/>
      </c>
      <c r="T88" s="43" t="str">
        <f t="shared" si="41"/>
        <v/>
      </c>
      <c r="U88" s="43" t="str">
        <f t="shared" si="41"/>
        <v/>
      </c>
      <c r="V88" s="43" t="str">
        <f t="shared" si="41"/>
        <v/>
      </c>
      <c r="W88" s="43" t="str">
        <f t="shared" si="41"/>
        <v/>
      </c>
      <c r="X88" s="43" t="str">
        <f t="shared" si="41"/>
        <v/>
      </c>
      <c r="Y88" s="43" t="str">
        <f t="shared" si="41"/>
        <v/>
      </c>
      <c r="Z88" s="43" t="str">
        <f t="shared" si="41"/>
        <v/>
      </c>
      <c r="AA88" s="43" t="str">
        <f t="shared" si="41"/>
        <v/>
      </c>
      <c r="AB88" s="43" t="str">
        <f t="shared" si="42"/>
        <v/>
      </c>
      <c r="AC88" s="43" t="str">
        <f t="shared" si="42"/>
        <v/>
      </c>
      <c r="AD88" s="43" t="str">
        <f t="shared" si="42"/>
        <v/>
      </c>
      <c r="AE88" s="43" t="str">
        <f t="shared" si="42"/>
        <v/>
      </c>
      <c r="AF88" s="43" t="str">
        <f t="shared" si="42"/>
        <v/>
      </c>
      <c r="AG88" s="43" t="str">
        <f t="shared" si="42"/>
        <v/>
      </c>
      <c r="AH88" s="43" t="str">
        <f t="shared" si="42"/>
        <v/>
      </c>
      <c r="AI88" s="43" t="str">
        <f t="shared" si="42"/>
        <v/>
      </c>
      <c r="AJ88" s="43" t="str">
        <f t="shared" si="42"/>
        <v/>
      </c>
      <c r="AK88" s="43" t="str">
        <f t="shared" si="42"/>
        <v/>
      </c>
      <c r="AL88" s="43" t="str">
        <f t="shared" si="43"/>
        <v/>
      </c>
      <c r="AM88" s="43" t="str">
        <f t="shared" si="43"/>
        <v/>
      </c>
      <c r="AN88" s="43" t="str">
        <f t="shared" si="43"/>
        <v/>
      </c>
      <c r="AO88" s="43" t="str">
        <f t="shared" si="43"/>
        <v/>
      </c>
      <c r="AP88" s="43" t="str">
        <f t="shared" si="43"/>
        <v/>
      </c>
      <c r="AQ88" s="43" t="str">
        <f t="shared" si="43"/>
        <v/>
      </c>
      <c r="AR88" s="43" t="str">
        <f t="shared" si="43"/>
        <v/>
      </c>
      <c r="AS88" s="43" t="str">
        <f t="shared" si="43"/>
        <v/>
      </c>
      <c r="AT88" s="43" t="str">
        <f t="shared" si="43"/>
        <v/>
      </c>
      <c r="AU88" s="43" t="str">
        <f t="shared" si="43"/>
        <v/>
      </c>
      <c r="AV88" s="43" t="str">
        <f t="shared" si="44"/>
        <v/>
      </c>
      <c r="AW88" s="43" t="str">
        <f t="shared" si="44"/>
        <v/>
      </c>
      <c r="AX88" s="43" t="str">
        <f t="shared" si="44"/>
        <v/>
      </c>
      <c r="AY88" s="43" t="str">
        <f t="shared" si="44"/>
        <v/>
      </c>
      <c r="AZ88" s="43" t="str">
        <f t="shared" si="44"/>
        <v/>
      </c>
      <c r="BA88" s="43" t="str">
        <f t="shared" si="44"/>
        <v/>
      </c>
      <c r="BB88" s="43"/>
      <c r="BC88" s="43"/>
      <c r="BD88" s="43"/>
      <c r="BE88" s="43"/>
      <c r="BF88" s="43"/>
      <c r="BG88" s="43"/>
      <c r="BW88" s="1250"/>
    </row>
    <row r="89" spans="1:75" x14ac:dyDescent="0.25">
      <c r="A89" s="1251"/>
      <c r="B89" s="462">
        <v>83</v>
      </c>
      <c r="C89" s="462"/>
      <c r="D89" s="1244"/>
      <c r="E89" s="1050"/>
      <c r="F89" s="1244"/>
      <c r="H89" s="43" t="str">
        <f t="shared" si="40"/>
        <v/>
      </c>
      <c r="I89" s="43" t="str">
        <f t="shared" si="40"/>
        <v/>
      </c>
      <c r="J89" s="43" t="str">
        <f t="shared" si="40"/>
        <v/>
      </c>
      <c r="K89" s="43" t="str">
        <f t="shared" si="40"/>
        <v/>
      </c>
      <c r="L89" s="43" t="str">
        <f t="shared" si="40"/>
        <v/>
      </c>
      <c r="M89" s="43" t="str">
        <f t="shared" si="40"/>
        <v/>
      </c>
      <c r="N89" s="43" t="str">
        <f t="shared" si="40"/>
        <v/>
      </c>
      <c r="O89" s="43" t="str">
        <f t="shared" si="40"/>
        <v/>
      </c>
      <c r="P89" s="43" t="str">
        <f t="shared" si="40"/>
        <v/>
      </c>
      <c r="Q89" s="43" t="str">
        <f t="shared" si="40"/>
        <v/>
      </c>
      <c r="R89" s="43" t="str">
        <f t="shared" si="41"/>
        <v/>
      </c>
      <c r="S89" s="43" t="str">
        <f t="shared" si="41"/>
        <v/>
      </c>
      <c r="T89" s="43" t="str">
        <f t="shared" si="41"/>
        <v/>
      </c>
      <c r="U89" s="43" t="str">
        <f t="shared" si="41"/>
        <v/>
      </c>
      <c r="V89" s="43" t="str">
        <f t="shared" si="41"/>
        <v/>
      </c>
      <c r="W89" s="43" t="str">
        <f t="shared" si="41"/>
        <v/>
      </c>
      <c r="X89" s="43" t="str">
        <f t="shared" si="41"/>
        <v/>
      </c>
      <c r="Y89" s="43" t="str">
        <f t="shared" si="41"/>
        <v/>
      </c>
      <c r="Z89" s="43" t="str">
        <f t="shared" si="41"/>
        <v/>
      </c>
      <c r="AA89" s="43" t="str">
        <f t="shared" si="41"/>
        <v/>
      </c>
      <c r="AB89" s="43" t="str">
        <f t="shared" si="42"/>
        <v/>
      </c>
      <c r="AC89" s="43" t="str">
        <f t="shared" si="42"/>
        <v/>
      </c>
      <c r="AD89" s="43" t="str">
        <f t="shared" si="42"/>
        <v/>
      </c>
      <c r="AE89" s="43" t="str">
        <f t="shared" si="42"/>
        <v/>
      </c>
      <c r="AF89" s="43" t="str">
        <f t="shared" si="42"/>
        <v/>
      </c>
      <c r="AG89" s="43" t="str">
        <f t="shared" si="42"/>
        <v/>
      </c>
      <c r="AH89" s="43" t="str">
        <f t="shared" si="42"/>
        <v/>
      </c>
      <c r="AI89" s="43" t="str">
        <f t="shared" si="42"/>
        <v/>
      </c>
      <c r="AJ89" s="43" t="str">
        <f t="shared" si="42"/>
        <v/>
      </c>
      <c r="AK89" s="43" t="str">
        <f t="shared" si="42"/>
        <v/>
      </c>
      <c r="AL89" s="43" t="str">
        <f t="shared" si="43"/>
        <v/>
      </c>
      <c r="AM89" s="43" t="str">
        <f t="shared" si="43"/>
        <v/>
      </c>
      <c r="AN89" s="43" t="str">
        <f t="shared" si="43"/>
        <v/>
      </c>
      <c r="AO89" s="43" t="str">
        <f t="shared" si="43"/>
        <v/>
      </c>
      <c r="AP89" s="43" t="str">
        <f t="shared" si="43"/>
        <v/>
      </c>
      <c r="AQ89" s="43" t="str">
        <f t="shared" si="43"/>
        <v/>
      </c>
      <c r="AR89" s="43" t="str">
        <f t="shared" si="43"/>
        <v/>
      </c>
      <c r="AS89" s="43" t="str">
        <f t="shared" si="43"/>
        <v/>
      </c>
      <c r="AT89" s="43" t="str">
        <f t="shared" si="43"/>
        <v/>
      </c>
      <c r="AU89" s="43" t="str">
        <f t="shared" si="43"/>
        <v/>
      </c>
      <c r="AV89" s="43" t="str">
        <f t="shared" si="44"/>
        <v/>
      </c>
      <c r="AW89" s="43" t="str">
        <f t="shared" si="44"/>
        <v/>
      </c>
      <c r="AX89" s="43" t="str">
        <f t="shared" si="44"/>
        <v/>
      </c>
      <c r="AY89" s="43" t="str">
        <f t="shared" si="44"/>
        <v/>
      </c>
      <c r="AZ89" s="43" t="str">
        <f t="shared" si="44"/>
        <v/>
      </c>
      <c r="BA89" s="43" t="str">
        <f t="shared" si="44"/>
        <v/>
      </c>
      <c r="BB89" s="43"/>
      <c r="BC89" s="43"/>
      <c r="BD89" s="43"/>
      <c r="BE89" s="43"/>
      <c r="BF89" s="43"/>
      <c r="BG89" s="43"/>
      <c r="BW89" s="1250"/>
    </row>
    <row r="90" spans="1:75" x14ac:dyDescent="0.25">
      <c r="A90" s="1251"/>
      <c r="B90" s="462">
        <v>84</v>
      </c>
      <c r="C90" s="462"/>
      <c r="D90" s="1244"/>
      <c r="E90" s="1050"/>
      <c r="F90" s="1244"/>
      <c r="H90" s="43" t="str">
        <f t="shared" si="40"/>
        <v/>
      </c>
      <c r="I90" s="43" t="str">
        <f t="shared" si="40"/>
        <v/>
      </c>
      <c r="J90" s="43" t="str">
        <f t="shared" si="40"/>
        <v/>
      </c>
      <c r="K90" s="43" t="str">
        <f t="shared" si="40"/>
        <v/>
      </c>
      <c r="L90" s="43" t="str">
        <f t="shared" si="40"/>
        <v/>
      </c>
      <c r="M90" s="43" t="str">
        <f t="shared" si="40"/>
        <v/>
      </c>
      <c r="N90" s="43" t="str">
        <f t="shared" si="40"/>
        <v/>
      </c>
      <c r="O90" s="43" t="str">
        <f t="shared" si="40"/>
        <v/>
      </c>
      <c r="P90" s="43" t="str">
        <f t="shared" si="40"/>
        <v/>
      </c>
      <c r="Q90" s="43" t="str">
        <f t="shared" si="40"/>
        <v/>
      </c>
      <c r="R90" s="43" t="str">
        <f t="shared" si="41"/>
        <v/>
      </c>
      <c r="S90" s="43" t="str">
        <f t="shared" si="41"/>
        <v/>
      </c>
      <c r="T90" s="43" t="str">
        <f t="shared" si="41"/>
        <v/>
      </c>
      <c r="U90" s="43" t="str">
        <f t="shared" si="41"/>
        <v/>
      </c>
      <c r="V90" s="43" t="str">
        <f t="shared" si="41"/>
        <v/>
      </c>
      <c r="W90" s="43" t="str">
        <f t="shared" si="41"/>
        <v/>
      </c>
      <c r="X90" s="43" t="str">
        <f t="shared" si="41"/>
        <v/>
      </c>
      <c r="Y90" s="43" t="str">
        <f t="shared" si="41"/>
        <v/>
      </c>
      <c r="Z90" s="43" t="str">
        <f t="shared" si="41"/>
        <v/>
      </c>
      <c r="AA90" s="43" t="str">
        <f t="shared" si="41"/>
        <v/>
      </c>
      <c r="AB90" s="43" t="str">
        <f t="shared" si="42"/>
        <v/>
      </c>
      <c r="AC90" s="43" t="str">
        <f t="shared" si="42"/>
        <v/>
      </c>
      <c r="AD90" s="43" t="str">
        <f t="shared" si="42"/>
        <v/>
      </c>
      <c r="AE90" s="43" t="str">
        <f t="shared" si="42"/>
        <v/>
      </c>
      <c r="AF90" s="43" t="str">
        <f t="shared" si="42"/>
        <v/>
      </c>
      <c r="AG90" s="43" t="str">
        <f t="shared" si="42"/>
        <v/>
      </c>
      <c r="AH90" s="43" t="str">
        <f t="shared" si="42"/>
        <v/>
      </c>
      <c r="AI90" s="43" t="str">
        <f t="shared" si="42"/>
        <v/>
      </c>
      <c r="AJ90" s="43" t="str">
        <f t="shared" si="42"/>
        <v/>
      </c>
      <c r="AK90" s="43" t="str">
        <f t="shared" si="42"/>
        <v/>
      </c>
      <c r="AL90" s="43" t="str">
        <f t="shared" si="43"/>
        <v/>
      </c>
      <c r="AM90" s="43" t="str">
        <f t="shared" si="43"/>
        <v/>
      </c>
      <c r="AN90" s="43" t="str">
        <f t="shared" si="43"/>
        <v/>
      </c>
      <c r="AO90" s="43" t="str">
        <f t="shared" si="43"/>
        <v/>
      </c>
      <c r="AP90" s="43" t="str">
        <f t="shared" si="43"/>
        <v/>
      </c>
      <c r="AQ90" s="43" t="str">
        <f t="shared" si="43"/>
        <v/>
      </c>
      <c r="AR90" s="43" t="str">
        <f t="shared" si="43"/>
        <v/>
      </c>
      <c r="AS90" s="43" t="str">
        <f t="shared" si="43"/>
        <v/>
      </c>
      <c r="AT90" s="43" t="str">
        <f t="shared" si="43"/>
        <v/>
      </c>
      <c r="AU90" s="43" t="str">
        <f t="shared" si="43"/>
        <v/>
      </c>
      <c r="AV90" s="43" t="str">
        <f t="shared" si="44"/>
        <v/>
      </c>
      <c r="AW90" s="43" t="str">
        <f t="shared" si="44"/>
        <v/>
      </c>
      <c r="AX90" s="43" t="str">
        <f t="shared" si="44"/>
        <v/>
      </c>
      <c r="AY90" s="43" t="str">
        <f t="shared" si="44"/>
        <v/>
      </c>
      <c r="AZ90" s="43" t="str">
        <f t="shared" si="44"/>
        <v/>
      </c>
      <c r="BA90" s="43" t="str">
        <f t="shared" si="44"/>
        <v/>
      </c>
      <c r="BB90" s="43"/>
      <c r="BC90" s="43"/>
      <c r="BD90" s="43"/>
      <c r="BE90" s="43"/>
      <c r="BF90" s="43"/>
      <c r="BG90" s="43"/>
      <c r="BW90" s="1250"/>
    </row>
    <row r="91" spans="1:75" x14ac:dyDescent="0.25">
      <c r="A91" s="1251"/>
      <c r="B91" s="462">
        <v>85</v>
      </c>
      <c r="C91" s="462"/>
      <c r="D91" s="1244"/>
      <c r="E91" s="1050"/>
      <c r="F91" s="1244"/>
      <c r="H91" s="43" t="str">
        <f t="shared" si="40"/>
        <v/>
      </c>
      <c r="I91" s="43" t="str">
        <f t="shared" si="40"/>
        <v/>
      </c>
      <c r="J91" s="43" t="str">
        <f t="shared" si="40"/>
        <v/>
      </c>
      <c r="K91" s="43" t="str">
        <f t="shared" si="40"/>
        <v/>
      </c>
      <c r="L91" s="43" t="str">
        <f t="shared" si="40"/>
        <v/>
      </c>
      <c r="M91" s="43" t="str">
        <f t="shared" si="40"/>
        <v/>
      </c>
      <c r="N91" s="43" t="str">
        <f t="shared" si="40"/>
        <v/>
      </c>
      <c r="O91" s="43" t="str">
        <f t="shared" si="40"/>
        <v/>
      </c>
      <c r="P91" s="43" t="str">
        <f t="shared" si="40"/>
        <v/>
      </c>
      <c r="Q91" s="43" t="str">
        <f t="shared" si="40"/>
        <v/>
      </c>
      <c r="R91" s="43" t="str">
        <f t="shared" si="41"/>
        <v/>
      </c>
      <c r="S91" s="43" t="str">
        <f t="shared" si="41"/>
        <v/>
      </c>
      <c r="T91" s="43" t="str">
        <f t="shared" si="41"/>
        <v/>
      </c>
      <c r="U91" s="43" t="str">
        <f t="shared" si="41"/>
        <v/>
      </c>
      <c r="V91" s="43" t="str">
        <f t="shared" si="41"/>
        <v/>
      </c>
      <c r="W91" s="43" t="str">
        <f t="shared" si="41"/>
        <v/>
      </c>
      <c r="X91" s="43" t="str">
        <f t="shared" si="41"/>
        <v/>
      </c>
      <c r="Y91" s="43" t="str">
        <f t="shared" si="41"/>
        <v/>
      </c>
      <c r="Z91" s="43" t="str">
        <f t="shared" si="41"/>
        <v/>
      </c>
      <c r="AA91" s="43" t="str">
        <f t="shared" si="41"/>
        <v/>
      </c>
      <c r="AB91" s="43" t="str">
        <f t="shared" si="42"/>
        <v/>
      </c>
      <c r="AC91" s="43" t="str">
        <f t="shared" si="42"/>
        <v/>
      </c>
      <c r="AD91" s="43" t="str">
        <f t="shared" si="42"/>
        <v/>
      </c>
      <c r="AE91" s="43" t="str">
        <f t="shared" si="42"/>
        <v/>
      </c>
      <c r="AF91" s="43" t="str">
        <f t="shared" si="42"/>
        <v/>
      </c>
      <c r="AG91" s="43" t="str">
        <f t="shared" si="42"/>
        <v/>
      </c>
      <c r="AH91" s="43" t="str">
        <f t="shared" si="42"/>
        <v/>
      </c>
      <c r="AI91" s="43" t="str">
        <f t="shared" si="42"/>
        <v/>
      </c>
      <c r="AJ91" s="43" t="str">
        <f t="shared" si="42"/>
        <v/>
      </c>
      <c r="AK91" s="43" t="str">
        <f t="shared" si="42"/>
        <v/>
      </c>
      <c r="AL91" s="43" t="str">
        <f t="shared" si="43"/>
        <v/>
      </c>
      <c r="AM91" s="43" t="str">
        <f t="shared" si="43"/>
        <v/>
      </c>
      <c r="AN91" s="43" t="str">
        <f t="shared" si="43"/>
        <v/>
      </c>
      <c r="AO91" s="43" t="str">
        <f t="shared" si="43"/>
        <v/>
      </c>
      <c r="AP91" s="43" t="str">
        <f t="shared" si="43"/>
        <v/>
      </c>
      <c r="AQ91" s="43" t="str">
        <f t="shared" si="43"/>
        <v/>
      </c>
      <c r="AR91" s="43" t="str">
        <f t="shared" si="43"/>
        <v/>
      </c>
      <c r="AS91" s="43" t="str">
        <f t="shared" si="43"/>
        <v/>
      </c>
      <c r="AT91" s="43" t="str">
        <f t="shared" si="43"/>
        <v/>
      </c>
      <c r="AU91" s="43" t="str">
        <f t="shared" si="43"/>
        <v/>
      </c>
      <c r="AV91" s="43" t="str">
        <f t="shared" si="44"/>
        <v/>
      </c>
      <c r="AW91" s="43" t="str">
        <f t="shared" si="44"/>
        <v/>
      </c>
      <c r="AX91" s="43" t="str">
        <f t="shared" si="44"/>
        <v/>
      </c>
      <c r="AY91" s="43" t="str">
        <f t="shared" si="44"/>
        <v/>
      </c>
      <c r="AZ91" s="43" t="str">
        <f t="shared" si="44"/>
        <v/>
      </c>
      <c r="BA91" s="43" t="str">
        <f t="shared" si="44"/>
        <v/>
      </c>
      <c r="BB91" s="43"/>
      <c r="BC91" s="43"/>
      <c r="BD91" s="43"/>
      <c r="BE91" s="43"/>
      <c r="BF91" s="43"/>
      <c r="BG91" s="43"/>
      <c r="BW91" s="1250"/>
    </row>
    <row r="92" spans="1:75" x14ac:dyDescent="0.25">
      <c r="A92" s="1251"/>
      <c r="B92" s="462">
        <v>86</v>
      </c>
      <c r="C92" s="462"/>
      <c r="D92" s="1244"/>
      <c r="E92" s="1050"/>
      <c r="F92" s="1244"/>
      <c r="H92" s="43" t="str">
        <f t="shared" si="40"/>
        <v/>
      </c>
      <c r="I92" s="43" t="str">
        <f t="shared" si="40"/>
        <v/>
      </c>
      <c r="J92" s="43" t="str">
        <f t="shared" si="40"/>
        <v/>
      </c>
      <c r="K92" s="43" t="str">
        <f t="shared" si="40"/>
        <v/>
      </c>
      <c r="L92" s="43" t="str">
        <f t="shared" si="40"/>
        <v/>
      </c>
      <c r="M92" s="43" t="str">
        <f t="shared" si="40"/>
        <v/>
      </c>
      <c r="N92" s="43" t="str">
        <f t="shared" si="40"/>
        <v/>
      </c>
      <c r="O92" s="43" t="str">
        <f t="shared" si="40"/>
        <v/>
      </c>
      <c r="P92" s="43" t="str">
        <f t="shared" si="40"/>
        <v/>
      </c>
      <c r="Q92" s="43" t="str">
        <f t="shared" si="40"/>
        <v/>
      </c>
      <c r="R92" s="43" t="str">
        <f t="shared" si="41"/>
        <v/>
      </c>
      <c r="S92" s="43" t="str">
        <f t="shared" si="41"/>
        <v/>
      </c>
      <c r="T92" s="43" t="str">
        <f t="shared" si="41"/>
        <v/>
      </c>
      <c r="U92" s="43" t="str">
        <f t="shared" si="41"/>
        <v/>
      </c>
      <c r="V92" s="43" t="str">
        <f t="shared" si="41"/>
        <v/>
      </c>
      <c r="W92" s="43" t="str">
        <f t="shared" si="41"/>
        <v/>
      </c>
      <c r="X92" s="43" t="str">
        <f t="shared" si="41"/>
        <v/>
      </c>
      <c r="Y92" s="43" t="str">
        <f t="shared" si="41"/>
        <v/>
      </c>
      <c r="Z92" s="43" t="str">
        <f t="shared" si="41"/>
        <v/>
      </c>
      <c r="AA92" s="43" t="str">
        <f t="shared" si="41"/>
        <v/>
      </c>
      <c r="AB92" s="43" t="str">
        <f t="shared" si="42"/>
        <v/>
      </c>
      <c r="AC92" s="43" t="str">
        <f t="shared" si="42"/>
        <v/>
      </c>
      <c r="AD92" s="43" t="str">
        <f t="shared" si="42"/>
        <v/>
      </c>
      <c r="AE92" s="43" t="str">
        <f t="shared" si="42"/>
        <v/>
      </c>
      <c r="AF92" s="43" t="str">
        <f t="shared" si="42"/>
        <v/>
      </c>
      <c r="AG92" s="43" t="str">
        <f t="shared" si="42"/>
        <v/>
      </c>
      <c r="AH92" s="43" t="str">
        <f t="shared" si="42"/>
        <v/>
      </c>
      <c r="AI92" s="43" t="str">
        <f t="shared" si="42"/>
        <v/>
      </c>
      <c r="AJ92" s="43" t="str">
        <f t="shared" si="42"/>
        <v/>
      </c>
      <c r="AK92" s="43" t="str">
        <f t="shared" si="42"/>
        <v/>
      </c>
      <c r="AL92" s="43" t="str">
        <f t="shared" si="43"/>
        <v/>
      </c>
      <c r="AM92" s="43" t="str">
        <f t="shared" si="43"/>
        <v/>
      </c>
      <c r="AN92" s="43" t="str">
        <f t="shared" si="43"/>
        <v/>
      </c>
      <c r="AO92" s="43" t="str">
        <f t="shared" si="43"/>
        <v/>
      </c>
      <c r="AP92" s="43" t="str">
        <f t="shared" si="43"/>
        <v/>
      </c>
      <c r="AQ92" s="43" t="str">
        <f t="shared" si="43"/>
        <v/>
      </c>
      <c r="AR92" s="43" t="str">
        <f t="shared" si="43"/>
        <v/>
      </c>
      <c r="AS92" s="43" t="str">
        <f t="shared" si="43"/>
        <v/>
      </c>
      <c r="AT92" s="43" t="str">
        <f t="shared" si="43"/>
        <v/>
      </c>
      <c r="AU92" s="43" t="str">
        <f t="shared" si="43"/>
        <v/>
      </c>
      <c r="AV92" s="43" t="str">
        <f t="shared" si="44"/>
        <v/>
      </c>
      <c r="AW92" s="43" t="str">
        <f t="shared" si="44"/>
        <v/>
      </c>
      <c r="AX92" s="43" t="str">
        <f t="shared" si="44"/>
        <v/>
      </c>
      <c r="AY92" s="43" t="str">
        <f t="shared" si="44"/>
        <v/>
      </c>
      <c r="AZ92" s="43" t="str">
        <f t="shared" si="44"/>
        <v/>
      </c>
      <c r="BA92" s="43" t="str">
        <f t="shared" si="44"/>
        <v/>
      </c>
      <c r="BB92" s="43"/>
      <c r="BC92" s="43"/>
      <c r="BD92" s="43"/>
      <c r="BE92" s="43"/>
      <c r="BF92" s="43"/>
      <c r="BG92" s="43"/>
      <c r="BW92" s="1250"/>
    </row>
    <row r="93" spans="1:75" x14ac:dyDescent="0.25">
      <c r="A93" s="1251"/>
      <c r="B93" s="462">
        <v>87</v>
      </c>
      <c r="C93" s="462"/>
      <c r="D93" s="1244"/>
      <c r="E93" s="1050"/>
      <c r="F93" s="1244"/>
      <c r="H93" s="43" t="str">
        <f t="shared" si="40"/>
        <v/>
      </c>
      <c r="I93" s="43" t="str">
        <f t="shared" si="40"/>
        <v/>
      </c>
      <c r="J93" s="43" t="str">
        <f t="shared" si="40"/>
        <v/>
      </c>
      <c r="K93" s="43" t="str">
        <f t="shared" si="40"/>
        <v/>
      </c>
      <c r="L93" s="43" t="str">
        <f t="shared" si="40"/>
        <v/>
      </c>
      <c r="M93" s="43" t="str">
        <f t="shared" si="40"/>
        <v/>
      </c>
      <c r="N93" s="43" t="str">
        <f t="shared" si="40"/>
        <v/>
      </c>
      <c r="O93" s="43" t="str">
        <f t="shared" si="40"/>
        <v/>
      </c>
      <c r="P93" s="43" t="str">
        <f t="shared" si="40"/>
        <v/>
      </c>
      <c r="Q93" s="43" t="str">
        <f t="shared" si="40"/>
        <v/>
      </c>
      <c r="R93" s="43" t="str">
        <f t="shared" si="41"/>
        <v/>
      </c>
      <c r="S93" s="43" t="str">
        <f t="shared" si="41"/>
        <v/>
      </c>
      <c r="T93" s="43" t="str">
        <f t="shared" si="41"/>
        <v/>
      </c>
      <c r="U93" s="43" t="str">
        <f t="shared" si="41"/>
        <v/>
      </c>
      <c r="V93" s="43" t="str">
        <f t="shared" si="41"/>
        <v/>
      </c>
      <c r="W93" s="43" t="str">
        <f t="shared" si="41"/>
        <v/>
      </c>
      <c r="X93" s="43" t="str">
        <f t="shared" si="41"/>
        <v/>
      </c>
      <c r="Y93" s="43" t="str">
        <f t="shared" si="41"/>
        <v/>
      </c>
      <c r="Z93" s="43" t="str">
        <f t="shared" si="41"/>
        <v/>
      </c>
      <c r="AA93" s="43" t="str">
        <f t="shared" si="41"/>
        <v/>
      </c>
      <c r="AB93" s="43" t="str">
        <f t="shared" si="42"/>
        <v/>
      </c>
      <c r="AC93" s="43" t="str">
        <f t="shared" si="42"/>
        <v/>
      </c>
      <c r="AD93" s="43" t="str">
        <f t="shared" si="42"/>
        <v/>
      </c>
      <c r="AE93" s="43" t="str">
        <f t="shared" si="42"/>
        <v/>
      </c>
      <c r="AF93" s="43" t="str">
        <f t="shared" si="42"/>
        <v/>
      </c>
      <c r="AG93" s="43" t="str">
        <f t="shared" si="42"/>
        <v/>
      </c>
      <c r="AH93" s="43" t="str">
        <f t="shared" si="42"/>
        <v/>
      </c>
      <c r="AI93" s="43" t="str">
        <f t="shared" si="42"/>
        <v/>
      </c>
      <c r="AJ93" s="43" t="str">
        <f t="shared" si="42"/>
        <v/>
      </c>
      <c r="AK93" s="43" t="str">
        <f t="shared" si="42"/>
        <v/>
      </c>
      <c r="AL93" s="43" t="str">
        <f t="shared" si="43"/>
        <v/>
      </c>
      <c r="AM93" s="43" t="str">
        <f t="shared" si="43"/>
        <v/>
      </c>
      <c r="AN93" s="43" t="str">
        <f t="shared" si="43"/>
        <v/>
      </c>
      <c r="AO93" s="43" t="str">
        <f t="shared" si="43"/>
        <v/>
      </c>
      <c r="AP93" s="43" t="str">
        <f t="shared" si="43"/>
        <v/>
      </c>
      <c r="AQ93" s="43" t="str">
        <f t="shared" si="43"/>
        <v/>
      </c>
      <c r="AR93" s="43" t="str">
        <f t="shared" si="43"/>
        <v/>
      </c>
      <c r="AS93" s="43" t="str">
        <f t="shared" si="43"/>
        <v/>
      </c>
      <c r="AT93" s="43" t="str">
        <f t="shared" si="43"/>
        <v/>
      </c>
      <c r="AU93" s="43" t="str">
        <f t="shared" si="43"/>
        <v/>
      </c>
      <c r="AV93" s="43" t="str">
        <f t="shared" si="44"/>
        <v/>
      </c>
      <c r="AW93" s="43" t="str">
        <f t="shared" si="44"/>
        <v/>
      </c>
      <c r="AX93" s="43" t="str">
        <f t="shared" si="44"/>
        <v/>
      </c>
      <c r="AY93" s="43" t="str">
        <f t="shared" si="44"/>
        <v/>
      </c>
      <c r="AZ93" s="43" t="str">
        <f t="shared" si="44"/>
        <v/>
      </c>
      <c r="BA93" s="43" t="str">
        <f t="shared" si="44"/>
        <v/>
      </c>
      <c r="BB93" s="43"/>
      <c r="BC93" s="43"/>
      <c r="BD93" s="43"/>
      <c r="BE93" s="43"/>
      <c r="BF93" s="43"/>
      <c r="BG93" s="43"/>
      <c r="BW93" s="1250"/>
    </row>
    <row r="94" spans="1:75" x14ac:dyDescent="0.25">
      <c r="A94" s="1251"/>
      <c r="B94" s="462">
        <v>88</v>
      </c>
      <c r="C94" s="462"/>
      <c r="D94" s="1244"/>
      <c r="E94" s="1050"/>
      <c r="F94" s="1244"/>
      <c r="H94" s="43" t="str">
        <f t="shared" si="40"/>
        <v/>
      </c>
      <c r="I94" s="43" t="str">
        <f t="shared" si="40"/>
        <v/>
      </c>
      <c r="J94" s="43" t="str">
        <f t="shared" si="40"/>
        <v/>
      </c>
      <c r="K94" s="43" t="str">
        <f t="shared" si="40"/>
        <v/>
      </c>
      <c r="L94" s="43" t="str">
        <f t="shared" si="40"/>
        <v/>
      </c>
      <c r="M94" s="43" t="str">
        <f t="shared" si="40"/>
        <v/>
      </c>
      <c r="N94" s="43" t="str">
        <f t="shared" si="40"/>
        <v/>
      </c>
      <c r="O94" s="43" t="str">
        <f t="shared" si="40"/>
        <v/>
      </c>
      <c r="P94" s="43" t="str">
        <f t="shared" si="40"/>
        <v/>
      </c>
      <c r="Q94" s="43" t="str">
        <f t="shared" si="40"/>
        <v/>
      </c>
      <c r="R94" s="43" t="str">
        <f t="shared" si="41"/>
        <v/>
      </c>
      <c r="S94" s="43" t="str">
        <f t="shared" si="41"/>
        <v/>
      </c>
      <c r="T94" s="43" t="str">
        <f t="shared" si="41"/>
        <v/>
      </c>
      <c r="U94" s="43" t="str">
        <f t="shared" si="41"/>
        <v/>
      </c>
      <c r="V94" s="43" t="str">
        <f t="shared" si="41"/>
        <v/>
      </c>
      <c r="W94" s="43" t="str">
        <f t="shared" si="41"/>
        <v/>
      </c>
      <c r="X94" s="43" t="str">
        <f t="shared" si="41"/>
        <v/>
      </c>
      <c r="Y94" s="43" t="str">
        <f t="shared" si="41"/>
        <v/>
      </c>
      <c r="Z94" s="43" t="str">
        <f t="shared" si="41"/>
        <v/>
      </c>
      <c r="AA94" s="43" t="str">
        <f t="shared" si="41"/>
        <v/>
      </c>
      <c r="AB94" s="43" t="str">
        <f t="shared" si="42"/>
        <v/>
      </c>
      <c r="AC94" s="43" t="str">
        <f t="shared" si="42"/>
        <v/>
      </c>
      <c r="AD94" s="43" t="str">
        <f t="shared" si="42"/>
        <v/>
      </c>
      <c r="AE94" s="43" t="str">
        <f t="shared" si="42"/>
        <v/>
      </c>
      <c r="AF94" s="43" t="str">
        <f t="shared" si="42"/>
        <v/>
      </c>
      <c r="AG94" s="43" t="str">
        <f t="shared" si="42"/>
        <v/>
      </c>
      <c r="AH94" s="43" t="str">
        <f t="shared" si="42"/>
        <v/>
      </c>
      <c r="AI94" s="43" t="str">
        <f t="shared" si="42"/>
        <v/>
      </c>
      <c r="AJ94" s="43" t="str">
        <f t="shared" si="42"/>
        <v/>
      </c>
      <c r="AK94" s="43" t="str">
        <f t="shared" si="42"/>
        <v/>
      </c>
      <c r="AL94" s="43" t="str">
        <f t="shared" si="43"/>
        <v/>
      </c>
      <c r="AM94" s="43" t="str">
        <f t="shared" si="43"/>
        <v/>
      </c>
      <c r="AN94" s="43" t="str">
        <f t="shared" si="43"/>
        <v/>
      </c>
      <c r="AO94" s="43" t="str">
        <f t="shared" si="43"/>
        <v/>
      </c>
      <c r="AP94" s="43" t="str">
        <f t="shared" si="43"/>
        <v/>
      </c>
      <c r="AQ94" s="43" t="str">
        <f t="shared" si="43"/>
        <v/>
      </c>
      <c r="AR94" s="43" t="str">
        <f t="shared" si="43"/>
        <v/>
      </c>
      <c r="AS94" s="43" t="str">
        <f t="shared" si="43"/>
        <v/>
      </c>
      <c r="AT94" s="43" t="str">
        <f t="shared" si="43"/>
        <v/>
      </c>
      <c r="AU94" s="43" t="str">
        <f t="shared" si="43"/>
        <v/>
      </c>
      <c r="AV94" s="43" t="str">
        <f t="shared" si="44"/>
        <v/>
      </c>
      <c r="AW94" s="43" t="str">
        <f t="shared" si="44"/>
        <v/>
      </c>
      <c r="AX94" s="43" t="str">
        <f t="shared" si="44"/>
        <v/>
      </c>
      <c r="AY94" s="43" t="str">
        <f t="shared" si="44"/>
        <v/>
      </c>
      <c r="AZ94" s="43" t="str">
        <f t="shared" si="44"/>
        <v/>
      </c>
      <c r="BA94" s="43" t="str">
        <f t="shared" si="44"/>
        <v/>
      </c>
      <c r="BB94" s="43"/>
      <c r="BC94" s="43"/>
      <c r="BD94" s="43"/>
      <c r="BE94" s="43"/>
      <c r="BF94" s="43"/>
      <c r="BG94" s="43"/>
      <c r="BW94" s="1250"/>
    </row>
    <row r="95" spans="1:75" x14ac:dyDescent="0.25">
      <c r="A95" s="1251"/>
      <c r="B95" s="462">
        <v>89</v>
      </c>
      <c r="C95" s="462"/>
      <c r="D95" s="1244"/>
      <c r="E95" s="1050"/>
      <c r="F95" s="1244"/>
      <c r="H95" s="43" t="str">
        <f t="shared" si="40"/>
        <v/>
      </c>
      <c r="I95" s="43" t="str">
        <f t="shared" si="40"/>
        <v/>
      </c>
      <c r="J95" s="43" t="str">
        <f t="shared" si="40"/>
        <v/>
      </c>
      <c r="K95" s="43" t="str">
        <f t="shared" si="40"/>
        <v/>
      </c>
      <c r="L95" s="43" t="str">
        <f t="shared" si="40"/>
        <v/>
      </c>
      <c r="M95" s="43" t="str">
        <f t="shared" si="40"/>
        <v/>
      </c>
      <c r="N95" s="43" t="str">
        <f t="shared" si="40"/>
        <v/>
      </c>
      <c r="O95" s="43" t="str">
        <f t="shared" si="40"/>
        <v/>
      </c>
      <c r="P95" s="43" t="str">
        <f t="shared" si="40"/>
        <v/>
      </c>
      <c r="Q95" s="43" t="str">
        <f t="shared" si="40"/>
        <v/>
      </c>
      <c r="R95" s="43" t="str">
        <f t="shared" si="41"/>
        <v/>
      </c>
      <c r="S95" s="43" t="str">
        <f t="shared" si="41"/>
        <v/>
      </c>
      <c r="T95" s="43" t="str">
        <f t="shared" si="41"/>
        <v/>
      </c>
      <c r="U95" s="43" t="str">
        <f t="shared" si="41"/>
        <v/>
      </c>
      <c r="V95" s="43" t="str">
        <f t="shared" si="41"/>
        <v/>
      </c>
      <c r="W95" s="43" t="str">
        <f t="shared" si="41"/>
        <v/>
      </c>
      <c r="X95" s="43" t="str">
        <f t="shared" si="41"/>
        <v/>
      </c>
      <c r="Y95" s="43" t="str">
        <f t="shared" si="41"/>
        <v/>
      </c>
      <c r="Z95" s="43" t="str">
        <f t="shared" si="41"/>
        <v/>
      </c>
      <c r="AA95" s="43" t="str">
        <f t="shared" si="41"/>
        <v/>
      </c>
      <c r="AB95" s="43" t="str">
        <f t="shared" si="42"/>
        <v/>
      </c>
      <c r="AC95" s="43" t="str">
        <f t="shared" si="42"/>
        <v/>
      </c>
      <c r="AD95" s="43" t="str">
        <f t="shared" si="42"/>
        <v/>
      </c>
      <c r="AE95" s="43" t="str">
        <f t="shared" si="42"/>
        <v/>
      </c>
      <c r="AF95" s="43" t="str">
        <f t="shared" si="42"/>
        <v/>
      </c>
      <c r="AG95" s="43" t="str">
        <f t="shared" si="42"/>
        <v/>
      </c>
      <c r="AH95" s="43" t="str">
        <f t="shared" si="42"/>
        <v/>
      </c>
      <c r="AI95" s="43" t="str">
        <f t="shared" si="42"/>
        <v/>
      </c>
      <c r="AJ95" s="43" t="str">
        <f t="shared" si="42"/>
        <v/>
      </c>
      <c r="AK95" s="43" t="str">
        <f t="shared" si="42"/>
        <v/>
      </c>
      <c r="AL95" s="43" t="str">
        <f t="shared" si="43"/>
        <v/>
      </c>
      <c r="AM95" s="43" t="str">
        <f t="shared" si="43"/>
        <v/>
      </c>
      <c r="AN95" s="43" t="str">
        <f t="shared" si="43"/>
        <v/>
      </c>
      <c r="AO95" s="43" t="str">
        <f t="shared" si="43"/>
        <v/>
      </c>
      <c r="AP95" s="43" t="str">
        <f t="shared" si="43"/>
        <v/>
      </c>
      <c r="AQ95" s="43" t="str">
        <f t="shared" si="43"/>
        <v/>
      </c>
      <c r="AR95" s="43" t="str">
        <f t="shared" si="43"/>
        <v/>
      </c>
      <c r="AS95" s="43" t="str">
        <f t="shared" si="43"/>
        <v/>
      </c>
      <c r="AT95" s="43" t="str">
        <f t="shared" si="43"/>
        <v/>
      </c>
      <c r="AU95" s="43" t="str">
        <f t="shared" si="43"/>
        <v/>
      </c>
      <c r="AV95" s="43" t="str">
        <f t="shared" si="44"/>
        <v/>
      </c>
      <c r="AW95" s="43" t="str">
        <f t="shared" si="44"/>
        <v/>
      </c>
      <c r="AX95" s="43" t="str">
        <f t="shared" si="44"/>
        <v/>
      </c>
      <c r="AY95" s="43" t="str">
        <f t="shared" si="44"/>
        <v/>
      </c>
      <c r="AZ95" s="43" t="str">
        <f t="shared" si="44"/>
        <v/>
      </c>
      <c r="BA95" s="43" t="str">
        <f t="shared" si="44"/>
        <v/>
      </c>
      <c r="BB95" s="43"/>
      <c r="BC95" s="43"/>
      <c r="BD95" s="43"/>
      <c r="BE95" s="43"/>
      <c r="BF95" s="43"/>
      <c r="BG95" s="43"/>
      <c r="BW95" s="1250"/>
    </row>
    <row r="96" spans="1:75" x14ac:dyDescent="0.25">
      <c r="A96" s="1251"/>
      <c r="B96" s="462">
        <v>90</v>
      </c>
      <c r="C96" s="462"/>
      <c r="D96" s="1244"/>
      <c r="E96" s="1050"/>
      <c r="F96" s="1244"/>
      <c r="H96" s="43" t="str">
        <f t="shared" si="40"/>
        <v/>
      </c>
      <c r="I96" s="43" t="str">
        <f t="shared" si="40"/>
        <v/>
      </c>
      <c r="J96" s="43" t="str">
        <f t="shared" si="40"/>
        <v/>
      </c>
      <c r="K96" s="43" t="str">
        <f t="shared" si="40"/>
        <v/>
      </c>
      <c r="L96" s="43" t="str">
        <f t="shared" si="40"/>
        <v/>
      </c>
      <c r="M96" s="43" t="str">
        <f t="shared" si="40"/>
        <v/>
      </c>
      <c r="N96" s="43" t="str">
        <f t="shared" si="40"/>
        <v/>
      </c>
      <c r="O96" s="43" t="str">
        <f t="shared" si="40"/>
        <v/>
      </c>
      <c r="P96" s="43" t="str">
        <f t="shared" si="40"/>
        <v/>
      </c>
      <c r="Q96" s="43" t="str">
        <f t="shared" si="40"/>
        <v/>
      </c>
      <c r="R96" s="43" t="str">
        <f t="shared" si="41"/>
        <v/>
      </c>
      <c r="S96" s="43" t="str">
        <f t="shared" si="41"/>
        <v/>
      </c>
      <c r="T96" s="43" t="str">
        <f t="shared" si="41"/>
        <v/>
      </c>
      <c r="U96" s="43" t="str">
        <f t="shared" si="41"/>
        <v/>
      </c>
      <c r="V96" s="43" t="str">
        <f t="shared" si="41"/>
        <v/>
      </c>
      <c r="W96" s="43" t="str">
        <f t="shared" si="41"/>
        <v/>
      </c>
      <c r="X96" s="43" t="str">
        <f t="shared" si="41"/>
        <v/>
      </c>
      <c r="Y96" s="43" t="str">
        <f t="shared" si="41"/>
        <v/>
      </c>
      <c r="Z96" s="43" t="str">
        <f t="shared" si="41"/>
        <v/>
      </c>
      <c r="AA96" s="43" t="str">
        <f t="shared" si="41"/>
        <v/>
      </c>
      <c r="AB96" s="43" t="str">
        <f t="shared" si="42"/>
        <v/>
      </c>
      <c r="AC96" s="43" t="str">
        <f t="shared" si="42"/>
        <v/>
      </c>
      <c r="AD96" s="43" t="str">
        <f t="shared" si="42"/>
        <v/>
      </c>
      <c r="AE96" s="43" t="str">
        <f t="shared" si="42"/>
        <v/>
      </c>
      <c r="AF96" s="43" t="str">
        <f t="shared" si="42"/>
        <v/>
      </c>
      <c r="AG96" s="43" t="str">
        <f t="shared" si="42"/>
        <v/>
      </c>
      <c r="AH96" s="43" t="str">
        <f t="shared" si="42"/>
        <v/>
      </c>
      <c r="AI96" s="43" t="str">
        <f t="shared" si="42"/>
        <v/>
      </c>
      <c r="AJ96" s="43" t="str">
        <f t="shared" si="42"/>
        <v/>
      </c>
      <c r="AK96" s="43" t="str">
        <f t="shared" si="42"/>
        <v/>
      </c>
      <c r="AL96" s="43" t="str">
        <f t="shared" si="43"/>
        <v/>
      </c>
      <c r="AM96" s="43" t="str">
        <f t="shared" si="43"/>
        <v/>
      </c>
      <c r="AN96" s="43" t="str">
        <f t="shared" si="43"/>
        <v/>
      </c>
      <c r="AO96" s="43" t="str">
        <f t="shared" si="43"/>
        <v/>
      </c>
      <c r="AP96" s="43" t="str">
        <f t="shared" si="43"/>
        <v/>
      </c>
      <c r="AQ96" s="43" t="str">
        <f t="shared" si="43"/>
        <v/>
      </c>
      <c r="AR96" s="43" t="str">
        <f t="shared" si="43"/>
        <v/>
      </c>
      <c r="AS96" s="43" t="str">
        <f t="shared" si="43"/>
        <v/>
      </c>
      <c r="AT96" s="43" t="str">
        <f t="shared" si="43"/>
        <v/>
      </c>
      <c r="AU96" s="43" t="str">
        <f t="shared" si="43"/>
        <v/>
      </c>
      <c r="AV96" s="43" t="str">
        <f t="shared" si="44"/>
        <v/>
      </c>
      <c r="AW96" s="43" t="str">
        <f t="shared" si="44"/>
        <v/>
      </c>
      <c r="AX96" s="43" t="str">
        <f t="shared" si="44"/>
        <v/>
      </c>
      <c r="AY96" s="43" t="str">
        <f t="shared" si="44"/>
        <v/>
      </c>
      <c r="AZ96" s="43" t="str">
        <f t="shared" si="44"/>
        <v/>
      </c>
      <c r="BA96" s="43" t="str">
        <f t="shared" si="44"/>
        <v/>
      </c>
      <c r="BB96" s="43"/>
      <c r="BC96" s="43"/>
      <c r="BD96" s="43"/>
      <c r="BE96" s="43"/>
      <c r="BF96" s="43"/>
      <c r="BG96" s="43"/>
      <c r="BW96" s="1250"/>
    </row>
    <row r="97" spans="1:75" x14ac:dyDescent="0.25">
      <c r="A97" s="1251"/>
      <c r="B97" s="462">
        <v>91</v>
      </c>
      <c r="C97" s="462"/>
      <c r="D97" s="1244"/>
      <c r="E97" s="1050"/>
      <c r="F97" s="1244"/>
      <c r="H97" s="43" t="str">
        <f t="shared" ref="H97:Q106" si="45">IF($D97=H$6,$B97&amp;", ","")</f>
        <v/>
      </c>
      <c r="I97" s="43" t="str">
        <f t="shared" si="45"/>
        <v/>
      </c>
      <c r="J97" s="43" t="str">
        <f t="shared" si="45"/>
        <v/>
      </c>
      <c r="K97" s="43" t="str">
        <f t="shared" si="45"/>
        <v/>
      </c>
      <c r="L97" s="43" t="str">
        <f t="shared" si="45"/>
        <v/>
      </c>
      <c r="M97" s="43" t="str">
        <f t="shared" si="45"/>
        <v/>
      </c>
      <c r="N97" s="43" t="str">
        <f t="shared" si="45"/>
        <v/>
      </c>
      <c r="O97" s="43" t="str">
        <f t="shared" si="45"/>
        <v/>
      </c>
      <c r="P97" s="43" t="str">
        <f t="shared" si="45"/>
        <v/>
      </c>
      <c r="Q97" s="43" t="str">
        <f t="shared" si="45"/>
        <v/>
      </c>
      <c r="R97" s="43" t="str">
        <f t="shared" ref="R97:AA106" si="46">IF($D97=R$6,$B97&amp;", ","")</f>
        <v/>
      </c>
      <c r="S97" s="43" t="str">
        <f t="shared" si="46"/>
        <v/>
      </c>
      <c r="T97" s="43" t="str">
        <f t="shared" si="46"/>
        <v/>
      </c>
      <c r="U97" s="43" t="str">
        <f t="shared" si="46"/>
        <v/>
      </c>
      <c r="V97" s="43" t="str">
        <f t="shared" si="46"/>
        <v/>
      </c>
      <c r="W97" s="43" t="str">
        <f t="shared" si="46"/>
        <v/>
      </c>
      <c r="X97" s="43" t="str">
        <f t="shared" si="46"/>
        <v/>
      </c>
      <c r="Y97" s="43" t="str">
        <f t="shared" si="46"/>
        <v/>
      </c>
      <c r="Z97" s="43" t="str">
        <f t="shared" si="46"/>
        <v/>
      </c>
      <c r="AA97" s="43" t="str">
        <f t="shared" si="46"/>
        <v/>
      </c>
      <c r="AB97" s="43" t="str">
        <f t="shared" ref="AB97:AK106" si="47">IF($D97=AB$6,$B97&amp;", ","")</f>
        <v/>
      </c>
      <c r="AC97" s="43" t="str">
        <f t="shared" si="47"/>
        <v/>
      </c>
      <c r="AD97" s="43" t="str">
        <f t="shared" si="47"/>
        <v/>
      </c>
      <c r="AE97" s="43" t="str">
        <f t="shared" si="47"/>
        <v/>
      </c>
      <c r="AF97" s="43" t="str">
        <f t="shared" si="47"/>
        <v/>
      </c>
      <c r="AG97" s="43" t="str">
        <f t="shared" si="47"/>
        <v/>
      </c>
      <c r="AH97" s="43" t="str">
        <f t="shared" si="47"/>
        <v/>
      </c>
      <c r="AI97" s="43" t="str">
        <f t="shared" si="47"/>
        <v/>
      </c>
      <c r="AJ97" s="43" t="str">
        <f t="shared" si="47"/>
        <v/>
      </c>
      <c r="AK97" s="43" t="str">
        <f t="shared" si="47"/>
        <v/>
      </c>
      <c r="AL97" s="43" t="str">
        <f t="shared" ref="AL97:AU106" si="48">IF($D97=AL$6,$B97&amp;", ","")</f>
        <v/>
      </c>
      <c r="AM97" s="43" t="str">
        <f t="shared" si="48"/>
        <v/>
      </c>
      <c r="AN97" s="43" t="str">
        <f t="shared" si="48"/>
        <v/>
      </c>
      <c r="AO97" s="43" t="str">
        <f t="shared" si="48"/>
        <v/>
      </c>
      <c r="AP97" s="43" t="str">
        <f t="shared" si="48"/>
        <v/>
      </c>
      <c r="AQ97" s="43" t="str">
        <f t="shared" si="48"/>
        <v/>
      </c>
      <c r="AR97" s="43" t="str">
        <f t="shared" si="48"/>
        <v/>
      </c>
      <c r="AS97" s="43" t="str">
        <f t="shared" si="48"/>
        <v/>
      </c>
      <c r="AT97" s="43" t="str">
        <f t="shared" si="48"/>
        <v/>
      </c>
      <c r="AU97" s="43" t="str">
        <f t="shared" si="48"/>
        <v/>
      </c>
      <c r="AV97" s="43" t="str">
        <f t="shared" ref="AV97:BA106" si="49">IF($D97=AV$6,$B97&amp;", ","")</f>
        <v/>
      </c>
      <c r="AW97" s="43" t="str">
        <f t="shared" si="49"/>
        <v/>
      </c>
      <c r="AX97" s="43" t="str">
        <f t="shared" si="49"/>
        <v/>
      </c>
      <c r="AY97" s="43" t="str">
        <f t="shared" si="49"/>
        <v/>
      </c>
      <c r="AZ97" s="43" t="str">
        <f t="shared" si="49"/>
        <v/>
      </c>
      <c r="BA97" s="43" t="str">
        <f t="shared" si="49"/>
        <v/>
      </c>
      <c r="BB97" s="43"/>
      <c r="BC97" s="43"/>
      <c r="BD97" s="43"/>
      <c r="BE97" s="43"/>
      <c r="BF97" s="43"/>
      <c r="BG97" s="43"/>
      <c r="BW97" s="1250"/>
    </row>
    <row r="98" spans="1:75" x14ac:dyDescent="0.25">
      <c r="A98" s="1251"/>
      <c r="B98" s="462">
        <v>92</v>
      </c>
      <c r="C98" s="462"/>
      <c r="D98" s="1244"/>
      <c r="E98" s="1050"/>
      <c r="F98" s="1244"/>
      <c r="H98" s="43" t="str">
        <f t="shared" si="45"/>
        <v/>
      </c>
      <c r="I98" s="43" t="str">
        <f t="shared" si="45"/>
        <v/>
      </c>
      <c r="J98" s="43" t="str">
        <f t="shared" si="45"/>
        <v/>
      </c>
      <c r="K98" s="43" t="str">
        <f t="shared" si="45"/>
        <v/>
      </c>
      <c r="L98" s="43" t="str">
        <f t="shared" si="45"/>
        <v/>
      </c>
      <c r="M98" s="43" t="str">
        <f t="shared" si="45"/>
        <v/>
      </c>
      <c r="N98" s="43" t="str">
        <f t="shared" si="45"/>
        <v/>
      </c>
      <c r="O98" s="43" t="str">
        <f t="shared" si="45"/>
        <v/>
      </c>
      <c r="P98" s="43" t="str">
        <f t="shared" si="45"/>
        <v/>
      </c>
      <c r="Q98" s="43" t="str">
        <f t="shared" si="45"/>
        <v/>
      </c>
      <c r="R98" s="43" t="str">
        <f t="shared" si="46"/>
        <v/>
      </c>
      <c r="S98" s="43" t="str">
        <f t="shared" si="46"/>
        <v/>
      </c>
      <c r="T98" s="43" t="str">
        <f t="shared" si="46"/>
        <v/>
      </c>
      <c r="U98" s="43" t="str">
        <f t="shared" si="46"/>
        <v/>
      </c>
      <c r="V98" s="43" t="str">
        <f t="shared" si="46"/>
        <v/>
      </c>
      <c r="W98" s="43" t="str">
        <f t="shared" si="46"/>
        <v/>
      </c>
      <c r="X98" s="43" t="str">
        <f t="shared" si="46"/>
        <v/>
      </c>
      <c r="Y98" s="43" t="str">
        <f t="shared" si="46"/>
        <v/>
      </c>
      <c r="Z98" s="43" t="str">
        <f t="shared" si="46"/>
        <v/>
      </c>
      <c r="AA98" s="43" t="str">
        <f t="shared" si="46"/>
        <v/>
      </c>
      <c r="AB98" s="43" t="str">
        <f t="shared" si="47"/>
        <v/>
      </c>
      <c r="AC98" s="43" t="str">
        <f t="shared" si="47"/>
        <v/>
      </c>
      <c r="AD98" s="43" t="str">
        <f t="shared" si="47"/>
        <v/>
      </c>
      <c r="AE98" s="43" t="str">
        <f t="shared" si="47"/>
        <v/>
      </c>
      <c r="AF98" s="43" t="str">
        <f t="shared" si="47"/>
        <v/>
      </c>
      <c r="AG98" s="43" t="str">
        <f t="shared" si="47"/>
        <v/>
      </c>
      <c r="AH98" s="43" t="str">
        <f t="shared" si="47"/>
        <v/>
      </c>
      <c r="AI98" s="43" t="str">
        <f t="shared" si="47"/>
        <v/>
      </c>
      <c r="AJ98" s="43" t="str">
        <f t="shared" si="47"/>
        <v/>
      </c>
      <c r="AK98" s="43" t="str">
        <f t="shared" si="47"/>
        <v/>
      </c>
      <c r="AL98" s="43" t="str">
        <f t="shared" si="48"/>
        <v/>
      </c>
      <c r="AM98" s="43" t="str">
        <f t="shared" si="48"/>
        <v/>
      </c>
      <c r="AN98" s="43" t="str">
        <f t="shared" si="48"/>
        <v/>
      </c>
      <c r="AO98" s="43" t="str">
        <f t="shared" si="48"/>
        <v/>
      </c>
      <c r="AP98" s="43" t="str">
        <f t="shared" si="48"/>
        <v/>
      </c>
      <c r="AQ98" s="43" t="str">
        <f t="shared" si="48"/>
        <v/>
      </c>
      <c r="AR98" s="43" t="str">
        <f t="shared" si="48"/>
        <v/>
      </c>
      <c r="AS98" s="43" t="str">
        <f t="shared" si="48"/>
        <v/>
      </c>
      <c r="AT98" s="43" t="str">
        <f t="shared" si="48"/>
        <v/>
      </c>
      <c r="AU98" s="43" t="str">
        <f t="shared" si="48"/>
        <v/>
      </c>
      <c r="AV98" s="43" t="str">
        <f t="shared" si="49"/>
        <v/>
      </c>
      <c r="AW98" s="43" t="str">
        <f t="shared" si="49"/>
        <v/>
      </c>
      <c r="AX98" s="43" t="str">
        <f t="shared" si="49"/>
        <v/>
      </c>
      <c r="AY98" s="43" t="str">
        <f t="shared" si="49"/>
        <v/>
      </c>
      <c r="AZ98" s="43" t="str">
        <f t="shared" si="49"/>
        <v/>
      </c>
      <c r="BA98" s="43" t="str">
        <f t="shared" si="49"/>
        <v/>
      </c>
      <c r="BB98" s="43"/>
      <c r="BC98" s="43"/>
      <c r="BD98" s="43"/>
      <c r="BE98" s="43"/>
      <c r="BF98" s="43"/>
      <c r="BG98" s="43"/>
      <c r="BW98" s="1250"/>
    </row>
    <row r="99" spans="1:75" x14ac:dyDescent="0.25">
      <c r="A99" s="1251"/>
      <c r="B99" s="462">
        <v>93</v>
      </c>
      <c r="C99" s="462"/>
      <c r="D99" s="1244"/>
      <c r="E99" s="1050"/>
      <c r="F99" s="1244"/>
      <c r="H99" s="43" t="str">
        <f t="shared" si="45"/>
        <v/>
      </c>
      <c r="I99" s="43" t="str">
        <f t="shared" si="45"/>
        <v/>
      </c>
      <c r="J99" s="43" t="str">
        <f t="shared" si="45"/>
        <v/>
      </c>
      <c r="K99" s="43" t="str">
        <f t="shared" si="45"/>
        <v/>
      </c>
      <c r="L99" s="43" t="str">
        <f t="shared" si="45"/>
        <v/>
      </c>
      <c r="M99" s="43" t="str">
        <f t="shared" si="45"/>
        <v/>
      </c>
      <c r="N99" s="43" t="str">
        <f t="shared" si="45"/>
        <v/>
      </c>
      <c r="O99" s="43" t="str">
        <f t="shared" si="45"/>
        <v/>
      </c>
      <c r="P99" s="43" t="str">
        <f t="shared" si="45"/>
        <v/>
      </c>
      <c r="Q99" s="43" t="str">
        <f t="shared" si="45"/>
        <v/>
      </c>
      <c r="R99" s="43" t="str">
        <f t="shared" si="46"/>
        <v/>
      </c>
      <c r="S99" s="43" t="str">
        <f t="shared" si="46"/>
        <v/>
      </c>
      <c r="T99" s="43" t="str">
        <f t="shared" si="46"/>
        <v/>
      </c>
      <c r="U99" s="43" t="str">
        <f t="shared" si="46"/>
        <v/>
      </c>
      <c r="V99" s="43" t="str">
        <f t="shared" si="46"/>
        <v/>
      </c>
      <c r="W99" s="43" t="str">
        <f t="shared" si="46"/>
        <v/>
      </c>
      <c r="X99" s="43" t="str">
        <f t="shared" si="46"/>
        <v/>
      </c>
      <c r="Y99" s="43" t="str">
        <f t="shared" si="46"/>
        <v/>
      </c>
      <c r="Z99" s="43" t="str">
        <f t="shared" si="46"/>
        <v/>
      </c>
      <c r="AA99" s="43" t="str">
        <f t="shared" si="46"/>
        <v/>
      </c>
      <c r="AB99" s="43" t="str">
        <f t="shared" si="47"/>
        <v/>
      </c>
      <c r="AC99" s="43" t="str">
        <f t="shared" si="47"/>
        <v/>
      </c>
      <c r="AD99" s="43" t="str">
        <f t="shared" si="47"/>
        <v/>
      </c>
      <c r="AE99" s="43" t="str">
        <f t="shared" si="47"/>
        <v/>
      </c>
      <c r="AF99" s="43" t="str">
        <f t="shared" si="47"/>
        <v/>
      </c>
      <c r="AG99" s="43" t="str">
        <f t="shared" si="47"/>
        <v/>
      </c>
      <c r="AH99" s="43" t="str">
        <f t="shared" si="47"/>
        <v/>
      </c>
      <c r="AI99" s="43" t="str">
        <f t="shared" si="47"/>
        <v/>
      </c>
      <c r="AJ99" s="43" t="str">
        <f t="shared" si="47"/>
        <v/>
      </c>
      <c r="AK99" s="43" t="str">
        <f t="shared" si="47"/>
        <v/>
      </c>
      <c r="AL99" s="43" t="str">
        <f t="shared" si="48"/>
        <v/>
      </c>
      <c r="AM99" s="43" t="str">
        <f t="shared" si="48"/>
        <v/>
      </c>
      <c r="AN99" s="43" t="str">
        <f t="shared" si="48"/>
        <v/>
      </c>
      <c r="AO99" s="43" t="str">
        <f t="shared" si="48"/>
        <v/>
      </c>
      <c r="AP99" s="43" t="str">
        <f t="shared" si="48"/>
        <v/>
      </c>
      <c r="AQ99" s="43" t="str">
        <f t="shared" si="48"/>
        <v/>
      </c>
      <c r="AR99" s="43" t="str">
        <f t="shared" si="48"/>
        <v/>
      </c>
      <c r="AS99" s="43" t="str">
        <f t="shared" si="48"/>
        <v/>
      </c>
      <c r="AT99" s="43" t="str">
        <f t="shared" si="48"/>
        <v/>
      </c>
      <c r="AU99" s="43" t="str">
        <f t="shared" si="48"/>
        <v/>
      </c>
      <c r="AV99" s="43" t="str">
        <f t="shared" si="49"/>
        <v/>
      </c>
      <c r="AW99" s="43" t="str">
        <f t="shared" si="49"/>
        <v/>
      </c>
      <c r="AX99" s="43" t="str">
        <f t="shared" si="49"/>
        <v/>
      </c>
      <c r="AY99" s="43" t="str">
        <f t="shared" si="49"/>
        <v/>
      </c>
      <c r="AZ99" s="43" t="str">
        <f t="shared" si="49"/>
        <v/>
      </c>
      <c r="BA99" s="43" t="str">
        <f t="shared" si="49"/>
        <v/>
      </c>
      <c r="BB99" s="43"/>
      <c r="BC99" s="43"/>
      <c r="BD99" s="43"/>
      <c r="BE99" s="43"/>
      <c r="BF99" s="43"/>
      <c r="BG99" s="43"/>
      <c r="BW99" s="1250"/>
    </row>
    <row r="100" spans="1:75" x14ac:dyDescent="0.25">
      <c r="A100" s="1251"/>
      <c r="B100" s="462">
        <v>94</v>
      </c>
      <c r="C100" s="462"/>
      <c r="D100" s="1244"/>
      <c r="E100" s="1050"/>
      <c r="F100" s="1244"/>
      <c r="H100" s="43" t="str">
        <f t="shared" si="45"/>
        <v/>
      </c>
      <c r="I100" s="43" t="str">
        <f t="shared" si="45"/>
        <v/>
      </c>
      <c r="J100" s="43" t="str">
        <f t="shared" si="45"/>
        <v/>
      </c>
      <c r="K100" s="43" t="str">
        <f t="shared" si="45"/>
        <v/>
      </c>
      <c r="L100" s="43" t="str">
        <f t="shared" si="45"/>
        <v/>
      </c>
      <c r="M100" s="43" t="str">
        <f t="shared" si="45"/>
        <v/>
      </c>
      <c r="N100" s="43" t="str">
        <f t="shared" si="45"/>
        <v/>
      </c>
      <c r="O100" s="43" t="str">
        <f t="shared" si="45"/>
        <v/>
      </c>
      <c r="P100" s="43" t="str">
        <f t="shared" si="45"/>
        <v/>
      </c>
      <c r="Q100" s="43" t="str">
        <f t="shared" si="45"/>
        <v/>
      </c>
      <c r="R100" s="43" t="str">
        <f t="shared" si="46"/>
        <v/>
      </c>
      <c r="S100" s="43" t="str">
        <f t="shared" si="46"/>
        <v/>
      </c>
      <c r="T100" s="43" t="str">
        <f t="shared" si="46"/>
        <v/>
      </c>
      <c r="U100" s="43" t="str">
        <f t="shared" si="46"/>
        <v/>
      </c>
      <c r="V100" s="43" t="str">
        <f t="shared" si="46"/>
        <v/>
      </c>
      <c r="W100" s="43" t="str">
        <f t="shared" si="46"/>
        <v/>
      </c>
      <c r="X100" s="43" t="str">
        <f t="shared" si="46"/>
        <v/>
      </c>
      <c r="Y100" s="43" t="str">
        <f t="shared" si="46"/>
        <v/>
      </c>
      <c r="Z100" s="43" t="str">
        <f t="shared" si="46"/>
        <v/>
      </c>
      <c r="AA100" s="43" t="str">
        <f t="shared" si="46"/>
        <v/>
      </c>
      <c r="AB100" s="43" t="str">
        <f t="shared" si="47"/>
        <v/>
      </c>
      <c r="AC100" s="43" t="str">
        <f t="shared" si="47"/>
        <v/>
      </c>
      <c r="AD100" s="43" t="str">
        <f t="shared" si="47"/>
        <v/>
      </c>
      <c r="AE100" s="43" t="str">
        <f t="shared" si="47"/>
        <v/>
      </c>
      <c r="AF100" s="43" t="str">
        <f t="shared" si="47"/>
        <v/>
      </c>
      <c r="AG100" s="43" t="str">
        <f t="shared" si="47"/>
        <v/>
      </c>
      <c r="AH100" s="43" t="str">
        <f t="shared" si="47"/>
        <v/>
      </c>
      <c r="AI100" s="43" t="str">
        <f t="shared" si="47"/>
        <v/>
      </c>
      <c r="AJ100" s="43" t="str">
        <f t="shared" si="47"/>
        <v/>
      </c>
      <c r="AK100" s="43" t="str">
        <f t="shared" si="47"/>
        <v/>
      </c>
      <c r="AL100" s="43" t="str">
        <f t="shared" si="48"/>
        <v/>
      </c>
      <c r="AM100" s="43" t="str">
        <f t="shared" si="48"/>
        <v/>
      </c>
      <c r="AN100" s="43" t="str">
        <f t="shared" si="48"/>
        <v/>
      </c>
      <c r="AO100" s="43" t="str">
        <f t="shared" si="48"/>
        <v/>
      </c>
      <c r="AP100" s="43" t="str">
        <f t="shared" si="48"/>
        <v/>
      </c>
      <c r="AQ100" s="43" t="str">
        <f t="shared" si="48"/>
        <v/>
      </c>
      <c r="AR100" s="43" t="str">
        <f t="shared" si="48"/>
        <v/>
      </c>
      <c r="AS100" s="43" t="str">
        <f t="shared" si="48"/>
        <v/>
      </c>
      <c r="AT100" s="43" t="str">
        <f t="shared" si="48"/>
        <v/>
      </c>
      <c r="AU100" s="43" t="str">
        <f t="shared" si="48"/>
        <v/>
      </c>
      <c r="AV100" s="43" t="str">
        <f t="shared" si="49"/>
        <v/>
      </c>
      <c r="AW100" s="43" t="str">
        <f t="shared" si="49"/>
        <v/>
      </c>
      <c r="AX100" s="43" t="str">
        <f t="shared" si="49"/>
        <v/>
      </c>
      <c r="AY100" s="43" t="str">
        <f t="shared" si="49"/>
        <v/>
      </c>
      <c r="AZ100" s="43" t="str">
        <f t="shared" si="49"/>
        <v/>
      </c>
      <c r="BA100" s="43" t="str">
        <f t="shared" si="49"/>
        <v/>
      </c>
      <c r="BB100" s="43"/>
      <c r="BC100" s="43"/>
      <c r="BD100" s="43"/>
      <c r="BE100" s="43"/>
      <c r="BF100" s="43"/>
      <c r="BG100" s="43"/>
      <c r="BW100" s="1250"/>
    </row>
    <row r="101" spans="1:75" x14ac:dyDescent="0.25">
      <c r="A101" s="1251"/>
      <c r="B101" s="462">
        <v>95</v>
      </c>
      <c r="C101" s="462"/>
      <c r="D101" s="1244"/>
      <c r="E101" s="1050"/>
      <c r="F101" s="1244"/>
      <c r="H101" s="43" t="str">
        <f t="shared" si="45"/>
        <v/>
      </c>
      <c r="I101" s="43" t="str">
        <f t="shared" si="45"/>
        <v/>
      </c>
      <c r="J101" s="43" t="str">
        <f t="shared" si="45"/>
        <v/>
      </c>
      <c r="K101" s="43" t="str">
        <f t="shared" si="45"/>
        <v/>
      </c>
      <c r="L101" s="43" t="str">
        <f t="shared" si="45"/>
        <v/>
      </c>
      <c r="M101" s="43" t="str">
        <f t="shared" si="45"/>
        <v/>
      </c>
      <c r="N101" s="43" t="str">
        <f t="shared" si="45"/>
        <v/>
      </c>
      <c r="O101" s="43" t="str">
        <f t="shared" si="45"/>
        <v/>
      </c>
      <c r="P101" s="43" t="str">
        <f t="shared" si="45"/>
        <v/>
      </c>
      <c r="Q101" s="43" t="str">
        <f t="shared" si="45"/>
        <v/>
      </c>
      <c r="R101" s="43" t="str">
        <f t="shared" si="46"/>
        <v/>
      </c>
      <c r="S101" s="43" t="str">
        <f t="shared" si="46"/>
        <v/>
      </c>
      <c r="T101" s="43" t="str">
        <f t="shared" si="46"/>
        <v/>
      </c>
      <c r="U101" s="43" t="str">
        <f t="shared" si="46"/>
        <v/>
      </c>
      <c r="V101" s="43" t="str">
        <f t="shared" si="46"/>
        <v/>
      </c>
      <c r="W101" s="43" t="str">
        <f t="shared" si="46"/>
        <v/>
      </c>
      <c r="X101" s="43" t="str">
        <f t="shared" si="46"/>
        <v/>
      </c>
      <c r="Y101" s="43" t="str">
        <f t="shared" si="46"/>
        <v/>
      </c>
      <c r="Z101" s="43" t="str">
        <f t="shared" si="46"/>
        <v/>
      </c>
      <c r="AA101" s="43" t="str">
        <f t="shared" si="46"/>
        <v/>
      </c>
      <c r="AB101" s="43" t="str">
        <f t="shared" si="47"/>
        <v/>
      </c>
      <c r="AC101" s="43" t="str">
        <f t="shared" si="47"/>
        <v/>
      </c>
      <c r="AD101" s="43" t="str">
        <f t="shared" si="47"/>
        <v/>
      </c>
      <c r="AE101" s="43" t="str">
        <f t="shared" si="47"/>
        <v/>
      </c>
      <c r="AF101" s="43" t="str">
        <f t="shared" si="47"/>
        <v/>
      </c>
      <c r="AG101" s="43" t="str">
        <f t="shared" si="47"/>
        <v/>
      </c>
      <c r="AH101" s="43" t="str">
        <f t="shared" si="47"/>
        <v/>
      </c>
      <c r="AI101" s="43" t="str">
        <f t="shared" si="47"/>
        <v/>
      </c>
      <c r="AJ101" s="43" t="str">
        <f t="shared" si="47"/>
        <v/>
      </c>
      <c r="AK101" s="43" t="str">
        <f t="shared" si="47"/>
        <v/>
      </c>
      <c r="AL101" s="43" t="str">
        <f t="shared" si="48"/>
        <v/>
      </c>
      <c r="AM101" s="43" t="str">
        <f t="shared" si="48"/>
        <v/>
      </c>
      <c r="AN101" s="43" t="str">
        <f t="shared" si="48"/>
        <v/>
      </c>
      <c r="AO101" s="43" t="str">
        <f t="shared" si="48"/>
        <v/>
      </c>
      <c r="AP101" s="43" t="str">
        <f t="shared" si="48"/>
        <v/>
      </c>
      <c r="AQ101" s="43" t="str">
        <f t="shared" si="48"/>
        <v/>
      </c>
      <c r="AR101" s="43" t="str">
        <f t="shared" si="48"/>
        <v/>
      </c>
      <c r="AS101" s="43" t="str">
        <f t="shared" si="48"/>
        <v/>
      </c>
      <c r="AT101" s="43" t="str">
        <f t="shared" si="48"/>
        <v/>
      </c>
      <c r="AU101" s="43" t="str">
        <f t="shared" si="48"/>
        <v/>
      </c>
      <c r="AV101" s="43" t="str">
        <f t="shared" si="49"/>
        <v/>
      </c>
      <c r="AW101" s="43" t="str">
        <f t="shared" si="49"/>
        <v/>
      </c>
      <c r="AX101" s="43" t="str">
        <f t="shared" si="49"/>
        <v/>
      </c>
      <c r="AY101" s="43" t="str">
        <f t="shared" si="49"/>
        <v/>
      </c>
      <c r="AZ101" s="43" t="str">
        <f t="shared" si="49"/>
        <v/>
      </c>
      <c r="BA101" s="43" t="str">
        <f t="shared" si="49"/>
        <v/>
      </c>
      <c r="BB101" s="43"/>
      <c r="BC101" s="43"/>
      <c r="BD101" s="43"/>
      <c r="BE101" s="43"/>
      <c r="BF101" s="43"/>
      <c r="BG101" s="43"/>
      <c r="BW101" s="1250"/>
    </row>
    <row r="102" spans="1:75" x14ac:dyDescent="0.25">
      <c r="A102" s="1251"/>
      <c r="B102" s="462">
        <v>96</v>
      </c>
      <c r="C102" s="462"/>
      <c r="D102" s="1244"/>
      <c r="E102" s="1050"/>
      <c r="F102" s="1244"/>
      <c r="H102" s="43" t="str">
        <f t="shared" si="45"/>
        <v/>
      </c>
      <c r="I102" s="43" t="str">
        <f t="shared" si="45"/>
        <v/>
      </c>
      <c r="J102" s="43" t="str">
        <f t="shared" si="45"/>
        <v/>
      </c>
      <c r="K102" s="43" t="str">
        <f t="shared" si="45"/>
        <v/>
      </c>
      <c r="L102" s="43" t="str">
        <f t="shared" si="45"/>
        <v/>
      </c>
      <c r="M102" s="43" t="str">
        <f t="shared" si="45"/>
        <v/>
      </c>
      <c r="N102" s="43" t="str">
        <f t="shared" si="45"/>
        <v/>
      </c>
      <c r="O102" s="43" t="str">
        <f t="shared" si="45"/>
        <v/>
      </c>
      <c r="P102" s="43" t="str">
        <f t="shared" si="45"/>
        <v/>
      </c>
      <c r="Q102" s="43" t="str">
        <f t="shared" si="45"/>
        <v/>
      </c>
      <c r="R102" s="43" t="str">
        <f t="shared" si="46"/>
        <v/>
      </c>
      <c r="S102" s="43" t="str">
        <f t="shared" si="46"/>
        <v/>
      </c>
      <c r="T102" s="43" t="str">
        <f t="shared" si="46"/>
        <v/>
      </c>
      <c r="U102" s="43" t="str">
        <f t="shared" si="46"/>
        <v/>
      </c>
      <c r="V102" s="43" t="str">
        <f t="shared" si="46"/>
        <v/>
      </c>
      <c r="W102" s="43" t="str">
        <f t="shared" si="46"/>
        <v/>
      </c>
      <c r="X102" s="43" t="str">
        <f t="shared" si="46"/>
        <v/>
      </c>
      <c r="Y102" s="43" t="str">
        <f t="shared" si="46"/>
        <v/>
      </c>
      <c r="Z102" s="43" t="str">
        <f t="shared" si="46"/>
        <v/>
      </c>
      <c r="AA102" s="43" t="str">
        <f t="shared" si="46"/>
        <v/>
      </c>
      <c r="AB102" s="43" t="str">
        <f t="shared" si="47"/>
        <v/>
      </c>
      <c r="AC102" s="43" t="str">
        <f t="shared" si="47"/>
        <v/>
      </c>
      <c r="AD102" s="43" t="str">
        <f t="shared" si="47"/>
        <v/>
      </c>
      <c r="AE102" s="43" t="str">
        <f t="shared" si="47"/>
        <v/>
      </c>
      <c r="AF102" s="43" t="str">
        <f t="shared" si="47"/>
        <v/>
      </c>
      <c r="AG102" s="43" t="str">
        <f t="shared" si="47"/>
        <v/>
      </c>
      <c r="AH102" s="43" t="str">
        <f t="shared" si="47"/>
        <v/>
      </c>
      <c r="AI102" s="43" t="str">
        <f t="shared" si="47"/>
        <v/>
      </c>
      <c r="AJ102" s="43" t="str">
        <f t="shared" si="47"/>
        <v/>
      </c>
      <c r="AK102" s="43" t="str">
        <f t="shared" si="47"/>
        <v/>
      </c>
      <c r="AL102" s="43" t="str">
        <f t="shared" si="48"/>
        <v/>
      </c>
      <c r="AM102" s="43" t="str">
        <f t="shared" si="48"/>
        <v/>
      </c>
      <c r="AN102" s="43" t="str">
        <f t="shared" si="48"/>
        <v/>
      </c>
      <c r="AO102" s="43" t="str">
        <f t="shared" si="48"/>
        <v/>
      </c>
      <c r="AP102" s="43" t="str">
        <f t="shared" si="48"/>
        <v/>
      </c>
      <c r="AQ102" s="43" t="str">
        <f t="shared" si="48"/>
        <v/>
      </c>
      <c r="AR102" s="43" t="str">
        <f t="shared" si="48"/>
        <v/>
      </c>
      <c r="AS102" s="43" t="str">
        <f t="shared" si="48"/>
        <v/>
      </c>
      <c r="AT102" s="43" t="str">
        <f t="shared" si="48"/>
        <v/>
      </c>
      <c r="AU102" s="43" t="str">
        <f t="shared" si="48"/>
        <v/>
      </c>
      <c r="AV102" s="43" t="str">
        <f t="shared" si="49"/>
        <v/>
      </c>
      <c r="AW102" s="43" t="str">
        <f t="shared" si="49"/>
        <v/>
      </c>
      <c r="AX102" s="43" t="str">
        <f t="shared" si="49"/>
        <v/>
      </c>
      <c r="AY102" s="43" t="str">
        <f t="shared" si="49"/>
        <v/>
      </c>
      <c r="AZ102" s="43" t="str">
        <f t="shared" si="49"/>
        <v/>
      </c>
      <c r="BA102" s="43" t="str">
        <f t="shared" si="49"/>
        <v/>
      </c>
      <c r="BB102" s="43"/>
      <c r="BC102" s="43"/>
      <c r="BD102" s="43"/>
      <c r="BE102" s="43"/>
      <c r="BF102" s="43"/>
      <c r="BG102" s="43"/>
      <c r="BW102" s="1250"/>
    </row>
    <row r="103" spans="1:75" x14ac:dyDescent="0.25">
      <c r="A103" s="1251"/>
      <c r="B103" s="462">
        <v>97</v>
      </c>
      <c r="C103" s="462"/>
      <c r="D103" s="1244"/>
      <c r="E103" s="1050"/>
      <c r="F103" s="1244"/>
      <c r="H103" s="43" t="str">
        <f t="shared" si="45"/>
        <v/>
      </c>
      <c r="I103" s="43" t="str">
        <f t="shared" si="45"/>
        <v/>
      </c>
      <c r="J103" s="43" t="str">
        <f t="shared" si="45"/>
        <v/>
      </c>
      <c r="K103" s="43" t="str">
        <f t="shared" si="45"/>
        <v/>
      </c>
      <c r="L103" s="43" t="str">
        <f t="shared" si="45"/>
        <v/>
      </c>
      <c r="M103" s="43" t="str">
        <f t="shared" si="45"/>
        <v/>
      </c>
      <c r="N103" s="43" t="str">
        <f t="shared" si="45"/>
        <v/>
      </c>
      <c r="O103" s="43" t="str">
        <f t="shared" si="45"/>
        <v/>
      </c>
      <c r="P103" s="43" t="str">
        <f t="shared" si="45"/>
        <v/>
      </c>
      <c r="Q103" s="43" t="str">
        <f t="shared" si="45"/>
        <v/>
      </c>
      <c r="R103" s="43" t="str">
        <f t="shared" si="46"/>
        <v/>
      </c>
      <c r="S103" s="43" t="str">
        <f t="shared" si="46"/>
        <v/>
      </c>
      <c r="T103" s="43" t="str">
        <f t="shared" si="46"/>
        <v/>
      </c>
      <c r="U103" s="43" t="str">
        <f t="shared" si="46"/>
        <v/>
      </c>
      <c r="V103" s="43" t="str">
        <f t="shared" si="46"/>
        <v/>
      </c>
      <c r="W103" s="43" t="str">
        <f t="shared" si="46"/>
        <v/>
      </c>
      <c r="X103" s="43" t="str">
        <f t="shared" si="46"/>
        <v/>
      </c>
      <c r="Y103" s="43" t="str">
        <f t="shared" si="46"/>
        <v/>
      </c>
      <c r="Z103" s="43" t="str">
        <f t="shared" si="46"/>
        <v/>
      </c>
      <c r="AA103" s="43" t="str">
        <f t="shared" si="46"/>
        <v/>
      </c>
      <c r="AB103" s="43" t="str">
        <f t="shared" si="47"/>
        <v/>
      </c>
      <c r="AC103" s="43" t="str">
        <f t="shared" si="47"/>
        <v/>
      </c>
      <c r="AD103" s="43" t="str">
        <f t="shared" si="47"/>
        <v/>
      </c>
      <c r="AE103" s="43" t="str">
        <f t="shared" si="47"/>
        <v/>
      </c>
      <c r="AF103" s="43" t="str">
        <f t="shared" si="47"/>
        <v/>
      </c>
      <c r="AG103" s="43" t="str">
        <f t="shared" si="47"/>
        <v/>
      </c>
      <c r="AH103" s="43" t="str">
        <f t="shared" si="47"/>
        <v/>
      </c>
      <c r="AI103" s="43" t="str">
        <f t="shared" si="47"/>
        <v/>
      </c>
      <c r="AJ103" s="43" t="str">
        <f t="shared" si="47"/>
        <v/>
      </c>
      <c r="AK103" s="43" t="str">
        <f t="shared" si="47"/>
        <v/>
      </c>
      <c r="AL103" s="43" t="str">
        <f t="shared" si="48"/>
        <v/>
      </c>
      <c r="AM103" s="43" t="str">
        <f t="shared" si="48"/>
        <v/>
      </c>
      <c r="AN103" s="43" t="str">
        <f t="shared" si="48"/>
        <v/>
      </c>
      <c r="AO103" s="43" t="str">
        <f t="shared" si="48"/>
        <v/>
      </c>
      <c r="AP103" s="43" t="str">
        <f t="shared" si="48"/>
        <v/>
      </c>
      <c r="AQ103" s="43" t="str">
        <f t="shared" si="48"/>
        <v/>
      </c>
      <c r="AR103" s="43" t="str">
        <f t="shared" si="48"/>
        <v/>
      </c>
      <c r="AS103" s="43" t="str">
        <f t="shared" si="48"/>
        <v/>
      </c>
      <c r="AT103" s="43" t="str">
        <f t="shared" si="48"/>
        <v/>
      </c>
      <c r="AU103" s="43" t="str">
        <f t="shared" si="48"/>
        <v/>
      </c>
      <c r="AV103" s="43" t="str">
        <f t="shared" si="49"/>
        <v/>
      </c>
      <c r="AW103" s="43" t="str">
        <f t="shared" si="49"/>
        <v/>
      </c>
      <c r="AX103" s="43" t="str">
        <f t="shared" si="49"/>
        <v/>
      </c>
      <c r="AY103" s="43" t="str">
        <f t="shared" si="49"/>
        <v/>
      </c>
      <c r="AZ103" s="43" t="str">
        <f t="shared" si="49"/>
        <v/>
      </c>
      <c r="BA103" s="43" t="str">
        <f t="shared" si="49"/>
        <v/>
      </c>
      <c r="BB103" s="43"/>
      <c r="BC103" s="43"/>
      <c r="BD103" s="43"/>
      <c r="BE103" s="43"/>
      <c r="BF103" s="43"/>
      <c r="BG103" s="43"/>
      <c r="BW103" s="1250"/>
    </row>
    <row r="104" spans="1:75" x14ac:dyDescent="0.25">
      <c r="A104" s="1251"/>
      <c r="B104" s="462">
        <v>98</v>
      </c>
      <c r="C104" s="462"/>
      <c r="D104" s="1244"/>
      <c r="E104" s="1050"/>
      <c r="F104" s="1244"/>
      <c r="H104" s="43" t="str">
        <f t="shared" si="45"/>
        <v/>
      </c>
      <c r="I104" s="43" t="str">
        <f t="shared" si="45"/>
        <v/>
      </c>
      <c r="J104" s="43" t="str">
        <f t="shared" si="45"/>
        <v/>
      </c>
      <c r="K104" s="43" t="str">
        <f t="shared" si="45"/>
        <v/>
      </c>
      <c r="L104" s="43" t="str">
        <f t="shared" si="45"/>
        <v/>
      </c>
      <c r="M104" s="43" t="str">
        <f t="shared" si="45"/>
        <v/>
      </c>
      <c r="N104" s="43" t="str">
        <f t="shared" si="45"/>
        <v/>
      </c>
      <c r="O104" s="43" t="str">
        <f t="shared" si="45"/>
        <v/>
      </c>
      <c r="P104" s="43" t="str">
        <f t="shared" si="45"/>
        <v/>
      </c>
      <c r="Q104" s="43" t="str">
        <f t="shared" si="45"/>
        <v/>
      </c>
      <c r="R104" s="43" t="str">
        <f t="shared" si="46"/>
        <v/>
      </c>
      <c r="S104" s="43" t="str">
        <f t="shared" si="46"/>
        <v/>
      </c>
      <c r="T104" s="43" t="str">
        <f t="shared" si="46"/>
        <v/>
      </c>
      <c r="U104" s="43" t="str">
        <f t="shared" si="46"/>
        <v/>
      </c>
      <c r="V104" s="43" t="str">
        <f t="shared" si="46"/>
        <v/>
      </c>
      <c r="W104" s="43" t="str">
        <f t="shared" si="46"/>
        <v/>
      </c>
      <c r="X104" s="43" t="str">
        <f t="shared" si="46"/>
        <v/>
      </c>
      <c r="Y104" s="43" t="str">
        <f t="shared" si="46"/>
        <v/>
      </c>
      <c r="Z104" s="43" t="str">
        <f t="shared" si="46"/>
        <v/>
      </c>
      <c r="AA104" s="43" t="str">
        <f t="shared" si="46"/>
        <v/>
      </c>
      <c r="AB104" s="43" t="str">
        <f t="shared" si="47"/>
        <v/>
      </c>
      <c r="AC104" s="43" t="str">
        <f t="shared" si="47"/>
        <v/>
      </c>
      <c r="AD104" s="43" t="str">
        <f t="shared" si="47"/>
        <v/>
      </c>
      <c r="AE104" s="43" t="str">
        <f t="shared" si="47"/>
        <v/>
      </c>
      <c r="AF104" s="43" t="str">
        <f t="shared" si="47"/>
        <v/>
      </c>
      <c r="AG104" s="43" t="str">
        <f t="shared" si="47"/>
        <v/>
      </c>
      <c r="AH104" s="43" t="str">
        <f t="shared" si="47"/>
        <v/>
      </c>
      <c r="AI104" s="43" t="str">
        <f t="shared" si="47"/>
        <v/>
      </c>
      <c r="AJ104" s="43" t="str">
        <f t="shared" si="47"/>
        <v/>
      </c>
      <c r="AK104" s="43" t="str">
        <f t="shared" si="47"/>
        <v/>
      </c>
      <c r="AL104" s="43" t="str">
        <f t="shared" si="48"/>
        <v/>
      </c>
      <c r="AM104" s="43" t="str">
        <f t="shared" si="48"/>
        <v/>
      </c>
      <c r="AN104" s="43" t="str">
        <f t="shared" si="48"/>
        <v/>
      </c>
      <c r="AO104" s="43" t="str">
        <f t="shared" si="48"/>
        <v/>
      </c>
      <c r="AP104" s="43" t="str">
        <f t="shared" si="48"/>
        <v/>
      </c>
      <c r="AQ104" s="43" t="str">
        <f t="shared" si="48"/>
        <v/>
      </c>
      <c r="AR104" s="43" t="str">
        <f t="shared" si="48"/>
        <v/>
      </c>
      <c r="AS104" s="43" t="str">
        <f t="shared" si="48"/>
        <v/>
      </c>
      <c r="AT104" s="43" t="str">
        <f t="shared" si="48"/>
        <v/>
      </c>
      <c r="AU104" s="43" t="str">
        <f t="shared" si="48"/>
        <v/>
      </c>
      <c r="AV104" s="43" t="str">
        <f t="shared" si="49"/>
        <v/>
      </c>
      <c r="AW104" s="43" t="str">
        <f t="shared" si="49"/>
        <v/>
      </c>
      <c r="AX104" s="43" t="str">
        <f t="shared" si="49"/>
        <v/>
      </c>
      <c r="AY104" s="43" t="str">
        <f t="shared" si="49"/>
        <v/>
      </c>
      <c r="AZ104" s="43" t="str">
        <f t="shared" si="49"/>
        <v/>
      </c>
      <c r="BA104" s="43" t="str">
        <f t="shared" si="49"/>
        <v/>
      </c>
      <c r="BB104" s="43"/>
      <c r="BC104" s="43"/>
      <c r="BD104" s="43"/>
      <c r="BE104" s="43"/>
      <c r="BF104" s="43"/>
      <c r="BG104" s="43"/>
      <c r="BW104" s="1250"/>
    </row>
    <row r="105" spans="1:75" x14ac:dyDescent="0.25">
      <c r="A105" s="1251"/>
      <c r="B105" s="462">
        <v>99</v>
      </c>
      <c r="C105" s="462"/>
      <c r="D105" s="1244"/>
      <c r="E105" s="1050"/>
      <c r="F105" s="1244"/>
      <c r="H105" s="43" t="str">
        <f t="shared" si="45"/>
        <v/>
      </c>
      <c r="I105" s="43" t="str">
        <f t="shared" si="45"/>
        <v/>
      </c>
      <c r="J105" s="43" t="str">
        <f t="shared" si="45"/>
        <v/>
      </c>
      <c r="K105" s="43" t="str">
        <f t="shared" si="45"/>
        <v/>
      </c>
      <c r="L105" s="43" t="str">
        <f t="shared" si="45"/>
        <v/>
      </c>
      <c r="M105" s="43" t="str">
        <f t="shared" si="45"/>
        <v/>
      </c>
      <c r="N105" s="43" t="str">
        <f t="shared" si="45"/>
        <v/>
      </c>
      <c r="O105" s="43" t="str">
        <f t="shared" si="45"/>
        <v/>
      </c>
      <c r="P105" s="43" t="str">
        <f t="shared" si="45"/>
        <v/>
      </c>
      <c r="Q105" s="43" t="str">
        <f t="shared" si="45"/>
        <v/>
      </c>
      <c r="R105" s="43" t="str">
        <f t="shared" si="46"/>
        <v/>
      </c>
      <c r="S105" s="43" t="str">
        <f t="shared" si="46"/>
        <v/>
      </c>
      <c r="T105" s="43" t="str">
        <f t="shared" si="46"/>
        <v/>
      </c>
      <c r="U105" s="43" t="str">
        <f t="shared" si="46"/>
        <v/>
      </c>
      <c r="V105" s="43" t="str">
        <f t="shared" si="46"/>
        <v/>
      </c>
      <c r="W105" s="43" t="str">
        <f t="shared" si="46"/>
        <v/>
      </c>
      <c r="X105" s="43" t="str">
        <f t="shared" si="46"/>
        <v/>
      </c>
      <c r="Y105" s="43" t="str">
        <f t="shared" si="46"/>
        <v/>
      </c>
      <c r="Z105" s="43" t="str">
        <f t="shared" si="46"/>
        <v/>
      </c>
      <c r="AA105" s="43" t="str">
        <f t="shared" si="46"/>
        <v/>
      </c>
      <c r="AB105" s="43" t="str">
        <f t="shared" si="47"/>
        <v/>
      </c>
      <c r="AC105" s="43" t="str">
        <f t="shared" si="47"/>
        <v/>
      </c>
      <c r="AD105" s="43" t="str">
        <f t="shared" si="47"/>
        <v/>
      </c>
      <c r="AE105" s="43" t="str">
        <f t="shared" si="47"/>
        <v/>
      </c>
      <c r="AF105" s="43" t="str">
        <f t="shared" si="47"/>
        <v/>
      </c>
      <c r="AG105" s="43" t="str">
        <f t="shared" si="47"/>
        <v/>
      </c>
      <c r="AH105" s="43" t="str">
        <f t="shared" si="47"/>
        <v/>
      </c>
      <c r="AI105" s="43" t="str">
        <f t="shared" si="47"/>
        <v/>
      </c>
      <c r="AJ105" s="43" t="str">
        <f t="shared" si="47"/>
        <v/>
      </c>
      <c r="AK105" s="43" t="str">
        <f t="shared" si="47"/>
        <v/>
      </c>
      <c r="AL105" s="43" t="str">
        <f t="shared" si="48"/>
        <v/>
      </c>
      <c r="AM105" s="43" t="str">
        <f t="shared" si="48"/>
        <v/>
      </c>
      <c r="AN105" s="43" t="str">
        <f t="shared" si="48"/>
        <v/>
      </c>
      <c r="AO105" s="43" t="str">
        <f t="shared" si="48"/>
        <v/>
      </c>
      <c r="AP105" s="43" t="str">
        <f t="shared" si="48"/>
        <v/>
      </c>
      <c r="AQ105" s="43" t="str">
        <f t="shared" si="48"/>
        <v/>
      </c>
      <c r="AR105" s="43" t="str">
        <f t="shared" si="48"/>
        <v/>
      </c>
      <c r="AS105" s="43" t="str">
        <f t="shared" si="48"/>
        <v/>
      </c>
      <c r="AT105" s="43" t="str">
        <f t="shared" si="48"/>
        <v/>
      </c>
      <c r="AU105" s="43" t="str">
        <f t="shared" si="48"/>
        <v/>
      </c>
      <c r="AV105" s="43" t="str">
        <f t="shared" si="49"/>
        <v/>
      </c>
      <c r="AW105" s="43" t="str">
        <f t="shared" si="49"/>
        <v/>
      </c>
      <c r="AX105" s="43" t="str">
        <f t="shared" si="49"/>
        <v/>
      </c>
      <c r="AY105" s="43" t="str">
        <f t="shared" si="49"/>
        <v/>
      </c>
      <c r="AZ105" s="43" t="str">
        <f t="shared" si="49"/>
        <v/>
      </c>
      <c r="BA105" s="43" t="str">
        <f t="shared" si="49"/>
        <v/>
      </c>
      <c r="BB105" s="43"/>
      <c r="BC105" s="43"/>
      <c r="BD105" s="43"/>
      <c r="BE105" s="43"/>
      <c r="BF105" s="43"/>
      <c r="BG105" s="43"/>
      <c r="BW105" s="1250"/>
    </row>
    <row r="106" spans="1:75" x14ac:dyDescent="0.25">
      <c r="A106" s="1251"/>
      <c r="B106" s="462">
        <v>100</v>
      </c>
      <c r="C106" s="462"/>
      <c r="D106" s="1244"/>
      <c r="E106" s="1050"/>
      <c r="F106" s="1244"/>
      <c r="H106" s="43" t="str">
        <f t="shared" si="45"/>
        <v/>
      </c>
      <c r="I106" s="43" t="str">
        <f t="shared" si="45"/>
        <v/>
      </c>
      <c r="J106" s="43" t="str">
        <f t="shared" si="45"/>
        <v/>
      </c>
      <c r="K106" s="43" t="str">
        <f t="shared" si="45"/>
        <v/>
      </c>
      <c r="L106" s="43" t="str">
        <f t="shared" si="45"/>
        <v/>
      </c>
      <c r="M106" s="43" t="str">
        <f t="shared" si="45"/>
        <v/>
      </c>
      <c r="N106" s="43" t="str">
        <f t="shared" si="45"/>
        <v/>
      </c>
      <c r="O106" s="43" t="str">
        <f t="shared" si="45"/>
        <v/>
      </c>
      <c r="P106" s="43" t="str">
        <f t="shared" si="45"/>
        <v/>
      </c>
      <c r="Q106" s="43" t="str">
        <f t="shared" si="45"/>
        <v/>
      </c>
      <c r="R106" s="43" t="str">
        <f t="shared" si="46"/>
        <v/>
      </c>
      <c r="S106" s="43" t="str">
        <f t="shared" si="46"/>
        <v/>
      </c>
      <c r="T106" s="43" t="str">
        <f t="shared" si="46"/>
        <v/>
      </c>
      <c r="U106" s="43" t="str">
        <f t="shared" si="46"/>
        <v/>
      </c>
      <c r="V106" s="43" t="str">
        <f t="shared" si="46"/>
        <v/>
      </c>
      <c r="W106" s="43" t="str">
        <f t="shared" si="46"/>
        <v/>
      </c>
      <c r="X106" s="43" t="str">
        <f t="shared" si="46"/>
        <v/>
      </c>
      <c r="Y106" s="43" t="str">
        <f t="shared" si="46"/>
        <v/>
      </c>
      <c r="Z106" s="43" t="str">
        <f t="shared" si="46"/>
        <v/>
      </c>
      <c r="AA106" s="43" t="str">
        <f t="shared" si="46"/>
        <v/>
      </c>
      <c r="AB106" s="43" t="str">
        <f t="shared" si="47"/>
        <v/>
      </c>
      <c r="AC106" s="43" t="str">
        <f t="shared" si="47"/>
        <v/>
      </c>
      <c r="AD106" s="43" t="str">
        <f t="shared" si="47"/>
        <v/>
      </c>
      <c r="AE106" s="43" t="str">
        <f t="shared" si="47"/>
        <v/>
      </c>
      <c r="AF106" s="43" t="str">
        <f t="shared" si="47"/>
        <v/>
      </c>
      <c r="AG106" s="43" t="str">
        <f t="shared" si="47"/>
        <v/>
      </c>
      <c r="AH106" s="43" t="str">
        <f t="shared" si="47"/>
        <v/>
      </c>
      <c r="AI106" s="43" t="str">
        <f t="shared" si="47"/>
        <v/>
      </c>
      <c r="AJ106" s="43" t="str">
        <f t="shared" si="47"/>
        <v/>
      </c>
      <c r="AK106" s="43" t="str">
        <f t="shared" si="47"/>
        <v/>
      </c>
      <c r="AL106" s="43" t="str">
        <f t="shared" si="48"/>
        <v/>
      </c>
      <c r="AM106" s="43" t="str">
        <f t="shared" si="48"/>
        <v/>
      </c>
      <c r="AN106" s="43" t="str">
        <f t="shared" si="48"/>
        <v/>
      </c>
      <c r="AO106" s="43" t="str">
        <f t="shared" si="48"/>
        <v/>
      </c>
      <c r="AP106" s="43" t="str">
        <f t="shared" si="48"/>
        <v/>
      </c>
      <c r="AQ106" s="43" t="str">
        <f t="shared" si="48"/>
        <v/>
      </c>
      <c r="AR106" s="43" t="str">
        <f t="shared" si="48"/>
        <v/>
      </c>
      <c r="AS106" s="43" t="str">
        <f t="shared" si="48"/>
        <v/>
      </c>
      <c r="AT106" s="43" t="str">
        <f t="shared" si="48"/>
        <v/>
      </c>
      <c r="AU106" s="43" t="str">
        <f t="shared" si="48"/>
        <v/>
      </c>
      <c r="AV106" s="43" t="str">
        <f t="shared" si="49"/>
        <v/>
      </c>
      <c r="AW106" s="43" t="str">
        <f t="shared" si="49"/>
        <v/>
      </c>
      <c r="AX106" s="43" t="str">
        <f t="shared" si="49"/>
        <v/>
      </c>
      <c r="AY106" s="43" t="str">
        <f t="shared" si="49"/>
        <v/>
      </c>
      <c r="AZ106" s="43" t="str">
        <f t="shared" si="49"/>
        <v/>
      </c>
      <c r="BA106" s="43" t="str">
        <f t="shared" si="49"/>
        <v/>
      </c>
      <c r="BB106" s="43"/>
      <c r="BC106" s="43"/>
      <c r="BD106" s="43"/>
      <c r="BE106" s="43"/>
      <c r="BF106" s="43"/>
      <c r="BG106" s="43"/>
      <c r="BW106" s="1250"/>
    </row>
    <row r="107" spans="1:75" x14ac:dyDescent="0.25">
      <c r="A107" s="1251"/>
      <c r="B107" s="462">
        <v>101</v>
      </c>
      <c r="C107" s="462"/>
      <c r="D107" s="1244"/>
      <c r="E107" s="1050"/>
      <c r="F107" s="1244"/>
      <c r="H107" s="43" t="str">
        <f t="shared" ref="H107:Q116" si="50">IF($D107=H$6,$B107&amp;", ","")</f>
        <v/>
      </c>
      <c r="I107" s="43" t="str">
        <f t="shared" si="50"/>
        <v/>
      </c>
      <c r="J107" s="43" t="str">
        <f t="shared" si="50"/>
        <v/>
      </c>
      <c r="K107" s="43" t="str">
        <f t="shared" si="50"/>
        <v/>
      </c>
      <c r="L107" s="43" t="str">
        <f t="shared" si="50"/>
        <v/>
      </c>
      <c r="M107" s="43" t="str">
        <f t="shared" si="50"/>
        <v/>
      </c>
      <c r="N107" s="43" t="str">
        <f t="shared" si="50"/>
        <v/>
      </c>
      <c r="O107" s="43" t="str">
        <f t="shared" si="50"/>
        <v/>
      </c>
      <c r="P107" s="43" t="str">
        <f t="shared" si="50"/>
        <v/>
      </c>
      <c r="Q107" s="43" t="str">
        <f t="shared" si="50"/>
        <v/>
      </c>
      <c r="R107" s="43" t="str">
        <f t="shared" ref="R107:AA116" si="51">IF($D107=R$6,$B107&amp;", ","")</f>
        <v/>
      </c>
      <c r="S107" s="43" t="str">
        <f t="shared" si="51"/>
        <v/>
      </c>
      <c r="T107" s="43" t="str">
        <f t="shared" si="51"/>
        <v/>
      </c>
      <c r="U107" s="43" t="str">
        <f t="shared" si="51"/>
        <v/>
      </c>
      <c r="V107" s="43" t="str">
        <f t="shared" si="51"/>
        <v/>
      </c>
      <c r="W107" s="43" t="str">
        <f t="shared" si="51"/>
        <v/>
      </c>
      <c r="X107" s="43" t="str">
        <f t="shared" si="51"/>
        <v/>
      </c>
      <c r="Y107" s="43" t="str">
        <f t="shared" si="51"/>
        <v/>
      </c>
      <c r="Z107" s="43" t="str">
        <f t="shared" si="51"/>
        <v/>
      </c>
      <c r="AA107" s="43" t="str">
        <f t="shared" si="51"/>
        <v/>
      </c>
      <c r="AB107" s="43" t="str">
        <f t="shared" ref="AB107:AK116" si="52">IF($D107=AB$6,$B107&amp;", ","")</f>
        <v/>
      </c>
      <c r="AC107" s="43" t="str">
        <f t="shared" si="52"/>
        <v/>
      </c>
      <c r="AD107" s="43" t="str">
        <f t="shared" si="52"/>
        <v/>
      </c>
      <c r="AE107" s="43" t="str">
        <f t="shared" si="52"/>
        <v/>
      </c>
      <c r="AF107" s="43" t="str">
        <f t="shared" si="52"/>
        <v/>
      </c>
      <c r="AG107" s="43" t="str">
        <f t="shared" si="52"/>
        <v/>
      </c>
      <c r="AH107" s="43" t="str">
        <f t="shared" si="52"/>
        <v/>
      </c>
      <c r="AI107" s="43" t="str">
        <f t="shared" si="52"/>
        <v/>
      </c>
      <c r="AJ107" s="43" t="str">
        <f t="shared" si="52"/>
        <v/>
      </c>
      <c r="AK107" s="43" t="str">
        <f t="shared" si="52"/>
        <v/>
      </c>
      <c r="AL107" s="43" t="str">
        <f t="shared" ref="AL107:AU116" si="53">IF($D107=AL$6,$B107&amp;", ","")</f>
        <v/>
      </c>
      <c r="AM107" s="43" t="str">
        <f t="shared" si="53"/>
        <v/>
      </c>
      <c r="AN107" s="43" t="str">
        <f t="shared" si="53"/>
        <v/>
      </c>
      <c r="AO107" s="43" t="str">
        <f t="shared" si="53"/>
        <v/>
      </c>
      <c r="AP107" s="43" t="str">
        <f t="shared" si="53"/>
        <v/>
      </c>
      <c r="AQ107" s="43" t="str">
        <f t="shared" si="53"/>
        <v/>
      </c>
      <c r="AR107" s="43" t="str">
        <f t="shared" si="53"/>
        <v/>
      </c>
      <c r="AS107" s="43" t="str">
        <f t="shared" si="53"/>
        <v/>
      </c>
      <c r="AT107" s="43" t="str">
        <f t="shared" si="53"/>
        <v/>
      </c>
      <c r="AU107" s="43" t="str">
        <f t="shared" si="53"/>
        <v/>
      </c>
      <c r="AV107" s="43" t="str">
        <f t="shared" ref="AV107:BA116" si="54">IF($D107=AV$6,$B107&amp;", ","")</f>
        <v/>
      </c>
      <c r="AW107" s="43" t="str">
        <f t="shared" si="54"/>
        <v/>
      </c>
      <c r="AX107" s="43" t="str">
        <f t="shared" si="54"/>
        <v/>
      </c>
      <c r="AY107" s="43" t="str">
        <f t="shared" si="54"/>
        <v/>
      </c>
      <c r="AZ107" s="43" t="str">
        <f t="shared" si="54"/>
        <v/>
      </c>
      <c r="BA107" s="43" t="str">
        <f t="shared" si="54"/>
        <v/>
      </c>
      <c r="BB107" s="43"/>
      <c r="BC107" s="43"/>
      <c r="BD107" s="43"/>
      <c r="BE107" s="43"/>
      <c r="BF107" s="43"/>
      <c r="BG107" s="43"/>
      <c r="BW107" s="1250"/>
    </row>
    <row r="108" spans="1:75" x14ac:dyDescent="0.25">
      <c r="A108" s="1251"/>
      <c r="B108" s="462">
        <v>102</v>
      </c>
      <c r="C108" s="462"/>
      <c r="D108" s="1244"/>
      <c r="E108" s="1050"/>
      <c r="F108" s="1244"/>
      <c r="H108" s="43" t="str">
        <f t="shared" si="50"/>
        <v/>
      </c>
      <c r="I108" s="43" t="str">
        <f t="shared" si="50"/>
        <v/>
      </c>
      <c r="J108" s="43" t="str">
        <f t="shared" si="50"/>
        <v/>
      </c>
      <c r="K108" s="43" t="str">
        <f t="shared" si="50"/>
        <v/>
      </c>
      <c r="L108" s="43" t="str">
        <f t="shared" si="50"/>
        <v/>
      </c>
      <c r="M108" s="43" t="str">
        <f t="shared" si="50"/>
        <v/>
      </c>
      <c r="N108" s="43" t="str">
        <f t="shared" si="50"/>
        <v/>
      </c>
      <c r="O108" s="43" t="str">
        <f t="shared" si="50"/>
        <v/>
      </c>
      <c r="P108" s="43" t="str">
        <f t="shared" si="50"/>
        <v/>
      </c>
      <c r="Q108" s="43" t="str">
        <f t="shared" si="50"/>
        <v/>
      </c>
      <c r="R108" s="43" t="str">
        <f t="shared" si="51"/>
        <v/>
      </c>
      <c r="S108" s="43" t="str">
        <f t="shared" si="51"/>
        <v/>
      </c>
      <c r="T108" s="43" t="str">
        <f t="shared" si="51"/>
        <v/>
      </c>
      <c r="U108" s="43" t="str">
        <f t="shared" si="51"/>
        <v/>
      </c>
      <c r="V108" s="43" t="str">
        <f t="shared" si="51"/>
        <v/>
      </c>
      <c r="W108" s="43" t="str">
        <f t="shared" si="51"/>
        <v/>
      </c>
      <c r="X108" s="43" t="str">
        <f t="shared" si="51"/>
        <v/>
      </c>
      <c r="Y108" s="43" t="str">
        <f t="shared" si="51"/>
        <v/>
      </c>
      <c r="Z108" s="43" t="str">
        <f t="shared" si="51"/>
        <v/>
      </c>
      <c r="AA108" s="43" t="str">
        <f t="shared" si="51"/>
        <v/>
      </c>
      <c r="AB108" s="43" t="str">
        <f t="shared" si="52"/>
        <v/>
      </c>
      <c r="AC108" s="43" t="str">
        <f t="shared" si="52"/>
        <v/>
      </c>
      <c r="AD108" s="43" t="str">
        <f t="shared" si="52"/>
        <v/>
      </c>
      <c r="AE108" s="43" t="str">
        <f t="shared" si="52"/>
        <v/>
      </c>
      <c r="AF108" s="43" t="str">
        <f t="shared" si="52"/>
        <v/>
      </c>
      <c r="AG108" s="43" t="str">
        <f t="shared" si="52"/>
        <v/>
      </c>
      <c r="AH108" s="43" t="str">
        <f t="shared" si="52"/>
        <v/>
      </c>
      <c r="AI108" s="43" t="str">
        <f t="shared" si="52"/>
        <v/>
      </c>
      <c r="AJ108" s="43" t="str">
        <f t="shared" si="52"/>
        <v/>
      </c>
      <c r="AK108" s="43" t="str">
        <f t="shared" si="52"/>
        <v/>
      </c>
      <c r="AL108" s="43" t="str">
        <f t="shared" si="53"/>
        <v/>
      </c>
      <c r="AM108" s="43" t="str">
        <f t="shared" si="53"/>
        <v/>
      </c>
      <c r="AN108" s="43" t="str">
        <f t="shared" si="53"/>
        <v/>
      </c>
      <c r="AO108" s="43" t="str">
        <f t="shared" si="53"/>
        <v/>
      </c>
      <c r="AP108" s="43" t="str">
        <f t="shared" si="53"/>
        <v/>
      </c>
      <c r="AQ108" s="43" t="str">
        <f t="shared" si="53"/>
        <v/>
      </c>
      <c r="AR108" s="43" t="str">
        <f t="shared" si="53"/>
        <v/>
      </c>
      <c r="AS108" s="43" t="str">
        <f t="shared" si="53"/>
        <v/>
      </c>
      <c r="AT108" s="43" t="str">
        <f t="shared" si="53"/>
        <v/>
      </c>
      <c r="AU108" s="43" t="str">
        <f t="shared" si="53"/>
        <v/>
      </c>
      <c r="AV108" s="43" t="str">
        <f t="shared" si="54"/>
        <v/>
      </c>
      <c r="AW108" s="43" t="str">
        <f t="shared" si="54"/>
        <v/>
      </c>
      <c r="AX108" s="43" t="str">
        <f t="shared" si="54"/>
        <v/>
      </c>
      <c r="AY108" s="43" t="str">
        <f t="shared" si="54"/>
        <v/>
      </c>
      <c r="AZ108" s="43" t="str">
        <f t="shared" si="54"/>
        <v/>
      </c>
      <c r="BA108" s="43" t="str">
        <f t="shared" si="54"/>
        <v/>
      </c>
      <c r="BB108" s="43"/>
      <c r="BC108" s="43"/>
      <c r="BD108" s="43"/>
      <c r="BE108" s="43"/>
      <c r="BF108" s="43"/>
      <c r="BG108" s="43"/>
      <c r="BW108" s="1250"/>
    </row>
    <row r="109" spans="1:75" x14ac:dyDescent="0.25">
      <c r="A109" s="1251"/>
      <c r="B109" s="462">
        <v>103</v>
      </c>
      <c r="C109" s="462"/>
      <c r="D109" s="1244"/>
      <c r="E109" s="1050"/>
      <c r="F109" s="1244"/>
      <c r="H109" s="43" t="str">
        <f t="shared" si="50"/>
        <v/>
      </c>
      <c r="I109" s="43" t="str">
        <f t="shared" si="50"/>
        <v/>
      </c>
      <c r="J109" s="43" t="str">
        <f t="shared" si="50"/>
        <v/>
      </c>
      <c r="K109" s="43" t="str">
        <f t="shared" si="50"/>
        <v/>
      </c>
      <c r="L109" s="43" t="str">
        <f t="shared" si="50"/>
        <v/>
      </c>
      <c r="M109" s="43" t="str">
        <f t="shared" si="50"/>
        <v/>
      </c>
      <c r="N109" s="43" t="str">
        <f t="shared" si="50"/>
        <v/>
      </c>
      <c r="O109" s="43" t="str">
        <f t="shared" si="50"/>
        <v/>
      </c>
      <c r="P109" s="43" t="str">
        <f t="shared" si="50"/>
        <v/>
      </c>
      <c r="Q109" s="43" t="str">
        <f t="shared" si="50"/>
        <v/>
      </c>
      <c r="R109" s="43" t="str">
        <f t="shared" si="51"/>
        <v/>
      </c>
      <c r="S109" s="43" t="str">
        <f t="shared" si="51"/>
        <v/>
      </c>
      <c r="T109" s="43" t="str">
        <f t="shared" si="51"/>
        <v/>
      </c>
      <c r="U109" s="43" t="str">
        <f t="shared" si="51"/>
        <v/>
      </c>
      <c r="V109" s="43" t="str">
        <f t="shared" si="51"/>
        <v/>
      </c>
      <c r="W109" s="43" t="str">
        <f t="shared" si="51"/>
        <v/>
      </c>
      <c r="X109" s="43" t="str">
        <f t="shared" si="51"/>
        <v/>
      </c>
      <c r="Y109" s="43" t="str">
        <f t="shared" si="51"/>
        <v/>
      </c>
      <c r="Z109" s="43" t="str">
        <f t="shared" si="51"/>
        <v/>
      </c>
      <c r="AA109" s="43" t="str">
        <f t="shared" si="51"/>
        <v/>
      </c>
      <c r="AB109" s="43" t="str">
        <f t="shared" si="52"/>
        <v/>
      </c>
      <c r="AC109" s="43" t="str">
        <f t="shared" si="52"/>
        <v/>
      </c>
      <c r="AD109" s="43" t="str">
        <f t="shared" si="52"/>
        <v/>
      </c>
      <c r="AE109" s="43" t="str">
        <f t="shared" si="52"/>
        <v/>
      </c>
      <c r="AF109" s="43" t="str">
        <f t="shared" si="52"/>
        <v/>
      </c>
      <c r="AG109" s="43" t="str">
        <f t="shared" si="52"/>
        <v/>
      </c>
      <c r="AH109" s="43" t="str">
        <f t="shared" si="52"/>
        <v/>
      </c>
      <c r="AI109" s="43" t="str">
        <f t="shared" si="52"/>
        <v/>
      </c>
      <c r="AJ109" s="43" t="str">
        <f t="shared" si="52"/>
        <v/>
      </c>
      <c r="AK109" s="43" t="str">
        <f t="shared" si="52"/>
        <v/>
      </c>
      <c r="AL109" s="43" t="str">
        <f t="shared" si="53"/>
        <v/>
      </c>
      <c r="AM109" s="43" t="str">
        <f t="shared" si="53"/>
        <v/>
      </c>
      <c r="AN109" s="43" t="str">
        <f t="shared" si="53"/>
        <v/>
      </c>
      <c r="AO109" s="43" t="str">
        <f t="shared" si="53"/>
        <v/>
      </c>
      <c r="AP109" s="43" t="str">
        <f t="shared" si="53"/>
        <v/>
      </c>
      <c r="AQ109" s="43" t="str">
        <f t="shared" si="53"/>
        <v/>
      </c>
      <c r="AR109" s="43" t="str">
        <f t="shared" si="53"/>
        <v/>
      </c>
      <c r="AS109" s="43" t="str">
        <f t="shared" si="53"/>
        <v/>
      </c>
      <c r="AT109" s="43" t="str">
        <f t="shared" si="53"/>
        <v/>
      </c>
      <c r="AU109" s="43" t="str">
        <f t="shared" si="53"/>
        <v/>
      </c>
      <c r="AV109" s="43" t="str">
        <f t="shared" si="54"/>
        <v/>
      </c>
      <c r="AW109" s="43" t="str">
        <f t="shared" si="54"/>
        <v/>
      </c>
      <c r="AX109" s="43" t="str">
        <f t="shared" si="54"/>
        <v/>
      </c>
      <c r="AY109" s="43" t="str">
        <f t="shared" si="54"/>
        <v/>
      </c>
      <c r="AZ109" s="43" t="str">
        <f t="shared" si="54"/>
        <v/>
      </c>
      <c r="BA109" s="43" t="str">
        <f t="shared" si="54"/>
        <v/>
      </c>
      <c r="BB109" s="43"/>
      <c r="BC109" s="43"/>
      <c r="BD109" s="43"/>
      <c r="BE109" s="43"/>
      <c r="BF109" s="43"/>
      <c r="BG109" s="43"/>
      <c r="BW109" s="1250"/>
    </row>
    <row r="110" spans="1:75" x14ac:dyDescent="0.25">
      <c r="A110" s="1251"/>
      <c r="B110" s="462">
        <v>104</v>
      </c>
      <c r="C110" s="462"/>
      <c r="D110" s="1244"/>
      <c r="E110" s="1050"/>
      <c r="F110" s="1244"/>
      <c r="H110" s="43" t="str">
        <f t="shared" si="50"/>
        <v/>
      </c>
      <c r="I110" s="43" t="str">
        <f t="shared" si="50"/>
        <v/>
      </c>
      <c r="J110" s="43" t="str">
        <f t="shared" si="50"/>
        <v/>
      </c>
      <c r="K110" s="43" t="str">
        <f t="shared" si="50"/>
        <v/>
      </c>
      <c r="L110" s="43" t="str">
        <f t="shared" si="50"/>
        <v/>
      </c>
      <c r="M110" s="43" t="str">
        <f t="shared" si="50"/>
        <v/>
      </c>
      <c r="N110" s="43" t="str">
        <f t="shared" si="50"/>
        <v/>
      </c>
      <c r="O110" s="43" t="str">
        <f t="shared" si="50"/>
        <v/>
      </c>
      <c r="P110" s="43" t="str">
        <f t="shared" si="50"/>
        <v/>
      </c>
      <c r="Q110" s="43" t="str">
        <f t="shared" si="50"/>
        <v/>
      </c>
      <c r="R110" s="43" t="str">
        <f t="shared" si="51"/>
        <v/>
      </c>
      <c r="S110" s="43" t="str">
        <f t="shared" si="51"/>
        <v/>
      </c>
      <c r="T110" s="43" t="str">
        <f t="shared" si="51"/>
        <v/>
      </c>
      <c r="U110" s="43" t="str">
        <f t="shared" si="51"/>
        <v/>
      </c>
      <c r="V110" s="43" t="str">
        <f t="shared" si="51"/>
        <v/>
      </c>
      <c r="W110" s="43" t="str">
        <f t="shared" si="51"/>
        <v/>
      </c>
      <c r="X110" s="43" t="str">
        <f t="shared" si="51"/>
        <v/>
      </c>
      <c r="Y110" s="43" t="str">
        <f t="shared" si="51"/>
        <v/>
      </c>
      <c r="Z110" s="43" t="str">
        <f t="shared" si="51"/>
        <v/>
      </c>
      <c r="AA110" s="43" t="str">
        <f t="shared" si="51"/>
        <v/>
      </c>
      <c r="AB110" s="43" t="str">
        <f t="shared" si="52"/>
        <v/>
      </c>
      <c r="AC110" s="43" t="str">
        <f t="shared" si="52"/>
        <v/>
      </c>
      <c r="AD110" s="43" t="str">
        <f t="shared" si="52"/>
        <v/>
      </c>
      <c r="AE110" s="43" t="str">
        <f t="shared" si="52"/>
        <v/>
      </c>
      <c r="AF110" s="43" t="str">
        <f t="shared" si="52"/>
        <v/>
      </c>
      <c r="AG110" s="43" t="str">
        <f t="shared" si="52"/>
        <v/>
      </c>
      <c r="AH110" s="43" t="str">
        <f t="shared" si="52"/>
        <v/>
      </c>
      <c r="AI110" s="43" t="str">
        <f t="shared" si="52"/>
        <v/>
      </c>
      <c r="AJ110" s="43" t="str">
        <f t="shared" si="52"/>
        <v/>
      </c>
      <c r="AK110" s="43" t="str">
        <f t="shared" si="52"/>
        <v/>
      </c>
      <c r="AL110" s="43" t="str">
        <f t="shared" si="53"/>
        <v/>
      </c>
      <c r="AM110" s="43" t="str">
        <f t="shared" si="53"/>
        <v/>
      </c>
      <c r="AN110" s="43" t="str">
        <f t="shared" si="53"/>
        <v/>
      </c>
      <c r="AO110" s="43" t="str">
        <f t="shared" si="53"/>
        <v/>
      </c>
      <c r="AP110" s="43" t="str">
        <f t="shared" si="53"/>
        <v/>
      </c>
      <c r="AQ110" s="43" t="str">
        <f t="shared" si="53"/>
        <v/>
      </c>
      <c r="AR110" s="43" t="str">
        <f t="shared" si="53"/>
        <v/>
      </c>
      <c r="AS110" s="43" t="str">
        <f t="shared" si="53"/>
        <v/>
      </c>
      <c r="AT110" s="43" t="str">
        <f t="shared" si="53"/>
        <v/>
      </c>
      <c r="AU110" s="43" t="str">
        <f t="shared" si="53"/>
        <v/>
      </c>
      <c r="AV110" s="43" t="str">
        <f t="shared" si="54"/>
        <v/>
      </c>
      <c r="AW110" s="43" t="str">
        <f t="shared" si="54"/>
        <v/>
      </c>
      <c r="AX110" s="43" t="str">
        <f t="shared" si="54"/>
        <v/>
      </c>
      <c r="AY110" s="43" t="str">
        <f t="shared" si="54"/>
        <v/>
      </c>
      <c r="AZ110" s="43" t="str">
        <f t="shared" si="54"/>
        <v/>
      </c>
      <c r="BA110" s="43" t="str">
        <f t="shared" si="54"/>
        <v/>
      </c>
      <c r="BB110" s="43"/>
      <c r="BC110" s="43"/>
      <c r="BD110" s="43"/>
      <c r="BE110" s="43"/>
      <c r="BF110" s="43"/>
      <c r="BG110" s="43"/>
      <c r="BW110" s="1250"/>
    </row>
    <row r="111" spans="1:75" x14ac:dyDescent="0.25">
      <c r="A111" s="1251"/>
      <c r="B111" s="462">
        <v>105</v>
      </c>
      <c r="C111" s="462"/>
      <c r="D111" s="1244"/>
      <c r="E111" s="1050"/>
      <c r="F111" s="1244"/>
      <c r="H111" s="43" t="str">
        <f t="shared" si="50"/>
        <v/>
      </c>
      <c r="I111" s="43" t="str">
        <f t="shared" si="50"/>
        <v/>
      </c>
      <c r="J111" s="43" t="str">
        <f t="shared" si="50"/>
        <v/>
      </c>
      <c r="K111" s="43" t="str">
        <f t="shared" si="50"/>
        <v/>
      </c>
      <c r="L111" s="43" t="str">
        <f t="shared" si="50"/>
        <v/>
      </c>
      <c r="M111" s="43" t="str">
        <f t="shared" si="50"/>
        <v/>
      </c>
      <c r="N111" s="43" t="str">
        <f t="shared" si="50"/>
        <v/>
      </c>
      <c r="O111" s="43" t="str">
        <f t="shared" si="50"/>
        <v/>
      </c>
      <c r="P111" s="43" t="str">
        <f t="shared" si="50"/>
        <v/>
      </c>
      <c r="Q111" s="43" t="str">
        <f t="shared" si="50"/>
        <v/>
      </c>
      <c r="R111" s="43" t="str">
        <f t="shared" si="51"/>
        <v/>
      </c>
      <c r="S111" s="43" t="str">
        <f t="shared" si="51"/>
        <v/>
      </c>
      <c r="T111" s="43" t="str">
        <f t="shared" si="51"/>
        <v/>
      </c>
      <c r="U111" s="43" t="str">
        <f t="shared" si="51"/>
        <v/>
      </c>
      <c r="V111" s="43" t="str">
        <f t="shared" si="51"/>
        <v/>
      </c>
      <c r="W111" s="43" t="str">
        <f t="shared" si="51"/>
        <v/>
      </c>
      <c r="X111" s="43" t="str">
        <f t="shared" si="51"/>
        <v/>
      </c>
      <c r="Y111" s="43" t="str">
        <f t="shared" si="51"/>
        <v/>
      </c>
      <c r="Z111" s="43" t="str">
        <f t="shared" si="51"/>
        <v/>
      </c>
      <c r="AA111" s="43" t="str">
        <f t="shared" si="51"/>
        <v/>
      </c>
      <c r="AB111" s="43" t="str">
        <f t="shared" si="52"/>
        <v/>
      </c>
      <c r="AC111" s="43" t="str">
        <f t="shared" si="52"/>
        <v/>
      </c>
      <c r="AD111" s="43" t="str">
        <f t="shared" si="52"/>
        <v/>
      </c>
      <c r="AE111" s="43" t="str">
        <f t="shared" si="52"/>
        <v/>
      </c>
      <c r="AF111" s="43" t="str">
        <f t="shared" si="52"/>
        <v/>
      </c>
      <c r="AG111" s="43" t="str">
        <f t="shared" si="52"/>
        <v/>
      </c>
      <c r="AH111" s="43" t="str">
        <f t="shared" si="52"/>
        <v/>
      </c>
      <c r="AI111" s="43" t="str">
        <f t="shared" si="52"/>
        <v/>
      </c>
      <c r="AJ111" s="43" t="str">
        <f t="shared" si="52"/>
        <v/>
      </c>
      <c r="AK111" s="43" t="str">
        <f t="shared" si="52"/>
        <v/>
      </c>
      <c r="AL111" s="43" t="str">
        <f t="shared" si="53"/>
        <v/>
      </c>
      <c r="AM111" s="43" t="str">
        <f t="shared" si="53"/>
        <v/>
      </c>
      <c r="AN111" s="43" t="str">
        <f t="shared" si="53"/>
        <v/>
      </c>
      <c r="AO111" s="43" t="str">
        <f t="shared" si="53"/>
        <v/>
      </c>
      <c r="AP111" s="43" t="str">
        <f t="shared" si="53"/>
        <v/>
      </c>
      <c r="AQ111" s="43" t="str">
        <f t="shared" si="53"/>
        <v/>
      </c>
      <c r="AR111" s="43" t="str">
        <f t="shared" si="53"/>
        <v/>
      </c>
      <c r="AS111" s="43" t="str">
        <f t="shared" si="53"/>
        <v/>
      </c>
      <c r="AT111" s="43" t="str">
        <f t="shared" si="53"/>
        <v/>
      </c>
      <c r="AU111" s="43" t="str">
        <f t="shared" si="53"/>
        <v/>
      </c>
      <c r="AV111" s="43" t="str">
        <f t="shared" si="54"/>
        <v/>
      </c>
      <c r="AW111" s="43" t="str">
        <f t="shared" si="54"/>
        <v/>
      </c>
      <c r="AX111" s="43" t="str">
        <f t="shared" si="54"/>
        <v/>
      </c>
      <c r="AY111" s="43" t="str">
        <f t="shared" si="54"/>
        <v/>
      </c>
      <c r="AZ111" s="43" t="str">
        <f t="shared" si="54"/>
        <v/>
      </c>
      <c r="BA111" s="43" t="str">
        <f t="shared" si="54"/>
        <v/>
      </c>
      <c r="BB111" s="43"/>
      <c r="BC111" s="43"/>
      <c r="BD111" s="43"/>
      <c r="BE111" s="43"/>
      <c r="BF111" s="43"/>
      <c r="BG111" s="43"/>
      <c r="BW111" s="1250"/>
    </row>
    <row r="112" spans="1:75" x14ac:dyDescent="0.25">
      <c r="A112" s="1251"/>
      <c r="B112" s="462">
        <v>106</v>
      </c>
      <c r="C112" s="462"/>
      <c r="D112" s="1244"/>
      <c r="E112" s="1050"/>
      <c r="F112" s="1244"/>
      <c r="H112" s="43" t="str">
        <f t="shared" si="50"/>
        <v/>
      </c>
      <c r="I112" s="43" t="str">
        <f t="shared" si="50"/>
        <v/>
      </c>
      <c r="J112" s="43" t="str">
        <f t="shared" si="50"/>
        <v/>
      </c>
      <c r="K112" s="43" t="str">
        <f t="shared" si="50"/>
        <v/>
      </c>
      <c r="L112" s="43" t="str">
        <f t="shared" si="50"/>
        <v/>
      </c>
      <c r="M112" s="43" t="str">
        <f t="shared" si="50"/>
        <v/>
      </c>
      <c r="N112" s="43" t="str">
        <f t="shared" si="50"/>
        <v/>
      </c>
      <c r="O112" s="43" t="str">
        <f t="shared" si="50"/>
        <v/>
      </c>
      <c r="P112" s="43" t="str">
        <f t="shared" si="50"/>
        <v/>
      </c>
      <c r="Q112" s="43" t="str">
        <f t="shared" si="50"/>
        <v/>
      </c>
      <c r="R112" s="43" t="str">
        <f t="shared" si="51"/>
        <v/>
      </c>
      <c r="S112" s="43" t="str">
        <f t="shared" si="51"/>
        <v/>
      </c>
      <c r="T112" s="43" t="str">
        <f t="shared" si="51"/>
        <v/>
      </c>
      <c r="U112" s="43" t="str">
        <f t="shared" si="51"/>
        <v/>
      </c>
      <c r="V112" s="43" t="str">
        <f t="shared" si="51"/>
        <v/>
      </c>
      <c r="W112" s="43" t="str">
        <f t="shared" si="51"/>
        <v/>
      </c>
      <c r="X112" s="43" t="str">
        <f t="shared" si="51"/>
        <v/>
      </c>
      <c r="Y112" s="43" t="str">
        <f t="shared" si="51"/>
        <v/>
      </c>
      <c r="Z112" s="43" t="str">
        <f t="shared" si="51"/>
        <v/>
      </c>
      <c r="AA112" s="43" t="str">
        <f t="shared" si="51"/>
        <v/>
      </c>
      <c r="AB112" s="43" t="str">
        <f t="shared" si="52"/>
        <v/>
      </c>
      <c r="AC112" s="43" t="str">
        <f t="shared" si="52"/>
        <v/>
      </c>
      <c r="AD112" s="43" t="str">
        <f t="shared" si="52"/>
        <v/>
      </c>
      <c r="AE112" s="43" t="str">
        <f t="shared" si="52"/>
        <v/>
      </c>
      <c r="AF112" s="43" t="str">
        <f t="shared" si="52"/>
        <v/>
      </c>
      <c r="AG112" s="43" t="str">
        <f t="shared" si="52"/>
        <v/>
      </c>
      <c r="AH112" s="43" t="str">
        <f t="shared" si="52"/>
        <v/>
      </c>
      <c r="AI112" s="43" t="str">
        <f t="shared" si="52"/>
        <v/>
      </c>
      <c r="AJ112" s="43" t="str">
        <f t="shared" si="52"/>
        <v/>
      </c>
      <c r="AK112" s="43" t="str">
        <f t="shared" si="52"/>
        <v/>
      </c>
      <c r="AL112" s="43" t="str">
        <f t="shared" si="53"/>
        <v/>
      </c>
      <c r="AM112" s="43" t="str">
        <f t="shared" si="53"/>
        <v/>
      </c>
      <c r="AN112" s="43" t="str">
        <f t="shared" si="53"/>
        <v/>
      </c>
      <c r="AO112" s="43" t="str">
        <f t="shared" si="53"/>
        <v/>
      </c>
      <c r="AP112" s="43" t="str">
        <f t="shared" si="53"/>
        <v/>
      </c>
      <c r="AQ112" s="43" t="str">
        <f t="shared" si="53"/>
        <v/>
      </c>
      <c r="AR112" s="43" t="str">
        <f t="shared" si="53"/>
        <v/>
      </c>
      <c r="AS112" s="43" t="str">
        <f t="shared" si="53"/>
        <v/>
      </c>
      <c r="AT112" s="43" t="str">
        <f t="shared" si="53"/>
        <v/>
      </c>
      <c r="AU112" s="43" t="str">
        <f t="shared" si="53"/>
        <v/>
      </c>
      <c r="AV112" s="43" t="str">
        <f t="shared" si="54"/>
        <v/>
      </c>
      <c r="AW112" s="43" t="str">
        <f t="shared" si="54"/>
        <v/>
      </c>
      <c r="AX112" s="43" t="str">
        <f t="shared" si="54"/>
        <v/>
      </c>
      <c r="AY112" s="43" t="str">
        <f t="shared" si="54"/>
        <v/>
      </c>
      <c r="AZ112" s="43" t="str">
        <f t="shared" si="54"/>
        <v/>
      </c>
      <c r="BA112" s="43" t="str">
        <f t="shared" si="54"/>
        <v/>
      </c>
      <c r="BB112" s="43"/>
      <c r="BC112" s="43"/>
      <c r="BD112" s="43"/>
      <c r="BE112" s="43"/>
      <c r="BF112" s="43"/>
      <c r="BG112" s="43"/>
      <c r="BW112" s="1250"/>
    </row>
    <row r="113" spans="1:75" x14ac:dyDescent="0.25">
      <c r="A113" s="1251"/>
      <c r="B113" s="462">
        <v>107</v>
      </c>
      <c r="C113" s="462"/>
      <c r="D113" s="1244"/>
      <c r="E113" s="1050"/>
      <c r="F113" s="1244"/>
      <c r="H113" s="43" t="str">
        <f t="shared" si="50"/>
        <v/>
      </c>
      <c r="I113" s="43" t="str">
        <f t="shared" si="50"/>
        <v/>
      </c>
      <c r="J113" s="43" t="str">
        <f t="shared" si="50"/>
        <v/>
      </c>
      <c r="K113" s="43" t="str">
        <f t="shared" si="50"/>
        <v/>
      </c>
      <c r="L113" s="43" t="str">
        <f t="shared" si="50"/>
        <v/>
      </c>
      <c r="M113" s="43" t="str">
        <f t="shared" si="50"/>
        <v/>
      </c>
      <c r="N113" s="43" t="str">
        <f t="shared" si="50"/>
        <v/>
      </c>
      <c r="O113" s="43" t="str">
        <f t="shared" si="50"/>
        <v/>
      </c>
      <c r="P113" s="43" t="str">
        <f t="shared" si="50"/>
        <v/>
      </c>
      <c r="Q113" s="43" t="str">
        <f t="shared" si="50"/>
        <v/>
      </c>
      <c r="R113" s="43" t="str">
        <f t="shared" si="51"/>
        <v/>
      </c>
      <c r="S113" s="43" t="str">
        <f t="shared" si="51"/>
        <v/>
      </c>
      <c r="T113" s="43" t="str">
        <f t="shared" si="51"/>
        <v/>
      </c>
      <c r="U113" s="43" t="str">
        <f t="shared" si="51"/>
        <v/>
      </c>
      <c r="V113" s="43" t="str">
        <f t="shared" si="51"/>
        <v/>
      </c>
      <c r="W113" s="43" t="str">
        <f t="shared" si="51"/>
        <v/>
      </c>
      <c r="X113" s="43" t="str">
        <f t="shared" si="51"/>
        <v/>
      </c>
      <c r="Y113" s="43" t="str">
        <f t="shared" si="51"/>
        <v/>
      </c>
      <c r="Z113" s="43" t="str">
        <f t="shared" si="51"/>
        <v/>
      </c>
      <c r="AA113" s="43" t="str">
        <f t="shared" si="51"/>
        <v/>
      </c>
      <c r="AB113" s="43" t="str">
        <f t="shared" si="52"/>
        <v/>
      </c>
      <c r="AC113" s="43" t="str">
        <f t="shared" si="52"/>
        <v/>
      </c>
      <c r="AD113" s="43" t="str">
        <f t="shared" si="52"/>
        <v/>
      </c>
      <c r="AE113" s="43" t="str">
        <f t="shared" si="52"/>
        <v/>
      </c>
      <c r="AF113" s="43" t="str">
        <f t="shared" si="52"/>
        <v/>
      </c>
      <c r="AG113" s="43" t="str">
        <f t="shared" si="52"/>
        <v/>
      </c>
      <c r="AH113" s="43" t="str">
        <f t="shared" si="52"/>
        <v/>
      </c>
      <c r="AI113" s="43" t="str">
        <f t="shared" si="52"/>
        <v/>
      </c>
      <c r="AJ113" s="43" t="str">
        <f t="shared" si="52"/>
        <v/>
      </c>
      <c r="AK113" s="43" t="str">
        <f t="shared" si="52"/>
        <v/>
      </c>
      <c r="AL113" s="43" t="str">
        <f t="shared" si="53"/>
        <v/>
      </c>
      <c r="AM113" s="43" t="str">
        <f t="shared" si="53"/>
        <v/>
      </c>
      <c r="AN113" s="43" t="str">
        <f t="shared" si="53"/>
        <v/>
      </c>
      <c r="AO113" s="43" t="str">
        <f t="shared" si="53"/>
        <v/>
      </c>
      <c r="AP113" s="43" t="str">
        <f t="shared" si="53"/>
        <v/>
      </c>
      <c r="AQ113" s="43" t="str">
        <f t="shared" si="53"/>
        <v/>
      </c>
      <c r="AR113" s="43" t="str">
        <f t="shared" si="53"/>
        <v/>
      </c>
      <c r="AS113" s="43" t="str">
        <f t="shared" si="53"/>
        <v/>
      </c>
      <c r="AT113" s="43" t="str">
        <f t="shared" si="53"/>
        <v/>
      </c>
      <c r="AU113" s="43" t="str">
        <f t="shared" si="53"/>
        <v/>
      </c>
      <c r="AV113" s="43" t="str">
        <f t="shared" si="54"/>
        <v/>
      </c>
      <c r="AW113" s="43" t="str">
        <f t="shared" si="54"/>
        <v/>
      </c>
      <c r="AX113" s="43" t="str">
        <f t="shared" si="54"/>
        <v/>
      </c>
      <c r="AY113" s="43" t="str">
        <f t="shared" si="54"/>
        <v/>
      </c>
      <c r="AZ113" s="43" t="str">
        <f t="shared" si="54"/>
        <v/>
      </c>
      <c r="BA113" s="43" t="str">
        <f t="shared" si="54"/>
        <v/>
      </c>
      <c r="BB113" s="43"/>
      <c r="BC113" s="43"/>
      <c r="BD113" s="43"/>
      <c r="BE113" s="43"/>
      <c r="BF113" s="43"/>
      <c r="BG113" s="43"/>
      <c r="BW113" s="1250"/>
    </row>
    <row r="114" spans="1:75" x14ac:dyDescent="0.25">
      <c r="A114" s="1251"/>
      <c r="B114" s="462">
        <v>108</v>
      </c>
      <c r="C114" s="462"/>
      <c r="D114" s="1244"/>
      <c r="E114" s="1050"/>
      <c r="F114" s="1244"/>
      <c r="H114" s="43" t="str">
        <f t="shared" si="50"/>
        <v/>
      </c>
      <c r="I114" s="43" t="str">
        <f t="shared" si="50"/>
        <v/>
      </c>
      <c r="J114" s="43" t="str">
        <f t="shared" si="50"/>
        <v/>
      </c>
      <c r="K114" s="43" t="str">
        <f t="shared" si="50"/>
        <v/>
      </c>
      <c r="L114" s="43" t="str">
        <f t="shared" si="50"/>
        <v/>
      </c>
      <c r="M114" s="43" t="str">
        <f t="shared" si="50"/>
        <v/>
      </c>
      <c r="N114" s="43" t="str">
        <f t="shared" si="50"/>
        <v/>
      </c>
      <c r="O114" s="43" t="str">
        <f t="shared" si="50"/>
        <v/>
      </c>
      <c r="P114" s="43" t="str">
        <f t="shared" si="50"/>
        <v/>
      </c>
      <c r="Q114" s="43" t="str">
        <f t="shared" si="50"/>
        <v/>
      </c>
      <c r="R114" s="43" t="str">
        <f t="shared" si="51"/>
        <v/>
      </c>
      <c r="S114" s="43" t="str">
        <f t="shared" si="51"/>
        <v/>
      </c>
      <c r="T114" s="43" t="str">
        <f t="shared" si="51"/>
        <v/>
      </c>
      <c r="U114" s="43" t="str">
        <f t="shared" si="51"/>
        <v/>
      </c>
      <c r="V114" s="43" t="str">
        <f t="shared" si="51"/>
        <v/>
      </c>
      <c r="W114" s="43" t="str">
        <f t="shared" si="51"/>
        <v/>
      </c>
      <c r="X114" s="43" t="str">
        <f t="shared" si="51"/>
        <v/>
      </c>
      <c r="Y114" s="43" t="str">
        <f t="shared" si="51"/>
        <v/>
      </c>
      <c r="Z114" s="43" t="str">
        <f t="shared" si="51"/>
        <v/>
      </c>
      <c r="AA114" s="43" t="str">
        <f t="shared" si="51"/>
        <v/>
      </c>
      <c r="AB114" s="43" t="str">
        <f t="shared" si="52"/>
        <v/>
      </c>
      <c r="AC114" s="43" t="str">
        <f t="shared" si="52"/>
        <v/>
      </c>
      <c r="AD114" s="43" t="str">
        <f t="shared" si="52"/>
        <v/>
      </c>
      <c r="AE114" s="43" t="str">
        <f t="shared" si="52"/>
        <v/>
      </c>
      <c r="AF114" s="43" t="str">
        <f t="shared" si="52"/>
        <v/>
      </c>
      <c r="AG114" s="43" t="str">
        <f t="shared" si="52"/>
        <v/>
      </c>
      <c r="AH114" s="43" t="str">
        <f t="shared" si="52"/>
        <v/>
      </c>
      <c r="AI114" s="43" t="str">
        <f t="shared" si="52"/>
        <v/>
      </c>
      <c r="AJ114" s="43" t="str">
        <f t="shared" si="52"/>
        <v/>
      </c>
      <c r="AK114" s="43" t="str">
        <f t="shared" si="52"/>
        <v/>
      </c>
      <c r="AL114" s="43" t="str">
        <f t="shared" si="53"/>
        <v/>
      </c>
      <c r="AM114" s="43" t="str">
        <f t="shared" si="53"/>
        <v/>
      </c>
      <c r="AN114" s="43" t="str">
        <f t="shared" si="53"/>
        <v/>
      </c>
      <c r="AO114" s="43" t="str">
        <f t="shared" si="53"/>
        <v/>
      </c>
      <c r="AP114" s="43" t="str">
        <f t="shared" si="53"/>
        <v/>
      </c>
      <c r="AQ114" s="43" t="str">
        <f t="shared" si="53"/>
        <v/>
      </c>
      <c r="AR114" s="43" t="str">
        <f t="shared" si="53"/>
        <v/>
      </c>
      <c r="AS114" s="43" t="str">
        <f t="shared" si="53"/>
        <v/>
      </c>
      <c r="AT114" s="43" t="str">
        <f t="shared" si="53"/>
        <v/>
      </c>
      <c r="AU114" s="43" t="str">
        <f t="shared" si="53"/>
        <v/>
      </c>
      <c r="AV114" s="43" t="str">
        <f t="shared" si="54"/>
        <v/>
      </c>
      <c r="AW114" s="43" t="str">
        <f t="shared" si="54"/>
        <v/>
      </c>
      <c r="AX114" s="43" t="str">
        <f t="shared" si="54"/>
        <v/>
      </c>
      <c r="AY114" s="43" t="str">
        <f t="shared" si="54"/>
        <v/>
      </c>
      <c r="AZ114" s="43" t="str">
        <f t="shared" si="54"/>
        <v/>
      </c>
      <c r="BA114" s="43" t="str">
        <f t="shared" si="54"/>
        <v/>
      </c>
      <c r="BB114" s="43"/>
      <c r="BC114" s="43"/>
      <c r="BD114" s="43"/>
      <c r="BE114" s="43"/>
      <c r="BF114" s="43"/>
      <c r="BG114" s="43"/>
      <c r="BW114" s="1250"/>
    </row>
    <row r="115" spans="1:75" x14ac:dyDescent="0.25">
      <c r="A115" s="1251"/>
      <c r="B115" s="462">
        <v>109</v>
      </c>
      <c r="C115" s="462"/>
      <c r="D115" s="1244"/>
      <c r="E115" s="1050"/>
      <c r="F115" s="1244"/>
      <c r="H115" s="43" t="str">
        <f t="shared" si="50"/>
        <v/>
      </c>
      <c r="I115" s="43" t="str">
        <f t="shared" si="50"/>
        <v/>
      </c>
      <c r="J115" s="43" t="str">
        <f t="shared" si="50"/>
        <v/>
      </c>
      <c r="K115" s="43" t="str">
        <f t="shared" si="50"/>
        <v/>
      </c>
      <c r="L115" s="43" t="str">
        <f t="shared" si="50"/>
        <v/>
      </c>
      <c r="M115" s="43" t="str">
        <f t="shared" si="50"/>
        <v/>
      </c>
      <c r="N115" s="43" t="str">
        <f t="shared" si="50"/>
        <v/>
      </c>
      <c r="O115" s="43" t="str">
        <f t="shared" si="50"/>
        <v/>
      </c>
      <c r="P115" s="43" t="str">
        <f t="shared" si="50"/>
        <v/>
      </c>
      <c r="Q115" s="43" t="str">
        <f t="shared" si="50"/>
        <v/>
      </c>
      <c r="R115" s="43" t="str">
        <f t="shared" si="51"/>
        <v/>
      </c>
      <c r="S115" s="43" t="str">
        <f t="shared" si="51"/>
        <v/>
      </c>
      <c r="T115" s="43" t="str">
        <f t="shared" si="51"/>
        <v/>
      </c>
      <c r="U115" s="43" t="str">
        <f t="shared" si="51"/>
        <v/>
      </c>
      <c r="V115" s="43" t="str">
        <f t="shared" si="51"/>
        <v/>
      </c>
      <c r="W115" s="43" t="str">
        <f t="shared" si="51"/>
        <v/>
      </c>
      <c r="X115" s="43" t="str">
        <f t="shared" si="51"/>
        <v/>
      </c>
      <c r="Y115" s="43" t="str">
        <f t="shared" si="51"/>
        <v/>
      </c>
      <c r="Z115" s="43" t="str">
        <f t="shared" si="51"/>
        <v/>
      </c>
      <c r="AA115" s="43" t="str">
        <f t="shared" si="51"/>
        <v/>
      </c>
      <c r="AB115" s="43" t="str">
        <f t="shared" si="52"/>
        <v/>
      </c>
      <c r="AC115" s="43" t="str">
        <f t="shared" si="52"/>
        <v/>
      </c>
      <c r="AD115" s="43" t="str">
        <f t="shared" si="52"/>
        <v/>
      </c>
      <c r="AE115" s="43" t="str">
        <f t="shared" si="52"/>
        <v/>
      </c>
      <c r="AF115" s="43" t="str">
        <f t="shared" si="52"/>
        <v/>
      </c>
      <c r="AG115" s="43" t="str">
        <f t="shared" si="52"/>
        <v/>
      </c>
      <c r="AH115" s="43" t="str">
        <f t="shared" si="52"/>
        <v/>
      </c>
      <c r="AI115" s="43" t="str">
        <f t="shared" si="52"/>
        <v/>
      </c>
      <c r="AJ115" s="43" t="str">
        <f t="shared" si="52"/>
        <v/>
      </c>
      <c r="AK115" s="43" t="str">
        <f t="shared" si="52"/>
        <v/>
      </c>
      <c r="AL115" s="43" t="str">
        <f t="shared" si="53"/>
        <v/>
      </c>
      <c r="AM115" s="43" t="str">
        <f t="shared" si="53"/>
        <v/>
      </c>
      <c r="AN115" s="43" t="str">
        <f t="shared" si="53"/>
        <v/>
      </c>
      <c r="AO115" s="43" t="str">
        <f t="shared" si="53"/>
        <v/>
      </c>
      <c r="AP115" s="43" t="str">
        <f t="shared" si="53"/>
        <v/>
      </c>
      <c r="AQ115" s="43" t="str">
        <f t="shared" si="53"/>
        <v/>
      </c>
      <c r="AR115" s="43" t="str">
        <f t="shared" si="53"/>
        <v/>
      </c>
      <c r="AS115" s="43" t="str">
        <f t="shared" si="53"/>
        <v/>
      </c>
      <c r="AT115" s="43" t="str">
        <f t="shared" si="53"/>
        <v/>
      </c>
      <c r="AU115" s="43" t="str">
        <f t="shared" si="53"/>
        <v/>
      </c>
      <c r="AV115" s="43" t="str">
        <f t="shared" si="54"/>
        <v/>
      </c>
      <c r="AW115" s="43" t="str">
        <f t="shared" si="54"/>
        <v/>
      </c>
      <c r="AX115" s="43" t="str">
        <f t="shared" si="54"/>
        <v/>
      </c>
      <c r="AY115" s="43" t="str">
        <f t="shared" si="54"/>
        <v/>
      </c>
      <c r="AZ115" s="43" t="str">
        <f t="shared" si="54"/>
        <v/>
      </c>
      <c r="BA115" s="43" t="str">
        <f t="shared" si="54"/>
        <v/>
      </c>
      <c r="BB115" s="43"/>
      <c r="BC115" s="43"/>
      <c r="BD115" s="43"/>
      <c r="BE115" s="43"/>
      <c r="BF115" s="43"/>
      <c r="BG115" s="43"/>
      <c r="BW115" s="1250"/>
    </row>
    <row r="116" spans="1:75" x14ac:dyDescent="0.25">
      <c r="A116" s="1251"/>
      <c r="B116" s="462">
        <v>110</v>
      </c>
      <c r="C116" s="462"/>
      <c r="D116" s="1244"/>
      <c r="E116" s="1050"/>
      <c r="F116" s="1244"/>
      <c r="H116" s="43" t="str">
        <f t="shared" si="50"/>
        <v/>
      </c>
      <c r="I116" s="43" t="str">
        <f t="shared" si="50"/>
        <v/>
      </c>
      <c r="J116" s="43" t="str">
        <f t="shared" si="50"/>
        <v/>
      </c>
      <c r="K116" s="43" t="str">
        <f t="shared" si="50"/>
        <v/>
      </c>
      <c r="L116" s="43" t="str">
        <f t="shared" si="50"/>
        <v/>
      </c>
      <c r="M116" s="43" t="str">
        <f t="shared" si="50"/>
        <v/>
      </c>
      <c r="N116" s="43" t="str">
        <f t="shared" si="50"/>
        <v/>
      </c>
      <c r="O116" s="43" t="str">
        <f t="shared" si="50"/>
        <v/>
      </c>
      <c r="P116" s="43" t="str">
        <f t="shared" si="50"/>
        <v/>
      </c>
      <c r="Q116" s="43" t="str">
        <f t="shared" si="50"/>
        <v/>
      </c>
      <c r="R116" s="43" t="str">
        <f t="shared" si="51"/>
        <v/>
      </c>
      <c r="S116" s="43" t="str">
        <f t="shared" si="51"/>
        <v/>
      </c>
      <c r="T116" s="43" t="str">
        <f t="shared" si="51"/>
        <v/>
      </c>
      <c r="U116" s="43" t="str">
        <f t="shared" si="51"/>
        <v/>
      </c>
      <c r="V116" s="43" t="str">
        <f t="shared" si="51"/>
        <v/>
      </c>
      <c r="W116" s="43" t="str">
        <f t="shared" si="51"/>
        <v/>
      </c>
      <c r="X116" s="43" t="str">
        <f t="shared" si="51"/>
        <v/>
      </c>
      <c r="Y116" s="43" t="str">
        <f t="shared" si="51"/>
        <v/>
      </c>
      <c r="Z116" s="43" t="str">
        <f t="shared" si="51"/>
        <v/>
      </c>
      <c r="AA116" s="43" t="str">
        <f t="shared" si="51"/>
        <v/>
      </c>
      <c r="AB116" s="43" t="str">
        <f t="shared" si="52"/>
        <v/>
      </c>
      <c r="AC116" s="43" t="str">
        <f t="shared" si="52"/>
        <v/>
      </c>
      <c r="AD116" s="43" t="str">
        <f t="shared" si="52"/>
        <v/>
      </c>
      <c r="AE116" s="43" t="str">
        <f t="shared" si="52"/>
        <v/>
      </c>
      <c r="AF116" s="43" t="str">
        <f t="shared" si="52"/>
        <v/>
      </c>
      <c r="AG116" s="43" t="str">
        <f t="shared" si="52"/>
        <v/>
      </c>
      <c r="AH116" s="43" t="str">
        <f t="shared" si="52"/>
        <v/>
      </c>
      <c r="AI116" s="43" t="str">
        <f t="shared" si="52"/>
        <v/>
      </c>
      <c r="AJ116" s="43" t="str">
        <f t="shared" si="52"/>
        <v/>
      </c>
      <c r="AK116" s="43" t="str">
        <f t="shared" si="52"/>
        <v/>
      </c>
      <c r="AL116" s="43" t="str">
        <f t="shared" si="53"/>
        <v/>
      </c>
      <c r="AM116" s="43" t="str">
        <f t="shared" si="53"/>
        <v/>
      </c>
      <c r="AN116" s="43" t="str">
        <f t="shared" si="53"/>
        <v/>
      </c>
      <c r="AO116" s="43" t="str">
        <f t="shared" si="53"/>
        <v/>
      </c>
      <c r="AP116" s="43" t="str">
        <f t="shared" si="53"/>
        <v/>
      </c>
      <c r="AQ116" s="43" t="str">
        <f t="shared" si="53"/>
        <v/>
      </c>
      <c r="AR116" s="43" t="str">
        <f t="shared" si="53"/>
        <v/>
      </c>
      <c r="AS116" s="43" t="str">
        <f t="shared" si="53"/>
        <v/>
      </c>
      <c r="AT116" s="43" t="str">
        <f t="shared" si="53"/>
        <v/>
      </c>
      <c r="AU116" s="43" t="str">
        <f t="shared" si="53"/>
        <v/>
      </c>
      <c r="AV116" s="43" t="str">
        <f t="shared" si="54"/>
        <v/>
      </c>
      <c r="AW116" s="43" t="str">
        <f t="shared" si="54"/>
        <v/>
      </c>
      <c r="AX116" s="43" t="str">
        <f t="shared" si="54"/>
        <v/>
      </c>
      <c r="AY116" s="43" t="str">
        <f t="shared" si="54"/>
        <v/>
      </c>
      <c r="AZ116" s="43" t="str">
        <f t="shared" si="54"/>
        <v/>
      </c>
      <c r="BA116" s="43" t="str">
        <f t="shared" si="54"/>
        <v/>
      </c>
      <c r="BB116" s="43"/>
      <c r="BC116" s="43"/>
      <c r="BD116" s="43"/>
      <c r="BE116" s="43"/>
      <c r="BF116" s="43"/>
      <c r="BG116" s="43"/>
      <c r="BW116" s="1250"/>
    </row>
    <row r="117" spans="1:75" x14ac:dyDescent="0.25">
      <c r="A117" s="1251"/>
      <c r="B117" s="462">
        <v>111</v>
      </c>
      <c r="C117" s="462"/>
      <c r="D117" s="1244"/>
      <c r="E117" s="1050"/>
      <c r="F117" s="1244"/>
      <c r="H117" s="43" t="str">
        <f t="shared" ref="H117:Q126" si="55">IF($D117=H$6,$B117&amp;", ","")</f>
        <v/>
      </c>
      <c r="I117" s="43" t="str">
        <f t="shared" si="55"/>
        <v/>
      </c>
      <c r="J117" s="43" t="str">
        <f t="shared" si="55"/>
        <v/>
      </c>
      <c r="K117" s="43" t="str">
        <f t="shared" si="55"/>
        <v/>
      </c>
      <c r="L117" s="43" t="str">
        <f t="shared" si="55"/>
        <v/>
      </c>
      <c r="M117" s="43" t="str">
        <f t="shared" si="55"/>
        <v/>
      </c>
      <c r="N117" s="43" t="str">
        <f t="shared" si="55"/>
        <v/>
      </c>
      <c r="O117" s="43" t="str">
        <f t="shared" si="55"/>
        <v/>
      </c>
      <c r="P117" s="43" t="str">
        <f t="shared" si="55"/>
        <v/>
      </c>
      <c r="Q117" s="43" t="str">
        <f t="shared" si="55"/>
        <v/>
      </c>
      <c r="R117" s="43" t="str">
        <f t="shared" ref="R117:AA126" si="56">IF($D117=R$6,$B117&amp;", ","")</f>
        <v/>
      </c>
      <c r="S117" s="43" t="str">
        <f t="shared" si="56"/>
        <v/>
      </c>
      <c r="T117" s="43" t="str">
        <f t="shared" si="56"/>
        <v/>
      </c>
      <c r="U117" s="43" t="str">
        <f t="shared" si="56"/>
        <v/>
      </c>
      <c r="V117" s="43" t="str">
        <f t="shared" si="56"/>
        <v/>
      </c>
      <c r="W117" s="43" t="str">
        <f t="shared" si="56"/>
        <v/>
      </c>
      <c r="X117" s="43" t="str">
        <f t="shared" si="56"/>
        <v/>
      </c>
      <c r="Y117" s="43" t="str">
        <f t="shared" si="56"/>
        <v/>
      </c>
      <c r="Z117" s="43" t="str">
        <f t="shared" si="56"/>
        <v/>
      </c>
      <c r="AA117" s="43" t="str">
        <f t="shared" si="56"/>
        <v/>
      </c>
      <c r="AB117" s="43" t="str">
        <f t="shared" ref="AB117:AK126" si="57">IF($D117=AB$6,$B117&amp;", ","")</f>
        <v/>
      </c>
      <c r="AC117" s="43" t="str">
        <f t="shared" si="57"/>
        <v/>
      </c>
      <c r="AD117" s="43" t="str">
        <f t="shared" si="57"/>
        <v/>
      </c>
      <c r="AE117" s="43" t="str">
        <f t="shared" si="57"/>
        <v/>
      </c>
      <c r="AF117" s="43" t="str">
        <f t="shared" si="57"/>
        <v/>
      </c>
      <c r="AG117" s="43" t="str">
        <f t="shared" si="57"/>
        <v/>
      </c>
      <c r="AH117" s="43" t="str">
        <f t="shared" si="57"/>
        <v/>
      </c>
      <c r="AI117" s="43" t="str">
        <f t="shared" si="57"/>
        <v/>
      </c>
      <c r="AJ117" s="43" t="str">
        <f t="shared" si="57"/>
        <v/>
      </c>
      <c r="AK117" s="43" t="str">
        <f t="shared" si="57"/>
        <v/>
      </c>
      <c r="AL117" s="43" t="str">
        <f t="shared" ref="AL117:AU126" si="58">IF($D117=AL$6,$B117&amp;", ","")</f>
        <v/>
      </c>
      <c r="AM117" s="43" t="str">
        <f t="shared" si="58"/>
        <v/>
      </c>
      <c r="AN117" s="43" t="str">
        <f t="shared" si="58"/>
        <v/>
      </c>
      <c r="AO117" s="43" t="str">
        <f t="shared" si="58"/>
        <v/>
      </c>
      <c r="AP117" s="43" t="str">
        <f t="shared" si="58"/>
        <v/>
      </c>
      <c r="AQ117" s="43" t="str">
        <f t="shared" si="58"/>
        <v/>
      </c>
      <c r="AR117" s="43" t="str">
        <f t="shared" si="58"/>
        <v/>
      </c>
      <c r="AS117" s="43" t="str">
        <f t="shared" si="58"/>
        <v/>
      </c>
      <c r="AT117" s="43" t="str">
        <f t="shared" si="58"/>
        <v/>
      </c>
      <c r="AU117" s="43" t="str">
        <f t="shared" si="58"/>
        <v/>
      </c>
      <c r="AV117" s="43" t="str">
        <f t="shared" ref="AV117:BA126" si="59">IF($D117=AV$6,$B117&amp;", ","")</f>
        <v/>
      </c>
      <c r="AW117" s="43" t="str">
        <f t="shared" si="59"/>
        <v/>
      </c>
      <c r="AX117" s="43" t="str">
        <f t="shared" si="59"/>
        <v/>
      </c>
      <c r="AY117" s="43" t="str">
        <f t="shared" si="59"/>
        <v/>
      </c>
      <c r="AZ117" s="43" t="str">
        <f t="shared" si="59"/>
        <v/>
      </c>
      <c r="BA117" s="43" t="str">
        <f t="shared" si="59"/>
        <v/>
      </c>
      <c r="BB117" s="43"/>
      <c r="BC117" s="43"/>
      <c r="BD117" s="43"/>
      <c r="BE117" s="43"/>
      <c r="BF117" s="43"/>
      <c r="BG117" s="43"/>
      <c r="BW117" s="1250"/>
    </row>
    <row r="118" spans="1:75" x14ac:dyDescent="0.25">
      <c r="A118" s="1251"/>
      <c r="B118" s="462">
        <v>112</v>
      </c>
      <c r="C118" s="462"/>
      <c r="D118" s="1244"/>
      <c r="E118" s="1050"/>
      <c r="F118" s="1244"/>
      <c r="H118" s="43" t="str">
        <f t="shared" si="55"/>
        <v/>
      </c>
      <c r="I118" s="43" t="str">
        <f t="shared" si="55"/>
        <v/>
      </c>
      <c r="J118" s="43" t="str">
        <f t="shared" si="55"/>
        <v/>
      </c>
      <c r="K118" s="43" t="str">
        <f t="shared" si="55"/>
        <v/>
      </c>
      <c r="L118" s="43" t="str">
        <f t="shared" si="55"/>
        <v/>
      </c>
      <c r="M118" s="43" t="str">
        <f t="shared" si="55"/>
        <v/>
      </c>
      <c r="N118" s="43" t="str">
        <f t="shared" si="55"/>
        <v/>
      </c>
      <c r="O118" s="43" t="str">
        <f t="shared" si="55"/>
        <v/>
      </c>
      <c r="P118" s="43" t="str">
        <f t="shared" si="55"/>
        <v/>
      </c>
      <c r="Q118" s="43" t="str">
        <f t="shared" si="55"/>
        <v/>
      </c>
      <c r="R118" s="43" t="str">
        <f t="shared" si="56"/>
        <v/>
      </c>
      <c r="S118" s="43" t="str">
        <f t="shared" si="56"/>
        <v/>
      </c>
      <c r="T118" s="43" t="str">
        <f t="shared" si="56"/>
        <v/>
      </c>
      <c r="U118" s="43" t="str">
        <f t="shared" si="56"/>
        <v/>
      </c>
      <c r="V118" s="43" t="str">
        <f t="shared" si="56"/>
        <v/>
      </c>
      <c r="W118" s="43" t="str">
        <f t="shared" si="56"/>
        <v/>
      </c>
      <c r="X118" s="43" t="str">
        <f t="shared" si="56"/>
        <v/>
      </c>
      <c r="Y118" s="43" t="str">
        <f t="shared" si="56"/>
        <v/>
      </c>
      <c r="Z118" s="43" t="str">
        <f t="shared" si="56"/>
        <v/>
      </c>
      <c r="AA118" s="43" t="str">
        <f t="shared" si="56"/>
        <v/>
      </c>
      <c r="AB118" s="43" t="str">
        <f t="shared" si="57"/>
        <v/>
      </c>
      <c r="AC118" s="43" t="str">
        <f t="shared" si="57"/>
        <v/>
      </c>
      <c r="AD118" s="43" t="str">
        <f t="shared" si="57"/>
        <v/>
      </c>
      <c r="AE118" s="43" t="str">
        <f t="shared" si="57"/>
        <v/>
      </c>
      <c r="AF118" s="43" t="str">
        <f t="shared" si="57"/>
        <v/>
      </c>
      <c r="AG118" s="43" t="str">
        <f t="shared" si="57"/>
        <v/>
      </c>
      <c r="AH118" s="43" t="str">
        <f t="shared" si="57"/>
        <v/>
      </c>
      <c r="AI118" s="43" t="str">
        <f t="shared" si="57"/>
        <v/>
      </c>
      <c r="AJ118" s="43" t="str">
        <f t="shared" si="57"/>
        <v/>
      </c>
      <c r="AK118" s="43" t="str">
        <f t="shared" si="57"/>
        <v/>
      </c>
      <c r="AL118" s="43" t="str">
        <f t="shared" si="58"/>
        <v/>
      </c>
      <c r="AM118" s="43" t="str">
        <f t="shared" si="58"/>
        <v/>
      </c>
      <c r="AN118" s="43" t="str">
        <f t="shared" si="58"/>
        <v/>
      </c>
      <c r="AO118" s="43" t="str">
        <f t="shared" si="58"/>
        <v/>
      </c>
      <c r="AP118" s="43" t="str">
        <f t="shared" si="58"/>
        <v/>
      </c>
      <c r="AQ118" s="43" t="str">
        <f t="shared" si="58"/>
        <v/>
      </c>
      <c r="AR118" s="43" t="str">
        <f t="shared" si="58"/>
        <v/>
      </c>
      <c r="AS118" s="43" t="str">
        <f t="shared" si="58"/>
        <v/>
      </c>
      <c r="AT118" s="43" t="str">
        <f t="shared" si="58"/>
        <v/>
      </c>
      <c r="AU118" s="43" t="str">
        <f t="shared" si="58"/>
        <v/>
      </c>
      <c r="AV118" s="43" t="str">
        <f t="shared" si="59"/>
        <v/>
      </c>
      <c r="AW118" s="43" t="str">
        <f t="shared" si="59"/>
        <v/>
      </c>
      <c r="AX118" s="43" t="str">
        <f t="shared" si="59"/>
        <v/>
      </c>
      <c r="AY118" s="43" t="str">
        <f t="shared" si="59"/>
        <v/>
      </c>
      <c r="AZ118" s="43" t="str">
        <f t="shared" si="59"/>
        <v/>
      </c>
      <c r="BA118" s="43" t="str">
        <f t="shared" si="59"/>
        <v/>
      </c>
      <c r="BB118" s="43"/>
      <c r="BC118" s="43"/>
      <c r="BD118" s="43"/>
      <c r="BE118" s="43"/>
      <c r="BF118" s="43"/>
      <c r="BG118" s="43"/>
      <c r="BW118" s="1250"/>
    </row>
    <row r="119" spans="1:75" x14ac:dyDescent="0.25">
      <c r="A119" s="1251"/>
      <c r="B119" s="462">
        <v>113</v>
      </c>
      <c r="C119" s="462"/>
      <c r="D119" s="1244"/>
      <c r="E119" s="1050"/>
      <c r="F119" s="1244"/>
      <c r="H119" s="43" t="str">
        <f t="shared" si="55"/>
        <v/>
      </c>
      <c r="I119" s="43" t="str">
        <f t="shared" si="55"/>
        <v/>
      </c>
      <c r="J119" s="43" t="str">
        <f t="shared" si="55"/>
        <v/>
      </c>
      <c r="K119" s="43" t="str">
        <f t="shared" si="55"/>
        <v/>
      </c>
      <c r="L119" s="43" t="str">
        <f t="shared" si="55"/>
        <v/>
      </c>
      <c r="M119" s="43" t="str">
        <f t="shared" si="55"/>
        <v/>
      </c>
      <c r="N119" s="43" t="str">
        <f t="shared" si="55"/>
        <v/>
      </c>
      <c r="O119" s="43" t="str">
        <f t="shared" si="55"/>
        <v/>
      </c>
      <c r="P119" s="43" t="str">
        <f t="shared" si="55"/>
        <v/>
      </c>
      <c r="Q119" s="43" t="str">
        <f t="shared" si="55"/>
        <v/>
      </c>
      <c r="R119" s="43" t="str">
        <f t="shared" si="56"/>
        <v/>
      </c>
      <c r="S119" s="43" t="str">
        <f t="shared" si="56"/>
        <v/>
      </c>
      <c r="T119" s="43" t="str">
        <f t="shared" si="56"/>
        <v/>
      </c>
      <c r="U119" s="43" t="str">
        <f t="shared" si="56"/>
        <v/>
      </c>
      <c r="V119" s="43" t="str">
        <f t="shared" si="56"/>
        <v/>
      </c>
      <c r="W119" s="43" t="str">
        <f t="shared" si="56"/>
        <v/>
      </c>
      <c r="X119" s="43" t="str">
        <f t="shared" si="56"/>
        <v/>
      </c>
      <c r="Y119" s="43" t="str">
        <f t="shared" si="56"/>
        <v/>
      </c>
      <c r="Z119" s="43" t="str">
        <f t="shared" si="56"/>
        <v/>
      </c>
      <c r="AA119" s="43" t="str">
        <f t="shared" si="56"/>
        <v/>
      </c>
      <c r="AB119" s="43" t="str">
        <f t="shared" si="57"/>
        <v/>
      </c>
      <c r="AC119" s="43" t="str">
        <f t="shared" si="57"/>
        <v/>
      </c>
      <c r="AD119" s="43" t="str">
        <f t="shared" si="57"/>
        <v/>
      </c>
      <c r="AE119" s="43" t="str">
        <f t="shared" si="57"/>
        <v/>
      </c>
      <c r="AF119" s="43" t="str">
        <f t="shared" si="57"/>
        <v/>
      </c>
      <c r="AG119" s="43" t="str">
        <f t="shared" si="57"/>
        <v/>
      </c>
      <c r="AH119" s="43" t="str">
        <f t="shared" si="57"/>
        <v/>
      </c>
      <c r="AI119" s="43" t="str">
        <f t="shared" si="57"/>
        <v/>
      </c>
      <c r="AJ119" s="43" t="str">
        <f t="shared" si="57"/>
        <v/>
      </c>
      <c r="AK119" s="43" t="str">
        <f t="shared" si="57"/>
        <v/>
      </c>
      <c r="AL119" s="43" t="str">
        <f t="shared" si="58"/>
        <v/>
      </c>
      <c r="AM119" s="43" t="str">
        <f t="shared" si="58"/>
        <v/>
      </c>
      <c r="AN119" s="43" t="str">
        <f t="shared" si="58"/>
        <v/>
      </c>
      <c r="AO119" s="43" t="str">
        <f t="shared" si="58"/>
        <v/>
      </c>
      <c r="AP119" s="43" t="str">
        <f t="shared" si="58"/>
        <v/>
      </c>
      <c r="AQ119" s="43" t="str">
        <f t="shared" si="58"/>
        <v/>
      </c>
      <c r="AR119" s="43" t="str">
        <f t="shared" si="58"/>
        <v/>
      </c>
      <c r="AS119" s="43" t="str">
        <f t="shared" si="58"/>
        <v/>
      </c>
      <c r="AT119" s="43" t="str">
        <f t="shared" si="58"/>
        <v/>
      </c>
      <c r="AU119" s="43" t="str">
        <f t="shared" si="58"/>
        <v/>
      </c>
      <c r="AV119" s="43" t="str">
        <f t="shared" si="59"/>
        <v/>
      </c>
      <c r="AW119" s="43" t="str">
        <f t="shared" si="59"/>
        <v/>
      </c>
      <c r="AX119" s="43" t="str">
        <f t="shared" si="59"/>
        <v/>
      </c>
      <c r="AY119" s="43" t="str">
        <f t="shared" si="59"/>
        <v/>
      </c>
      <c r="AZ119" s="43" t="str">
        <f t="shared" si="59"/>
        <v/>
      </c>
      <c r="BA119" s="43" t="str">
        <f t="shared" si="59"/>
        <v/>
      </c>
      <c r="BB119" s="43"/>
      <c r="BC119" s="43"/>
      <c r="BD119" s="43"/>
      <c r="BE119" s="43"/>
      <c r="BF119" s="43"/>
      <c r="BG119" s="43"/>
      <c r="BW119" s="1250"/>
    </row>
    <row r="120" spans="1:75" x14ac:dyDescent="0.25">
      <c r="A120" s="1251"/>
      <c r="B120" s="462">
        <v>114</v>
      </c>
      <c r="C120" s="462"/>
      <c r="D120" s="1244"/>
      <c r="E120" s="1050"/>
      <c r="F120" s="1244"/>
      <c r="H120" s="43" t="str">
        <f t="shared" si="55"/>
        <v/>
      </c>
      <c r="I120" s="43" t="str">
        <f t="shared" si="55"/>
        <v/>
      </c>
      <c r="J120" s="43" t="str">
        <f t="shared" si="55"/>
        <v/>
      </c>
      <c r="K120" s="43" t="str">
        <f t="shared" si="55"/>
        <v/>
      </c>
      <c r="L120" s="43" t="str">
        <f t="shared" si="55"/>
        <v/>
      </c>
      <c r="M120" s="43" t="str">
        <f t="shared" si="55"/>
        <v/>
      </c>
      <c r="N120" s="43" t="str">
        <f t="shared" si="55"/>
        <v/>
      </c>
      <c r="O120" s="43" t="str">
        <f t="shared" si="55"/>
        <v/>
      </c>
      <c r="P120" s="43" t="str">
        <f t="shared" si="55"/>
        <v/>
      </c>
      <c r="Q120" s="43" t="str">
        <f t="shared" si="55"/>
        <v/>
      </c>
      <c r="R120" s="43" t="str">
        <f t="shared" si="56"/>
        <v/>
      </c>
      <c r="S120" s="43" t="str">
        <f t="shared" si="56"/>
        <v/>
      </c>
      <c r="T120" s="43" t="str">
        <f t="shared" si="56"/>
        <v/>
      </c>
      <c r="U120" s="43" t="str">
        <f t="shared" si="56"/>
        <v/>
      </c>
      <c r="V120" s="43" t="str">
        <f t="shared" si="56"/>
        <v/>
      </c>
      <c r="W120" s="43" t="str">
        <f t="shared" si="56"/>
        <v/>
      </c>
      <c r="X120" s="43" t="str">
        <f t="shared" si="56"/>
        <v/>
      </c>
      <c r="Y120" s="43" t="str">
        <f t="shared" si="56"/>
        <v/>
      </c>
      <c r="Z120" s="43" t="str">
        <f t="shared" si="56"/>
        <v/>
      </c>
      <c r="AA120" s="43" t="str">
        <f t="shared" si="56"/>
        <v/>
      </c>
      <c r="AB120" s="43" t="str">
        <f t="shared" si="57"/>
        <v/>
      </c>
      <c r="AC120" s="43" t="str">
        <f t="shared" si="57"/>
        <v/>
      </c>
      <c r="AD120" s="43" t="str">
        <f t="shared" si="57"/>
        <v/>
      </c>
      <c r="AE120" s="43" t="str">
        <f t="shared" si="57"/>
        <v/>
      </c>
      <c r="AF120" s="43" t="str">
        <f t="shared" si="57"/>
        <v/>
      </c>
      <c r="AG120" s="43" t="str">
        <f t="shared" si="57"/>
        <v/>
      </c>
      <c r="AH120" s="43" t="str">
        <f t="shared" si="57"/>
        <v/>
      </c>
      <c r="AI120" s="43" t="str">
        <f t="shared" si="57"/>
        <v/>
      </c>
      <c r="AJ120" s="43" t="str">
        <f t="shared" si="57"/>
        <v/>
      </c>
      <c r="AK120" s="43" t="str">
        <f t="shared" si="57"/>
        <v/>
      </c>
      <c r="AL120" s="43" t="str">
        <f t="shared" si="58"/>
        <v/>
      </c>
      <c r="AM120" s="43" t="str">
        <f t="shared" si="58"/>
        <v/>
      </c>
      <c r="AN120" s="43" t="str">
        <f t="shared" si="58"/>
        <v/>
      </c>
      <c r="AO120" s="43" t="str">
        <f t="shared" si="58"/>
        <v/>
      </c>
      <c r="AP120" s="43" t="str">
        <f t="shared" si="58"/>
        <v/>
      </c>
      <c r="AQ120" s="43" t="str">
        <f t="shared" si="58"/>
        <v/>
      </c>
      <c r="AR120" s="43" t="str">
        <f t="shared" si="58"/>
        <v/>
      </c>
      <c r="AS120" s="43" t="str">
        <f t="shared" si="58"/>
        <v/>
      </c>
      <c r="AT120" s="43" t="str">
        <f t="shared" si="58"/>
        <v/>
      </c>
      <c r="AU120" s="43" t="str">
        <f t="shared" si="58"/>
        <v/>
      </c>
      <c r="AV120" s="43" t="str">
        <f t="shared" si="59"/>
        <v/>
      </c>
      <c r="AW120" s="43" t="str">
        <f t="shared" si="59"/>
        <v/>
      </c>
      <c r="AX120" s="43" t="str">
        <f t="shared" si="59"/>
        <v/>
      </c>
      <c r="AY120" s="43" t="str">
        <f t="shared" si="59"/>
        <v/>
      </c>
      <c r="AZ120" s="43" t="str">
        <f t="shared" si="59"/>
        <v/>
      </c>
      <c r="BA120" s="43" t="str">
        <f t="shared" si="59"/>
        <v/>
      </c>
      <c r="BB120" s="43"/>
      <c r="BC120" s="43"/>
      <c r="BD120" s="43"/>
      <c r="BE120" s="43"/>
      <c r="BF120" s="43"/>
      <c r="BG120" s="43"/>
      <c r="BW120" s="1250"/>
    </row>
    <row r="121" spans="1:75" x14ac:dyDescent="0.25">
      <c r="A121" s="1251"/>
      <c r="B121" s="462">
        <v>115</v>
      </c>
      <c r="C121" s="462"/>
      <c r="D121" s="1244"/>
      <c r="E121" s="1050"/>
      <c r="F121" s="1244"/>
      <c r="H121" s="43" t="str">
        <f t="shared" si="55"/>
        <v/>
      </c>
      <c r="I121" s="43" t="str">
        <f t="shared" si="55"/>
        <v/>
      </c>
      <c r="J121" s="43" t="str">
        <f t="shared" si="55"/>
        <v/>
      </c>
      <c r="K121" s="43" t="str">
        <f t="shared" si="55"/>
        <v/>
      </c>
      <c r="L121" s="43" t="str">
        <f t="shared" si="55"/>
        <v/>
      </c>
      <c r="M121" s="43" t="str">
        <f t="shared" si="55"/>
        <v/>
      </c>
      <c r="N121" s="43" t="str">
        <f t="shared" si="55"/>
        <v/>
      </c>
      <c r="O121" s="43" t="str">
        <f t="shared" si="55"/>
        <v/>
      </c>
      <c r="P121" s="43" t="str">
        <f t="shared" si="55"/>
        <v/>
      </c>
      <c r="Q121" s="43" t="str">
        <f t="shared" si="55"/>
        <v/>
      </c>
      <c r="R121" s="43" t="str">
        <f t="shared" si="56"/>
        <v/>
      </c>
      <c r="S121" s="43" t="str">
        <f t="shared" si="56"/>
        <v/>
      </c>
      <c r="T121" s="43" t="str">
        <f t="shared" si="56"/>
        <v/>
      </c>
      <c r="U121" s="43" t="str">
        <f t="shared" si="56"/>
        <v/>
      </c>
      <c r="V121" s="43" t="str">
        <f t="shared" si="56"/>
        <v/>
      </c>
      <c r="W121" s="43" t="str">
        <f t="shared" si="56"/>
        <v/>
      </c>
      <c r="X121" s="43" t="str">
        <f t="shared" si="56"/>
        <v/>
      </c>
      <c r="Y121" s="43" t="str">
        <f t="shared" si="56"/>
        <v/>
      </c>
      <c r="Z121" s="43" t="str">
        <f t="shared" si="56"/>
        <v/>
      </c>
      <c r="AA121" s="43" t="str">
        <f t="shared" si="56"/>
        <v/>
      </c>
      <c r="AB121" s="43" t="str">
        <f t="shared" si="57"/>
        <v/>
      </c>
      <c r="AC121" s="43" t="str">
        <f t="shared" si="57"/>
        <v/>
      </c>
      <c r="AD121" s="43" t="str">
        <f t="shared" si="57"/>
        <v/>
      </c>
      <c r="AE121" s="43" t="str">
        <f t="shared" si="57"/>
        <v/>
      </c>
      <c r="AF121" s="43" t="str">
        <f t="shared" si="57"/>
        <v/>
      </c>
      <c r="AG121" s="43" t="str">
        <f t="shared" si="57"/>
        <v/>
      </c>
      <c r="AH121" s="43" t="str">
        <f t="shared" si="57"/>
        <v/>
      </c>
      <c r="AI121" s="43" t="str">
        <f t="shared" si="57"/>
        <v/>
      </c>
      <c r="AJ121" s="43" t="str">
        <f t="shared" si="57"/>
        <v/>
      </c>
      <c r="AK121" s="43" t="str">
        <f t="shared" si="57"/>
        <v/>
      </c>
      <c r="AL121" s="43" t="str">
        <f t="shared" si="58"/>
        <v/>
      </c>
      <c r="AM121" s="43" t="str">
        <f t="shared" si="58"/>
        <v/>
      </c>
      <c r="AN121" s="43" t="str">
        <f t="shared" si="58"/>
        <v/>
      </c>
      <c r="AO121" s="43" t="str">
        <f t="shared" si="58"/>
        <v/>
      </c>
      <c r="AP121" s="43" t="str">
        <f t="shared" si="58"/>
        <v/>
      </c>
      <c r="AQ121" s="43" t="str">
        <f t="shared" si="58"/>
        <v/>
      </c>
      <c r="AR121" s="43" t="str">
        <f t="shared" si="58"/>
        <v/>
      </c>
      <c r="AS121" s="43" t="str">
        <f t="shared" si="58"/>
        <v/>
      </c>
      <c r="AT121" s="43" t="str">
        <f t="shared" si="58"/>
        <v/>
      </c>
      <c r="AU121" s="43" t="str">
        <f t="shared" si="58"/>
        <v/>
      </c>
      <c r="AV121" s="43" t="str">
        <f t="shared" si="59"/>
        <v/>
      </c>
      <c r="AW121" s="43" t="str">
        <f t="shared" si="59"/>
        <v/>
      </c>
      <c r="AX121" s="43" t="str">
        <f t="shared" si="59"/>
        <v/>
      </c>
      <c r="AY121" s="43" t="str">
        <f t="shared" si="59"/>
        <v/>
      </c>
      <c r="AZ121" s="43" t="str">
        <f t="shared" si="59"/>
        <v/>
      </c>
      <c r="BA121" s="43" t="str">
        <f t="shared" si="59"/>
        <v/>
      </c>
      <c r="BB121" s="43"/>
      <c r="BC121" s="43"/>
      <c r="BD121" s="43"/>
      <c r="BE121" s="43"/>
      <c r="BF121" s="43"/>
      <c r="BG121" s="43"/>
      <c r="BW121" s="1250"/>
    </row>
    <row r="122" spans="1:75" x14ac:dyDescent="0.25">
      <c r="A122" s="1251"/>
      <c r="B122" s="462">
        <v>116</v>
      </c>
      <c r="C122" s="462"/>
      <c r="D122" s="1244"/>
      <c r="E122" s="1050"/>
      <c r="F122" s="1244"/>
      <c r="H122" s="43" t="str">
        <f t="shared" si="55"/>
        <v/>
      </c>
      <c r="I122" s="43" t="str">
        <f t="shared" si="55"/>
        <v/>
      </c>
      <c r="J122" s="43" t="str">
        <f t="shared" si="55"/>
        <v/>
      </c>
      <c r="K122" s="43" t="str">
        <f t="shared" si="55"/>
        <v/>
      </c>
      <c r="L122" s="43" t="str">
        <f t="shared" si="55"/>
        <v/>
      </c>
      <c r="M122" s="43" t="str">
        <f t="shared" si="55"/>
        <v/>
      </c>
      <c r="N122" s="43" t="str">
        <f t="shared" si="55"/>
        <v/>
      </c>
      <c r="O122" s="43" t="str">
        <f t="shared" si="55"/>
        <v/>
      </c>
      <c r="P122" s="43" t="str">
        <f t="shared" si="55"/>
        <v/>
      </c>
      <c r="Q122" s="43" t="str">
        <f t="shared" si="55"/>
        <v/>
      </c>
      <c r="R122" s="43" t="str">
        <f t="shared" si="56"/>
        <v/>
      </c>
      <c r="S122" s="43" t="str">
        <f t="shared" si="56"/>
        <v/>
      </c>
      <c r="T122" s="43" t="str">
        <f t="shared" si="56"/>
        <v/>
      </c>
      <c r="U122" s="43" t="str">
        <f t="shared" si="56"/>
        <v/>
      </c>
      <c r="V122" s="43" t="str">
        <f t="shared" si="56"/>
        <v/>
      </c>
      <c r="W122" s="43" t="str">
        <f t="shared" si="56"/>
        <v/>
      </c>
      <c r="X122" s="43" t="str">
        <f t="shared" si="56"/>
        <v/>
      </c>
      <c r="Y122" s="43" t="str">
        <f t="shared" si="56"/>
        <v/>
      </c>
      <c r="Z122" s="43" t="str">
        <f t="shared" si="56"/>
        <v/>
      </c>
      <c r="AA122" s="43" t="str">
        <f t="shared" si="56"/>
        <v/>
      </c>
      <c r="AB122" s="43" t="str">
        <f t="shared" si="57"/>
        <v/>
      </c>
      <c r="AC122" s="43" t="str">
        <f t="shared" si="57"/>
        <v/>
      </c>
      <c r="AD122" s="43" t="str">
        <f t="shared" si="57"/>
        <v/>
      </c>
      <c r="AE122" s="43" t="str">
        <f t="shared" si="57"/>
        <v/>
      </c>
      <c r="AF122" s="43" t="str">
        <f t="shared" si="57"/>
        <v/>
      </c>
      <c r="AG122" s="43" t="str">
        <f t="shared" si="57"/>
        <v/>
      </c>
      <c r="AH122" s="43" t="str">
        <f t="shared" si="57"/>
        <v/>
      </c>
      <c r="AI122" s="43" t="str">
        <f t="shared" si="57"/>
        <v/>
      </c>
      <c r="AJ122" s="43" t="str">
        <f t="shared" si="57"/>
        <v/>
      </c>
      <c r="AK122" s="43" t="str">
        <f t="shared" si="57"/>
        <v/>
      </c>
      <c r="AL122" s="43" t="str">
        <f t="shared" si="58"/>
        <v/>
      </c>
      <c r="AM122" s="43" t="str">
        <f t="shared" si="58"/>
        <v/>
      </c>
      <c r="AN122" s="43" t="str">
        <f t="shared" si="58"/>
        <v/>
      </c>
      <c r="AO122" s="43" t="str">
        <f t="shared" si="58"/>
        <v/>
      </c>
      <c r="AP122" s="43" t="str">
        <f t="shared" si="58"/>
        <v/>
      </c>
      <c r="AQ122" s="43" t="str">
        <f t="shared" si="58"/>
        <v/>
      </c>
      <c r="AR122" s="43" t="str">
        <f t="shared" si="58"/>
        <v/>
      </c>
      <c r="AS122" s="43" t="str">
        <f t="shared" si="58"/>
        <v/>
      </c>
      <c r="AT122" s="43" t="str">
        <f t="shared" si="58"/>
        <v/>
      </c>
      <c r="AU122" s="43" t="str">
        <f t="shared" si="58"/>
        <v/>
      </c>
      <c r="AV122" s="43" t="str">
        <f t="shared" si="59"/>
        <v/>
      </c>
      <c r="AW122" s="43" t="str">
        <f t="shared" si="59"/>
        <v/>
      </c>
      <c r="AX122" s="43" t="str">
        <f t="shared" si="59"/>
        <v/>
      </c>
      <c r="AY122" s="43" t="str">
        <f t="shared" si="59"/>
        <v/>
      </c>
      <c r="AZ122" s="43" t="str">
        <f t="shared" si="59"/>
        <v/>
      </c>
      <c r="BA122" s="43" t="str">
        <f t="shared" si="59"/>
        <v/>
      </c>
      <c r="BB122" s="43"/>
      <c r="BC122" s="43"/>
      <c r="BD122" s="43"/>
      <c r="BE122" s="43"/>
      <c r="BF122" s="43"/>
      <c r="BG122" s="43"/>
      <c r="BW122" s="1250"/>
    </row>
    <row r="123" spans="1:75" x14ac:dyDescent="0.25">
      <c r="A123" s="1251"/>
      <c r="B123" s="462">
        <v>117</v>
      </c>
      <c r="C123" s="462"/>
      <c r="D123" s="1244"/>
      <c r="E123" s="1050"/>
      <c r="F123" s="1244"/>
      <c r="H123" s="43" t="str">
        <f t="shared" si="55"/>
        <v/>
      </c>
      <c r="I123" s="43" t="str">
        <f t="shared" si="55"/>
        <v/>
      </c>
      <c r="J123" s="43" t="str">
        <f t="shared" si="55"/>
        <v/>
      </c>
      <c r="K123" s="43" t="str">
        <f t="shared" si="55"/>
        <v/>
      </c>
      <c r="L123" s="43" t="str">
        <f t="shared" si="55"/>
        <v/>
      </c>
      <c r="M123" s="43" t="str">
        <f t="shared" si="55"/>
        <v/>
      </c>
      <c r="N123" s="43" t="str">
        <f t="shared" si="55"/>
        <v/>
      </c>
      <c r="O123" s="43" t="str">
        <f t="shared" si="55"/>
        <v/>
      </c>
      <c r="P123" s="43" t="str">
        <f t="shared" si="55"/>
        <v/>
      </c>
      <c r="Q123" s="43" t="str">
        <f t="shared" si="55"/>
        <v/>
      </c>
      <c r="R123" s="43" t="str">
        <f t="shared" si="56"/>
        <v/>
      </c>
      <c r="S123" s="43" t="str">
        <f t="shared" si="56"/>
        <v/>
      </c>
      <c r="T123" s="43" t="str">
        <f t="shared" si="56"/>
        <v/>
      </c>
      <c r="U123" s="43" t="str">
        <f t="shared" si="56"/>
        <v/>
      </c>
      <c r="V123" s="43" t="str">
        <f t="shared" si="56"/>
        <v/>
      </c>
      <c r="W123" s="43" t="str">
        <f t="shared" si="56"/>
        <v/>
      </c>
      <c r="X123" s="43" t="str">
        <f t="shared" si="56"/>
        <v/>
      </c>
      <c r="Y123" s="43" t="str">
        <f t="shared" si="56"/>
        <v/>
      </c>
      <c r="Z123" s="43" t="str">
        <f t="shared" si="56"/>
        <v/>
      </c>
      <c r="AA123" s="43" t="str">
        <f t="shared" si="56"/>
        <v/>
      </c>
      <c r="AB123" s="43" t="str">
        <f t="shared" si="57"/>
        <v/>
      </c>
      <c r="AC123" s="43" t="str">
        <f t="shared" si="57"/>
        <v/>
      </c>
      <c r="AD123" s="43" t="str">
        <f t="shared" si="57"/>
        <v/>
      </c>
      <c r="AE123" s="43" t="str">
        <f t="shared" si="57"/>
        <v/>
      </c>
      <c r="AF123" s="43" t="str">
        <f t="shared" si="57"/>
        <v/>
      </c>
      <c r="AG123" s="43" t="str">
        <f t="shared" si="57"/>
        <v/>
      </c>
      <c r="AH123" s="43" t="str">
        <f t="shared" si="57"/>
        <v/>
      </c>
      <c r="AI123" s="43" t="str">
        <f t="shared" si="57"/>
        <v/>
      </c>
      <c r="AJ123" s="43" t="str">
        <f t="shared" si="57"/>
        <v/>
      </c>
      <c r="AK123" s="43" t="str">
        <f t="shared" si="57"/>
        <v/>
      </c>
      <c r="AL123" s="43" t="str">
        <f t="shared" si="58"/>
        <v/>
      </c>
      <c r="AM123" s="43" t="str">
        <f t="shared" si="58"/>
        <v/>
      </c>
      <c r="AN123" s="43" t="str">
        <f t="shared" si="58"/>
        <v/>
      </c>
      <c r="AO123" s="43" t="str">
        <f t="shared" si="58"/>
        <v/>
      </c>
      <c r="AP123" s="43" t="str">
        <f t="shared" si="58"/>
        <v/>
      </c>
      <c r="AQ123" s="43" t="str">
        <f t="shared" si="58"/>
        <v/>
      </c>
      <c r="AR123" s="43" t="str">
        <f t="shared" si="58"/>
        <v/>
      </c>
      <c r="AS123" s="43" t="str">
        <f t="shared" si="58"/>
        <v/>
      </c>
      <c r="AT123" s="43" t="str">
        <f t="shared" si="58"/>
        <v/>
      </c>
      <c r="AU123" s="43" t="str">
        <f t="shared" si="58"/>
        <v/>
      </c>
      <c r="AV123" s="43" t="str">
        <f t="shared" si="59"/>
        <v/>
      </c>
      <c r="AW123" s="43" t="str">
        <f t="shared" si="59"/>
        <v/>
      </c>
      <c r="AX123" s="43" t="str">
        <f t="shared" si="59"/>
        <v/>
      </c>
      <c r="AY123" s="43" t="str">
        <f t="shared" si="59"/>
        <v/>
      </c>
      <c r="AZ123" s="43" t="str">
        <f t="shared" si="59"/>
        <v/>
      </c>
      <c r="BA123" s="43" t="str">
        <f t="shared" si="59"/>
        <v/>
      </c>
      <c r="BB123" s="43"/>
      <c r="BC123" s="43"/>
      <c r="BD123" s="43"/>
      <c r="BE123" s="43"/>
      <c r="BF123" s="43"/>
      <c r="BG123" s="43"/>
      <c r="BW123" s="1250"/>
    </row>
    <row r="124" spans="1:75" x14ac:dyDescent="0.25">
      <c r="A124" s="1251"/>
      <c r="B124" s="462">
        <v>118</v>
      </c>
      <c r="C124" s="462"/>
      <c r="D124" s="1244"/>
      <c r="E124" s="1050"/>
      <c r="F124" s="1244"/>
      <c r="H124" s="43" t="str">
        <f t="shared" si="55"/>
        <v/>
      </c>
      <c r="I124" s="43" t="str">
        <f t="shared" si="55"/>
        <v/>
      </c>
      <c r="J124" s="43" t="str">
        <f t="shared" si="55"/>
        <v/>
      </c>
      <c r="K124" s="43" t="str">
        <f t="shared" si="55"/>
        <v/>
      </c>
      <c r="L124" s="43" t="str">
        <f t="shared" si="55"/>
        <v/>
      </c>
      <c r="M124" s="43" t="str">
        <f t="shared" si="55"/>
        <v/>
      </c>
      <c r="N124" s="43" t="str">
        <f t="shared" si="55"/>
        <v/>
      </c>
      <c r="O124" s="43" t="str">
        <f t="shared" si="55"/>
        <v/>
      </c>
      <c r="P124" s="43" t="str">
        <f t="shared" si="55"/>
        <v/>
      </c>
      <c r="Q124" s="43" t="str">
        <f t="shared" si="55"/>
        <v/>
      </c>
      <c r="R124" s="43" t="str">
        <f t="shared" si="56"/>
        <v/>
      </c>
      <c r="S124" s="43" t="str">
        <f t="shared" si="56"/>
        <v/>
      </c>
      <c r="T124" s="43" t="str">
        <f t="shared" si="56"/>
        <v/>
      </c>
      <c r="U124" s="43" t="str">
        <f t="shared" si="56"/>
        <v/>
      </c>
      <c r="V124" s="43" t="str">
        <f t="shared" si="56"/>
        <v/>
      </c>
      <c r="W124" s="43" t="str">
        <f t="shared" si="56"/>
        <v/>
      </c>
      <c r="X124" s="43" t="str">
        <f t="shared" si="56"/>
        <v/>
      </c>
      <c r="Y124" s="43" t="str">
        <f t="shared" si="56"/>
        <v/>
      </c>
      <c r="Z124" s="43" t="str">
        <f t="shared" si="56"/>
        <v/>
      </c>
      <c r="AA124" s="43" t="str">
        <f t="shared" si="56"/>
        <v/>
      </c>
      <c r="AB124" s="43" t="str">
        <f t="shared" si="57"/>
        <v/>
      </c>
      <c r="AC124" s="43" t="str">
        <f t="shared" si="57"/>
        <v/>
      </c>
      <c r="AD124" s="43" t="str">
        <f t="shared" si="57"/>
        <v/>
      </c>
      <c r="AE124" s="43" t="str">
        <f t="shared" si="57"/>
        <v/>
      </c>
      <c r="AF124" s="43" t="str">
        <f t="shared" si="57"/>
        <v/>
      </c>
      <c r="AG124" s="43" t="str">
        <f t="shared" si="57"/>
        <v/>
      </c>
      <c r="AH124" s="43" t="str">
        <f t="shared" si="57"/>
        <v/>
      </c>
      <c r="AI124" s="43" t="str">
        <f t="shared" si="57"/>
        <v/>
      </c>
      <c r="AJ124" s="43" t="str">
        <f t="shared" si="57"/>
        <v/>
      </c>
      <c r="AK124" s="43" t="str">
        <f t="shared" si="57"/>
        <v/>
      </c>
      <c r="AL124" s="43" t="str">
        <f t="shared" si="58"/>
        <v/>
      </c>
      <c r="AM124" s="43" t="str">
        <f t="shared" si="58"/>
        <v/>
      </c>
      <c r="AN124" s="43" t="str">
        <f t="shared" si="58"/>
        <v/>
      </c>
      <c r="AO124" s="43" t="str">
        <f t="shared" si="58"/>
        <v/>
      </c>
      <c r="AP124" s="43" t="str">
        <f t="shared" si="58"/>
        <v/>
      </c>
      <c r="AQ124" s="43" t="str">
        <f t="shared" si="58"/>
        <v/>
      </c>
      <c r="AR124" s="43" t="str">
        <f t="shared" si="58"/>
        <v/>
      </c>
      <c r="AS124" s="43" t="str">
        <f t="shared" si="58"/>
        <v/>
      </c>
      <c r="AT124" s="43" t="str">
        <f t="shared" si="58"/>
        <v/>
      </c>
      <c r="AU124" s="43" t="str">
        <f t="shared" si="58"/>
        <v/>
      </c>
      <c r="AV124" s="43" t="str">
        <f t="shared" si="59"/>
        <v/>
      </c>
      <c r="AW124" s="43" t="str">
        <f t="shared" si="59"/>
        <v/>
      </c>
      <c r="AX124" s="43" t="str">
        <f t="shared" si="59"/>
        <v/>
      </c>
      <c r="AY124" s="43" t="str">
        <f t="shared" si="59"/>
        <v/>
      </c>
      <c r="AZ124" s="43" t="str">
        <f t="shared" si="59"/>
        <v/>
      </c>
      <c r="BA124" s="43" t="str">
        <f t="shared" si="59"/>
        <v/>
      </c>
      <c r="BB124" s="43"/>
      <c r="BC124" s="43"/>
      <c r="BD124" s="43"/>
      <c r="BE124" s="43"/>
      <c r="BF124" s="43"/>
      <c r="BG124" s="43"/>
      <c r="BW124" s="1250"/>
    </row>
    <row r="125" spans="1:75" x14ac:dyDescent="0.25">
      <c r="A125" s="1251"/>
      <c r="B125" s="462">
        <v>119</v>
      </c>
      <c r="C125" s="462"/>
      <c r="D125" s="1244"/>
      <c r="E125" s="1050"/>
      <c r="F125" s="1244"/>
      <c r="H125" s="43" t="str">
        <f t="shared" si="55"/>
        <v/>
      </c>
      <c r="I125" s="43" t="str">
        <f t="shared" si="55"/>
        <v/>
      </c>
      <c r="J125" s="43" t="str">
        <f t="shared" si="55"/>
        <v/>
      </c>
      <c r="K125" s="43" t="str">
        <f t="shared" si="55"/>
        <v/>
      </c>
      <c r="L125" s="43" t="str">
        <f t="shared" si="55"/>
        <v/>
      </c>
      <c r="M125" s="43" t="str">
        <f t="shared" si="55"/>
        <v/>
      </c>
      <c r="N125" s="43" t="str">
        <f t="shared" si="55"/>
        <v/>
      </c>
      <c r="O125" s="43" t="str">
        <f t="shared" si="55"/>
        <v/>
      </c>
      <c r="P125" s="43" t="str">
        <f t="shared" si="55"/>
        <v/>
      </c>
      <c r="Q125" s="43" t="str">
        <f t="shared" si="55"/>
        <v/>
      </c>
      <c r="R125" s="43" t="str">
        <f t="shared" si="56"/>
        <v/>
      </c>
      <c r="S125" s="43" t="str">
        <f t="shared" si="56"/>
        <v/>
      </c>
      <c r="T125" s="43" t="str">
        <f t="shared" si="56"/>
        <v/>
      </c>
      <c r="U125" s="43" t="str">
        <f t="shared" si="56"/>
        <v/>
      </c>
      <c r="V125" s="43" t="str">
        <f t="shared" si="56"/>
        <v/>
      </c>
      <c r="W125" s="43" t="str">
        <f t="shared" si="56"/>
        <v/>
      </c>
      <c r="X125" s="43" t="str">
        <f t="shared" si="56"/>
        <v/>
      </c>
      <c r="Y125" s="43" t="str">
        <f t="shared" si="56"/>
        <v/>
      </c>
      <c r="Z125" s="43" t="str">
        <f t="shared" si="56"/>
        <v/>
      </c>
      <c r="AA125" s="43" t="str">
        <f t="shared" si="56"/>
        <v/>
      </c>
      <c r="AB125" s="43" t="str">
        <f t="shared" si="57"/>
        <v/>
      </c>
      <c r="AC125" s="43" t="str">
        <f t="shared" si="57"/>
        <v/>
      </c>
      <c r="AD125" s="43" t="str">
        <f t="shared" si="57"/>
        <v/>
      </c>
      <c r="AE125" s="43" t="str">
        <f t="shared" si="57"/>
        <v/>
      </c>
      <c r="AF125" s="43" t="str">
        <f t="shared" si="57"/>
        <v/>
      </c>
      <c r="AG125" s="43" t="str">
        <f t="shared" si="57"/>
        <v/>
      </c>
      <c r="AH125" s="43" t="str">
        <f t="shared" si="57"/>
        <v/>
      </c>
      <c r="AI125" s="43" t="str">
        <f t="shared" si="57"/>
        <v/>
      </c>
      <c r="AJ125" s="43" t="str">
        <f t="shared" si="57"/>
        <v/>
      </c>
      <c r="AK125" s="43" t="str">
        <f t="shared" si="57"/>
        <v/>
      </c>
      <c r="AL125" s="43" t="str">
        <f t="shared" si="58"/>
        <v/>
      </c>
      <c r="AM125" s="43" t="str">
        <f t="shared" si="58"/>
        <v/>
      </c>
      <c r="AN125" s="43" t="str">
        <f t="shared" si="58"/>
        <v/>
      </c>
      <c r="AO125" s="43" t="str">
        <f t="shared" si="58"/>
        <v/>
      </c>
      <c r="AP125" s="43" t="str">
        <f t="shared" si="58"/>
        <v/>
      </c>
      <c r="AQ125" s="43" t="str">
        <f t="shared" si="58"/>
        <v/>
      </c>
      <c r="AR125" s="43" t="str">
        <f t="shared" si="58"/>
        <v/>
      </c>
      <c r="AS125" s="43" t="str">
        <f t="shared" si="58"/>
        <v/>
      </c>
      <c r="AT125" s="43" t="str">
        <f t="shared" si="58"/>
        <v/>
      </c>
      <c r="AU125" s="43" t="str">
        <f t="shared" si="58"/>
        <v/>
      </c>
      <c r="AV125" s="43" t="str">
        <f t="shared" si="59"/>
        <v/>
      </c>
      <c r="AW125" s="43" t="str">
        <f t="shared" si="59"/>
        <v/>
      </c>
      <c r="AX125" s="43" t="str">
        <f t="shared" si="59"/>
        <v/>
      </c>
      <c r="AY125" s="43" t="str">
        <f t="shared" si="59"/>
        <v/>
      </c>
      <c r="AZ125" s="43" t="str">
        <f t="shared" si="59"/>
        <v/>
      </c>
      <c r="BA125" s="43" t="str">
        <f t="shared" si="59"/>
        <v/>
      </c>
      <c r="BB125" s="43"/>
      <c r="BC125" s="43"/>
      <c r="BD125" s="43"/>
      <c r="BE125" s="43"/>
      <c r="BF125" s="43"/>
      <c r="BG125" s="43"/>
      <c r="BW125" s="1250"/>
    </row>
    <row r="126" spans="1:75" x14ac:dyDescent="0.25">
      <c r="A126" s="1251"/>
      <c r="B126" s="462">
        <v>120</v>
      </c>
      <c r="C126" s="462"/>
      <c r="D126" s="1244"/>
      <c r="E126" s="1050"/>
      <c r="F126" s="1244"/>
      <c r="H126" s="43" t="str">
        <f t="shared" si="55"/>
        <v/>
      </c>
      <c r="I126" s="43" t="str">
        <f t="shared" si="55"/>
        <v/>
      </c>
      <c r="J126" s="43" t="str">
        <f t="shared" si="55"/>
        <v/>
      </c>
      <c r="K126" s="43" t="str">
        <f t="shared" si="55"/>
        <v/>
      </c>
      <c r="L126" s="43" t="str">
        <f t="shared" si="55"/>
        <v/>
      </c>
      <c r="M126" s="43" t="str">
        <f t="shared" si="55"/>
        <v/>
      </c>
      <c r="N126" s="43" t="str">
        <f t="shared" si="55"/>
        <v/>
      </c>
      <c r="O126" s="43" t="str">
        <f t="shared" si="55"/>
        <v/>
      </c>
      <c r="P126" s="43" t="str">
        <f t="shared" si="55"/>
        <v/>
      </c>
      <c r="Q126" s="43" t="str">
        <f t="shared" si="55"/>
        <v/>
      </c>
      <c r="R126" s="43" t="str">
        <f t="shared" si="56"/>
        <v/>
      </c>
      <c r="S126" s="43" t="str">
        <f t="shared" si="56"/>
        <v/>
      </c>
      <c r="T126" s="43" t="str">
        <f t="shared" si="56"/>
        <v/>
      </c>
      <c r="U126" s="43" t="str">
        <f t="shared" si="56"/>
        <v/>
      </c>
      <c r="V126" s="43" t="str">
        <f t="shared" si="56"/>
        <v/>
      </c>
      <c r="W126" s="43" t="str">
        <f t="shared" si="56"/>
        <v/>
      </c>
      <c r="X126" s="43" t="str">
        <f t="shared" si="56"/>
        <v/>
      </c>
      <c r="Y126" s="43" t="str">
        <f t="shared" si="56"/>
        <v/>
      </c>
      <c r="Z126" s="43" t="str">
        <f t="shared" si="56"/>
        <v/>
      </c>
      <c r="AA126" s="43" t="str">
        <f t="shared" si="56"/>
        <v/>
      </c>
      <c r="AB126" s="43" t="str">
        <f t="shared" si="57"/>
        <v/>
      </c>
      <c r="AC126" s="43" t="str">
        <f t="shared" si="57"/>
        <v/>
      </c>
      <c r="AD126" s="43" t="str">
        <f t="shared" si="57"/>
        <v/>
      </c>
      <c r="AE126" s="43" t="str">
        <f t="shared" si="57"/>
        <v/>
      </c>
      <c r="AF126" s="43" t="str">
        <f t="shared" si="57"/>
        <v/>
      </c>
      <c r="AG126" s="43" t="str">
        <f t="shared" si="57"/>
        <v/>
      </c>
      <c r="AH126" s="43" t="str">
        <f t="shared" si="57"/>
        <v/>
      </c>
      <c r="AI126" s="43" t="str">
        <f t="shared" si="57"/>
        <v/>
      </c>
      <c r="AJ126" s="43" t="str">
        <f t="shared" si="57"/>
        <v/>
      </c>
      <c r="AK126" s="43" t="str">
        <f t="shared" si="57"/>
        <v/>
      </c>
      <c r="AL126" s="43" t="str">
        <f t="shared" si="58"/>
        <v/>
      </c>
      <c r="AM126" s="43" t="str">
        <f t="shared" si="58"/>
        <v/>
      </c>
      <c r="AN126" s="43" t="str">
        <f t="shared" si="58"/>
        <v/>
      </c>
      <c r="AO126" s="43" t="str">
        <f t="shared" si="58"/>
        <v/>
      </c>
      <c r="AP126" s="43" t="str">
        <f t="shared" si="58"/>
        <v/>
      </c>
      <c r="AQ126" s="43" t="str">
        <f t="shared" si="58"/>
        <v/>
      </c>
      <c r="AR126" s="43" t="str">
        <f t="shared" si="58"/>
        <v/>
      </c>
      <c r="AS126" s="43" t="str">
        <f t="shared" si="58"/>
        <v/>
      </c>
      <c r="AT126" s="43" t="str">
        <f t="shared" si="58"/>
        <v/>
      </c>
      <c r="AU126" s="43" t="str">
        <f t="shared" si="58"/>
        <v/>
      </c>
      <c r="AV126" s="43" t="str">
        <f t="shared" si="59"/>
        <v/>
      </c>
      <c r="AW126" s="43" t="str">
        <f t="shared" si="59"/>
        <v/>
      </c>
      <c r="AX126" s="43" t="str">
        <f t="shared" si="59"/>
        <v/>
      </c>
      <c r="AY126" s="43" t="str">
        <f t="shared" si="59"/>
        <v/>
      </c>
      <c r="AZ126" s="43" t="str">
        <f t="shared" si="59"/>
        <v/>
      </c>
      <c r="BA126" s="43" t="str">
        <f t="shared" si="59"/>
        <v/>
      </c>
      <c r="BB126" s="43"/>
      <c r="BC126" s="43"/>
      <c r="BD126" s="43"/>
      <c r="BE126" s="43"/>
      <c r="BF126" s="43"/>
      <c r="BG126" s="43"/>
      <c r="BW126" s="1250"/>
    </row>
    <row r="127" spans="1:75" x14ac:dyDescent="0.25">
      <c r="A127" s="1251"/>
      <c r="B127" s="462">
        <v>121</v>
      </c>
      <c r="C127" s="462"/>
      <c r="D127" s="1244"/>
      <c r="E127" s="1050"/>
      <c r="F127" s="1244"/>
      <c r="H127" s="43" t="str">
        <f t="shared" ref="H127:Q136" si="60">IF($D127=H$6,$B127&amp;", ","")</f>
        <v/>
      </c>
      <c r="I127" s="43" t="str">
        <f t="shared" si="60"/>
        <v/>
      </c>
      <c r="J127" s="43" t="str">
        <f t="shared" si="60"/>
        <v/>
      </c>
      <c r="K127" s="43" t="str">
        <f t="shared" si="60"/>
        <v/>
      </c>
      <c r="L127" s="43" t="str">
        <f t="shared" si="60"/>
        <v/>
      </c>
      <c r="M127" s="43" t="str">
        <f t="shared" si="60"/>
        <v/>
      </c>
      <c r="N127" s="43" t="str">
        <f t="shared" si="60"/>
        <v/>
      </c>
      <c r="O127" s="43" t="str">
        <f t="shared" si="60"/>
        <v/>
      </c>
      <c r="P127" s="43" t="str">
        <f t="shared" si="60"/>
        <v/>
      </c>
      <c r="Q127" s="43" t="str">
        <f t="shared" si="60"/>
        <v/>
      </c>
      <c r="R127" s="43" t="str">
        <f t="shared" ref="R127:AA136" si="61">IF($D127=R$6,$B127&amp;", ","")</f>
        <v/>
      </c>
      <c r="S127" s="43" t="str">
        <f t="shared" si="61"/>
        <v/>
      </c>
      <c r="T127" s="43" t="str">
        <f t="shared" si="61"/>
        <v/>
      </c>
      <c r="U127" s="43" t="str">
        <f t="shared" si="61"/>
        <v/>
      </c>
      <c r="V127" s="43" t="str">
        <f t="shared" si="61"/>
        <v/>
      </c>
      <c r="W127" s="43" t="str">
        <f t="shared" si="61"/>
        <v/>
      </c>
      <c r="X127" s="43" t="str">
        <f t="shared" si="61"/>
        <v/>
      </c>
      <c r="Y127" s="43" t="str">
        <f t="shared" si="61"/>
        <v/>
      </c>
      <c r="Z127" s="43" t="str">
        <f t="shared" si="61"/>
        <v/>
      </c>
      <c r="AA127" s="43" t="str">
        <f t="shared" si="61"/>
        <v/>
      </c>
      <c r="AB127" s="43" t="str">
        <f t="shared" ref="AB127:AK136" si="62">IF($D127=AB$6,$B127&amp;", ","")</f>
        <v/>
      </c>
      <c r="AC127" s="43" t="str">
        <f t="shared" si="62"/>
        <v/>
      </c>
      <c r="AD127" s="43" t="str">
        <f t="shared" si="62"/>
        <v/>
      </c>
      <c r="AE127" s="43" t="str">
        <f t="shared" si="62"/>
        <v/>
      </c>
      <c r="AF127" s="43" t="str">
        <f t="shared" si="62"/>
        <v/>
      </c>
      <c r="AG127" s="43" t="str">
        <f t="shared" si="62"/>
        <v/>
      </c>
      <c r="AH127" s="43" t="str">
        <f t="shared" si="62"/>
        <v/>
      </c>
      <c r="AI127" s="43" t="str">
        <f t="shared" si="62"/>
        <v/>
      </c>
      <c r="AJ127" s="43" t="str">
        <f t="shared" si="62"/>
        <v/>
      </c>
      <c r="AK127" s="43" t="str">
        <f t="shared" si="62"/>
        <v/>
      </c>
      <c r="AL127" s="43" t="str">
        <f t="shared" ref="AL127:AU136" si="63">IF($D127=AL$6,$B127&amp;", ","")</f>
        <v/>
      </c>
      <c r="AM127" s="43" t="str">
        <f t="shared" si="63"/>
        <v/>
      </c>
      <c r="AN127" s="43" t="str">
        <f t="shared" si="63"/>
        <v/>
      </c>
      <c r="AO127" s="43" t="str">
        <f t="shared" si="63"/>
        <v/>
      </c>
      <c r="AP127" s="43" t="str">
        <f t="shared" si="63"/>
        <v/>
      </c>
      <c r="AQ127" s="43" t="str">
        <f t="shared" si="63"/>
        <v/>
      </c>
      <c r="AR127" s="43" t="str">
        <f t="shared" si="63"/>
        <v/>
      </c>
      <c r="AS127" s="43" t="str">
        <f t="shared" si="63"/>
        <v/>
      </c>
      <c r="AT127" s="43" t="str">
        <f t="shared" si="63"/>
        <v/>
      </c>
      <c r="AU127" s="43" t="str">
        <f t="shared" si="63"/>
        <v/>
      </c>
      <c r="AV127" s="43" t="str">
        <f t="shared" ref="AV127:BA136" si="64">IF($D127=AV$6,$B127&amp;", ","")</f>
        <v/>
      </c>
      <c r="AW127" s="43" t="str">
        <f t="shared" si="64"/>
        <v/>
      </c>
      <c r="AX127" s="43" t="str">
        <f t="shared" si="64"/>
        <v/>
      </c>
      <c r="AY127" s="43" t="str">
        <f t="shared" si="64"/>
        <v/>
      </c>
      <c r="AZ127" s="43" t="str">
        <f t="shared" si="64"/>
        <v/>
      </c>
      <c r="BA127" s="43" t="str">
        <f t="shared" si="64"/>
        <v/>
      </c>
      <c r="BB127" s="43"/>
      <c r="BC127" s="43"/>
      <c r="BD127" s="43"/>
      <c r="BE127" s="43"/>
      <c r="BF127" s="43"/>
      <c r="BG127" s="43"/>
      <c r="BW127" s="1250"/>
    </row>
    <row r="128" spans="1:75" x14ac:dyDescent="0.25">
      <c r="A128" s="1251"/>
      <c r="B128" s="462">
        <v>122</v>
      </c>
      <c r="C128" s="462"/>
      <c r="D128" s="1244"/>
      <c r="E128" s="1050"/>
      <c r="F128" s="1244"/>
      <c r="H128" s="43" t="str">
        <f t="shared" si="60"/>
        <v/>
      </c>
      <c r="I128" s="43" t="str">
        <f t="shared" si="60"/>
        <v/>
      </c>
      <c r="J128" s="43" t="str">
        <f t="shared" si="60"/>
        <v/>
      </c>
      <c r="K128" s="43" t="str">
        <f t="shared" si="60"/>
        <v/>
      </c>
      <c r="L128" s="43" t="str">
        <f t="shared" si="60"/>
        <v/>
      </c>
      <c r="M128" s="43" t="str">
        <f t="shared" si="60"/>
        <v/>
      </c>
      <c r="N128" s="43" t="str">
        <f t="shared" si="60"/>
        <v/>
      </c>
      <c r="O128" s="43" t="str">
        <f t="shared" si="60"/>
        <v/>
      </c>
      <c r="P128" s="43" t="str">
        <f t="shared" si="60"/>
        <v/>
      </c>
      <c r="Q128" s="43" t="str">
        <f t="shared" si="60"/>
        <v/>
      </c>
      <c r="R128" s="43" t="str">
        <f t="shared" si="61"/>
        <v/>
      </c>
      <c r="S128" s="43" t="str">
        <f t="shared" si="61"/>
        <v/>
      </c>
      <c r="T128" s="43" t="str">
        <f t="shared" si="61"/>
        <v/>
      </c>
      <c r="U128" s="43" t="str">
        <f t="shared" si="61"/>
        <v/>
      </c>
      <c r="V128" s="43" t="str">
        <f t="shared" si="61"/>
        <v/>
      </c>
      <c r="W128" s="43" t="str">
        <f t="shared" si="61"/>
        <v/>
      </c>
      <c r="X128" s="43" t="str">
        <f t="shared" si="61"/>
        <v/>
      </c>
      <c r="Y128" s="43" t="str">
        <f t="shared" si="61"/>
        <v/>
      </c>
      <c r="Z128" s="43" t="str">
        <f t="shared" si="61"/>
        <v/>
      </c>
      <c r="AA128" s="43" t="str">
        <f t="shared" si="61"/>
        <v/>
      </c>
      <c r="AB128" s="43" t="str">
        <f t="shared" si="62"/>
        <v/>
      </c>
      <c r="AC128" s="43" t="str">
        <f t="shared" si="62"/>
        <v/>
      </c>
      <c r="AD128" s="43" t="str">
        <f t="shared" si="62"/>
        <v/>
      </c>
      <c r="AE128" s="43" t="str">
        <f t="shared" si="62"/>
        <v/>
      </c>
      <c r="AF128" s="43" t="str">
        <f t="shared" si="62"/>
        <v/>
      </c>
      <c r="AG128" s="43" t="str">
        <f t="shared" si="62"/>
        <v/>
      </c>
      <c r="AH128" s="43" t="str">
        <f t="shared" si="62"/>
        <v/>
      </c>
      <c r="AI128" s="43" t="str">
        <f t="shared" si="62"/>
        <v/>
      </c>
      <c r="AJ128" s="43" t="str">
        <f t="shared" si="62"/>
        <v/>
      </c>
      <c r="AK128" s="43" t="str">
        <f t="shared" si="62"/>
        <v/>
      </c>
      <c r="AL128" s="43" t="str">
        <f t="shared" si="63"/>
        <v/>
      </c>
      <c r="AM128" s="43" t="str">
        <f t="shared" si="63"/>
        <v/>
      </c>
      <c r="AN128" s="43" t="str">
        <f t="shared" si="63"/>
        <v/>
      </c>
      <c r="AO128" s="43" t="str">
        <f t="shared" si="63"/>
        <v/>
      </c>
      <c r="AP128" s="43" t="str">
        <f t="shared" si="63"/>
        <v/>
      </c>
      <c r="AQ128" s="43" t="str">
        <f t="shared" si="63"/>
        <v/>
      </c>
      <c r="AR128" s="43" t="str">
        <f t="shared" si="63"/>
        <v/>
      </c>
      <c r="AS128" s="43" t="str">
        <f t="shared" si="63"/>
        <v/>
      </c>
      <c r="AT128" s="43" t="str">
        <f t="shared" si="63"/>
        <v/>
      </c>
      <c r="AU128" s="43" t="str">
        <f t="shared" si="63"/>
        <v/>
      </c>
      <c r="AV128" s="43" t="str">
        <f t="shared" si="64"/>
        <v/>
      </c>
      <c r="AW128" s="43" t="str">
        <f t="shared" si="64"/>
        <v/>
      </c>
      <c r="AX128" s="43" t="str">
        <f t="shared" si="64"/>
        <v/>
      </c>
      <c r="AY128" s="43" t="str">
        <f t="shared" si="64"/>
        <v/>
      </c>
      <c r="AZ128" s="43" t="str">
        <f t="shared" si="64"/>
        <v/>
      </c>
      <c r="BA128" s="43" t="str">
        <f t="shared" si="64"/>
        <v/>
      </c>
      <c r="BB128" s="43"/>
      <c r="BC128" s="43"/>
      <c r="BD128" s="43"/>
      <c r="BE128" s="43"/>
      <c r="BF128" s="43"/>
      <c r="BG128" s="43"/>
      <c r="BW128" s="1250"/>
    </row>
    <row r="129" spans="1:75" x14ac:dyDescent="0.25">
      <c r="A129" s="1251"/>
      <c r="B129" s="462">
        <v>123</v>
      </c>
      <c r="C129" s="462"/>
      <c r="D129" s="1244"/>
      <c r="E129" s="1050"/>
      <c r="F129" s="1244"/>
      <c r="H129" s="43" t="str">
        <f t="shared" si="60"/>
        <v/>
      </c>
      <c r="I129" s="43" t="str">
        <f t="shared" si="60"/>
        <v/>
      </c>
      <c r="J129" s="43" t="str">
        <f t="shared" si="60"/>
        <v/>
      </c>
      <c r="K129" s="43" t="str">
        <f t="shared" si="60"/>
        <v/>
      </c>
      <c r="L129" s="43" t="str">
        <f t="shared" si="60"/>
        <v/>
      </c>
      <c r="M129" s="43" t="str">
        <f t="shared" si="60"/>
        <v/>
      </c>
      <c r="N129" s="43" t="str">
        <f t="shared" si="60"/>
        <v/>
      </c>
      <c r="O129" s="43" t="str">
        <f t="shared" si="60"/>
        <v/>
      </c>
      <c r="P129" s="43" t="str">
        <f t="shared" si="60"/>
        <v/>
      </c>
      <c r="Q129" s="43" t="str">
        <f t="shared" si="60"/>
        <v/>
      </c>
      <c r="R129" s="43" t="str">
        <f t="shared" si="61"/>
        <v/>
      </c>
      <c r="S129" s="43" t="str">
        <f t="shared" si="61"/>
        <v/>
      </c>
      <c r="T129" s="43" t="str">
        <f t="shared" si="61"/>
        <v/>
      </c>
      <c r="U129" s="43" t="str">
        <f t="shared" si="61"/>
        <v/>
      </c>
      <c r="V129" s="43" t="str">
        <f t="shared" si="61"/>
        <v/>
      </c>
      <c r="W129" s="43" t="str">
        <f t="shared" si="61"/>
        <v/>
      </c>
      <c r="X129" s="43" t="str">
        <f t="shared" si="61"/>
        <v/>
      </c>
      <c r="Y129" s="43" t="str">
        <f t="shared" si="61"/>
        <v/>
      </c>
      <c r="Z129" s="43" t="str">
        <f t="shared" si="61"/>
        <v/>
      </c>
      <c r="AA129" s="43" t="str">
        <f t="shared" si="61"/>
        <v/>
      </c>
      <c r="AB129" s="43" t="str">
        <f t="shared" si="62"/>
        <v/>
      </c>
      <c r="AC129" s="43" t="str">
        <f t="shared" si="62"/>
        <v/>
      </c>
      <c r="AD129" s="43" t="str">
        <f t="shared" si="62"/>
        <v/>
      </c>
      <c r="AE129" s="43" t="str">
        <f t="shared" si="62"/>
        <v/>
      </c>
      <c r="AF129" s="43" t="str">
        <f t="shared" si="62"/>
        <v/>
      </c>
      <c r="AG129" s="43" t="str">
        <f t="shared" si="62"/>
        <v/>
      </c>
      <c r="AH129" s="43" t="str">
        <f t="shared" si="62"/>
        <v/>
      </c>
      <c r="AI129" s="43" t="str">
        <f t="shared" si="62"/>
        <v/>
      </c>
      <c r="AJ129" s="43" t="str">
        <f t="shared" si="62"/>
        <v/>
      </c>
      <c r="AK129" s="43" t="str">
        <f t="shared" si="62"/>
        <v/>
      </c>
      <c r="AL129" s="43" t="str">
        <f t="shared" si="63"/>
        <v/>
      </c>
      <c r="AM129" s="43" t="str">
        <f t="shared" si="63"/>
        <v/>
      </c>
      <c r="AN129" s="43" t="str">
        <f t="shared" si="63"/>
        <v/>
      </c>
      <c r="AO129" s="43" t="str">
        <f t="shared" si="63"/>
        <v/>
      </c>
      <c r="AP129" s="43" t="str">
        <f t="shared" si="63"/>
        <v/>
      </c>
      <c r="AQ129" s="43" t="str">
        <f t="shared" si="63"/>
        <v/>
      </c>
      <c r="AR129" s="43" t="str">
        <f t="shared" si="63"/>
        <v/>
      </c>
      <c r="AS129" s="43" t="str">
        <f t="shared" si="63"/>
        <v/>
      </c>
      <c r="AT129" s="43" t="str">
        <f t="shared" si="63"/>
        <v/>
      </c>
      <c r="AU129" s="43" t="str">
        <f t="shared" si="63"/>
        <v/>
      </c>
      <c r="AV129" s="43" t="str">
        <f t="shared" si="64"/>
        <v/>
      </c>
      <c r="AW129" s="43" t="str">
        <f t="shared" si="64"/>
        <v/>
      </c>
      <c r="AX129" s="43" t="str">
        <f t="shared" si="64"/>
        <v/>
      </c>
      <c r="AY129" s="43" t="str">
        <f t="shared" si="64"/>
        <v/>
      </c>
      <c r="AZ129" s="43" t="str">
        <f t="shared" si="64"/>
        <v/>
      </c>
      <c r="BA129" s="43" t="str">
        <f t="shared" si="64"/>
        <v/>
      </c>
      <c r="BB129" s="43"/>
      <c r="BC129" s="43"/>
      <c r="BD129" s="43"/>
      <c r="BE129" s="43"/>
      <c r="BF129" s="43"/>
      <c r="BG129" s="43"/>
      <c r="BW129" s="1250"/>
    </row>
    <row r="130" spans="1:75" x14ac:dyDescent="0.25">
      <c r="A130" s="1251"/>
      <c r="B130" s="462">
        <v>124</v>
      </c>
      <c r="C130" s="462"/>
      <c r="D130" s="1244"/>
      <c r="E130" s="1050"/>
      <c r="F130" s="1244"/>
      <c r="H130" s="43" t="str">
        <f t="shared" si="60"/>
        <v/>
      </c>
      <c r="I130" s="43" t="str">
        <f t="shared" si="60"/>
        <v/>
      </c>
      <c r="J130" s="43" t="str">
        <f t="shared" si="60"/>
        <v/>
      </c>
      <c r="K130" s="43" t="str">
        <f t="shared" si="60"/>
        <v/>
      </c>
      <c r="L130" s="43" t="str">
        <f t="shared" si="60"/>
        <v/>
      </c>
      <c r="M130" s="43" t="str">
        <f t="shared" si="60"/>
        <v/>
      </c>
      <c r="N130" s="43" t="str">
        <f t="shared" si="60"/>
        <v/>
      </c>
      <c r="O130" s="43" t="str">
        <f t="shared" si="60"/>
        <v/>
      </c>
      <c r="P130" s="43" t="str">
        <f t="shared" si="60"/>
        <v/>
      </c>
      <c r="Q130" s="43" t="str">
        <f t="shared" si="60"/>
        <v/>
      </c>
      <c r="R130" s="43" t="str">
        <f t="shared" si="61"/>
        <v/>
      </c>
      <c r="S130" s="43" t="str">
        <f t="shared" si="61"/>
        <v/>
      </c>
      <c r="T130" s="43" t="str">
        <f t="shared" si="61"/>
        <v/>
      </c>
      <c r="U130" s="43" t="str">
        <f t="shared" si="61"/>
        <v/>
      </c>
      <c r="V130" s="43" t="str">
        <f t="shared" si="61"/>
        <v/>
      </c>
      <c r="W130" s="43" t="str">
        <f t="shared" si="61"/>
        <v/>
      </c>
      <c r="X130" s="43" t="str">
        <f t="shared" si="61"/>
        <v/>
      </c>
      <c r="Y130" s="43" t="str">
        <f t="shared" si="61"/>
        <v/>
      </c>
      <c r="Z130" s="43" t="str">
        <f t="shared" si="61"/>
        <v/>
      </c>
      <c r="AA130" s="43" t="str">
        <f t="shared" si="61"/>
        <v/>
      </c>
      <c r="AB130" s="43" t="str">
        <f t="shared" si="62"/>
        <v/>
      </c>
      <c r="AC130" s="43" t="str">
        <f t="shared" si="62"/>
        <v/>
      </c>
      <c r="AD130" s="43" t="str">
        <f t="shared" si="62"/>
        <v/>
      </c>
      <c r="AE130" s="43" t="str">
        <f t="shared" si="62"/>
        <v/>
      </c>
      <c r="AF130" s="43" t="str">
        <f t="shared" si="62"/>
        <v/>
      </c>
      <c r="AG130" s="43" t="str">
        <f t="shared" si="62"/>
        <v/>
      </c>
      <c r="AH130" s="43" t="str">
        <f t="shared" si="62"/>
        <v/>
      </c>
      <c r="AI130" s="43" t="str">
        <f t="shared" si="62"/>
        <v/>
      </c>
      <c r="AJ130" s="43" t="str">
        <f t="shared" si="62"/>
        <v/>
      </c>
      <c r="AK130" s="43" t="str">
        <f t="shared" si="62"/>
        <v/>
      </c>
      <c r="AL130" s="43" t="str">
        <f t="shared" si="63"/>
        <v/>
      </c>
      <c r="AM130" s="43" t="str">
        <f t="shared" si="63"/>
        <v/>
      </c>
      <c r="AN130" s="43" t="str">
        <f t="shared" si="63"/>
        <v/>
      </c>
      <c r="AO130" s="43" t="str">
        <f t="shared" si="63"/>
        <v/>
      </c>
      <c r="AP130" s="43" t="str">
        <f t="shared" si="63"/>
        <v/>
      </c>
      <c r="AQ130" s="43" t="str">
        <f t="shared" si="63"/>
        <v/>
      </c>
      <c r="AR130" s="43" t="str">
        <f t="shared" si="63"/>
        <v/>
      </c>
      <c r="AS130" s="43" t="str">
        <f t="shared" si="63"/>
        <v/>
      </c>
      <c r="AT130" s="43" t="str">
        <f t="shared" si="63"/>
        <v/>
      </c>
      <c r="AU130" s="43" t="str">
        <f t="shared" si="63"/>
        <v/>
      </c>
      <c r="AV130" s="43" t="str">
        <f t="shared" si="64"/>
        <v/>
      </c>
      <c r="AW130" s="43" t="str">
        <f t="shared" si="64"/>
        <v/>
      </c>
      <c r="AX130" s="43" t="str">
        <f t="shared" si="64"/>
        <v/>
      </c>
      <c r="AY130" s="43" t="str">
        <f t="shared" si="64"/>
        <v/>
      </c>
      <c r="AZ130" s="43" t="str">
        <f t="shared" si="64"/>
        <v/>
      </c>
      <c r="BA130" s="43" t="str">
        <f t="shared" si="64"/>
        <v/>
      </c>
      <c r="BB130" s="43"/>
      <c r="BC130" s="43"/>
      <c r="BD130" s="43"/>
      <c r="BE130" s="43"/>
      <c r="BF130" s="43"/>
      <c r="BG130" s="43"/>
      <c r="BW130" s="1250"/>
    </row>
    <row r="131" spans="1:75" x14ac:dyDescent="0.25">
      <c r="A131" s="1251"/>
      <c r="B131" s="462">
        <v>125</v>
      </c>
      <c r="C131" s="462"/>
      <c r="D131" s="1244"/>
      <c r="E131" s="1050"/>
      <c r="F131" s="1244"/>
      <c r="H131" s="43" t="str">
        <f t="shared" si="60"/>
        <v/>
      </c>
      <c r="I131" s="43" t="str">
        <f t="shared" si="60"/>
        <v/>
      </c>
      <c r="J131" s="43" t="str">
        <f t="shared" si="60"/>
        <v/>
      </c>
      <c r="K131" s="43" t="str">
        <f t="shared" si="60"/>
        <v/>
      </c>
      <c r="L131" s="43" t="str">
        <f t="shared" si="60"/>
        <v/>
      </c>
      <c r="M131" s="43" t="str">
        <f t="shared" si="60"/>
        <v/>
      </c>
      <c r="N131" s="43" t="str">
        <f t="shared" si="60"/>
        <v/>
      </c>
      <c r="O131" s="43" t="str">
        <f t="shared" si="60"/>
        <v/>
      </c>
      <c r="P131" s="43" t="str">
        <f t="shared" si="60"/>
        <v/>
      </c>
      <c r="Q131" s="43" t="str">
        <f t="shared" si="60"/>
        <v/>
      </c>
      <c r="R131" s="43" t="str">
        <f t="shared" si="61"/>
        <v/>
      </c>
      <c r="S131" s="43" t="str">
        <f t="shared" si="61"/>
        <v/>
      </c>
      <c r="T131" s="43" t="str">
        <f t="shared" si="61"/>
        <v/>
      </c>
      <c r="U131" s="43" t="str">
        <f t="shared" si="61"/>
        <v/>
      </c>
      <c r="V131" s="43" t="str">
        <f t="shared" si="61"/>
        <v/>
      </c>
      <c r="W131" s="43" t="str">
        <f t="shared" si="61"/>
        <v/>
      </c>
      <c r="X131" s="43" t="str">
        <f t="shared" si="61"/>
        <v/>
      </c>
      <c r="Y131" s="43" t="str">
        <f t="shared" si="61"/>
        <v/>
      </c>
      <c r="Z131" s="43" t="str">
        <f t="shared" si="61"/>
        <v/>
      </c>
      <c r="AA131" s="43" t="str">
        <f t="shared" si="61"/>
        <v/>
      </c>
      <c r="AB131" s="43" t="str">
        <f t="shared" si="62"/>
        <v/>
      </c>
      <c r="AC131" s="43" t="str">
        <f t="shared" si="62"/>
        <v/>
      </c>
      <c r="AD131" s="43" t="str">
        <f t="shared" si="62"/>
        <v/>
      </c>
      <c r="AE131" s="43" t="str">
        <f t="shared" si="62"/>
        <v/>
      </c>
      <c r="AF131" s="43" t="str">
        <f t="shared" si="62"/>
        <v/>
      </c>
      <c r="AG131" s="43" t="str">
        <f t="shared" si="62"/>
        <v/>
      </c>
      <c r="AH131" s="43" t="str">
        <f t="shared" si="62"/>
        <v/>
      </c>
      <c r="AI131" s="43" t="str">
        <f t="shared" si="62"/>
        <v/>
      </c>
      <c r="AJ131" s="43" t="str">
        <f t="shared" si="62"/>
        <v/>
      </c>
      <c r="AK131" s="43" t="str">
        <f t="shared" si="62"/>
        <v/>
      </c>
      <c r="AL131" s="43" t="str">
        <f t="shared" si="63"/>
        <v/>
      </c>
      <c r="AM131" s="43" t="str">
        <f t="shared" si="63"/>
        <v/>
      </c>
      <c r="AN131" s="43" t="str">
        <f t="shared" si="63"/>
        <v/>
      </c>
      <c r="AO131" s="43" t="str">
        <f t="shared" si="63"/>
        <v/>
      </c>
      <c r="AP131" s="43" t="str">
        <f t="shared" si="63"/>
        <v/>
      </c>
      <c r="AQ131" s="43" t="str">
        <f t="shared" si="63"/>
        <v/>
      </c>
      <c r="AR131" s="43" t="str">
        <f t="shared" si="63"/>
        <v/>
      </c>
      <c r="AS131" s="43" t="str">
        <f t="shared" si="63"/>
        <v/>
      </c>
      <c r="AT131" s="43" t="str">
        <f t="shared" si="63"/>
        <v/>
      </c>
      <c r="AU131" s="43" t="str">
        <f t="shared" si="63"/>
        <v/>
      </c>
      <c r="AV131" s="43" t="str">
        <f t="shared" si="64"/>
        <v/>
      </c>
      <c r="AW131" s="43" t="str">
        <f t="shared" si="64"/>
        <v/>
      </c>
      <c r="AX131" s="43" t="str">
        <f t="shared" si="64"/>
        <v/>
      </c>
      <c r="AY131" s="43" t="str">
        <f t="shared" si="64"/>
        <v/>
      </c>
      <c r="AZ131" s="43" t="str">
        <f t="shared" si="64"/>
        <v/>
      </c>
      <c r="BA131" s="43" t="str">
        <f t="shared" si="64"/>
        <v/>
      </c>
      <c r="BB131" s="43"/>
      <c r="BC131" s="43"/>
      <c r="BD131" s="43"/>
      <c r="BE131" s="43"/>
      <c r="BF131" s="43"/>
      <c r="BG131" s="43"/>
      <c r="BW131" s="1250"/>
    </row>
    <row r="132" spans="1:75" x14ac:dyDescent="0.25">
      <c r="A132" s="1251"/>
      <c r="B132" s="462">
        <v>126</v>
      </c>
      <c r="C132" s="462"/>
      <c r="D132" s="1244"/>
      <c r="E132" s="1050"/>
      <c r="F132" s="1244"/>
      <c r="H132" s="43" t="str">
        <f t="shared" si="60"/>
        <v/>
      </c>
      <c r="I132" s="43" t="str">
        <f t="shared" si="60"/>
        <v/>
      </c>
      <c r="J132" s="43" t="str">
        <f t="shared" si="60"/>
        <v/>
      </c>
      <c r="K132" s="43" t="str">
        <f t="shared" si="60"/>
        <v/>
      </c>
      <c r="L132" s="43" t="str">
        <f t="shared" si="60"/>
        <v/>
      </c>
      <c r="M132" s="43" t="str">
        <f t="shared" si="60"/>
        <v/>
      </c>
      <c r="N132" s="43" t="str">
        <f t="shared" si="60"/>
        <v/>
      </c>
      <c r="O132" s="43" t="str">
        <f t="shared" si="60"/>
        <v/>
      </c>
      <c r="P132" s="43" t="str">
        <f t="shared" si="60"/>
        <v/>
      </c>
      <c r="Q132" s="43" t="str">
        <f t="shared" si="60"/>
        <v/>
      </c>
      <c r="R132" s="43" t="str">
        <f t="shared" si="61"/>
        <v/>
      </c>
      <c r="S132" s="43" t="str">
        <f t="shared" si="61"/>
        <v/>
      </c>
      <c r="T132" s="43" t="str">
        <f t="shared" si="61"/>
        <v/>
      </c>
      <c r="U132" s="43" t="str">
        <f t="shared" si="61"/>
        <v/>
      </c>
      <c r="V132" s="43" t="str">
        <f t="shared" si="61"/>
        <v/>
      </c>
      <c r="W132" s="43" t="str">
        <f t="shared" si="61"/>
        <v/>
      </c>
      <c r="X132" s="43" t="str">
        <f t="shared" si="61"/>
        <v/>
      </c>
      <c r="Y132" s="43" t="str">
        <f t="shared" si="61"/>
        <v/>
      </c>
      <c r="Z132" s="43" t="str">
        <f t="shared" si="61"/>
        <v/>
      </c>
      <c r="AA132" s="43" t="str">
        <f t="shared" si="61"/>
        <v/>
      </c>
      <c r="AB132" s="43" t="str">
        <f t="shared" si="62"/>
        <v/>
      </c>
      <c r="AC132" s="43" t="str">
        <f t="shared" si="62"/>
        <v/>
      </c>
      <c r="AD132" s="43" t="str">
        <f t="shared" si="62"/>
        <v/>
      </c>
      <c r="AE132" s="43" t="str">
        <f t="shared" si="62"/>
        <v/>
      </c>
      <c r="AF132" s="43" t="str">
        <f t="shared" si="62"/>
        <v/>
      </c>
      <c r="AG132" s="43" t="str">
        <f t="shared" si="62"/>
        <v/>
      </c>
      <c r="AH132" s="43" t="str">
        <f t="shared" si="62"/>
        <v/>
      </c>
      <c r="AI132" s="43" t="str">
        <f t="shared" si="62"/>
        <v/>
      </c>
      <c r="AJ132" s="43" t="str">
        <f t="shared" si="62"/>
        <v/>
      </c>
      <c r="AK132" s="43" t="str">
        <f t="shared" si="62"/>
        <v/>
      </c>
      <c r="AL132" s="43" t="str">
        <f t="shared" si="63"/>
        <v/>
      </c>
      <c r="AM132" s="43" t="str">
        <f t="shared" si="63"/>
        <v/>
      </c>
      <c r="AN132" s="43" t="str">
        <f t="shared" si="63"/>
        <v/>
      </c>
      <c r="AO132" s="43" t="str">
        <f t="shared" si="63"/>
        <v/>
      </c>
      <c r="AP132" s="43" t="str">
        <f t="shared" si="63"/>
        <v/>
      </c>
      <c r="AQ132" s="43" t="str">
        <f t="shared" si="63"/>
        <v/>
      </c>
      <c r="AR132" s="43" t="str">
        <f t="shared" si="63"/>
        <v/>
      </c>
      <c r="AS132" s="43" t="str">
        <f t="shared" si="63"/>
        <v/>
      </c>
      <c r="AT132" s="43" t="str">
        <f t="shared" si="63"/>
        <v/>
      </c>
      <c r="AU132" s="43" t="str">
        <f t="shared" si="63"/>
        <v/>
      </c>
      <c r="AV132" s="43" t="str">
        <f t="shared" si="64"/>
        <v/>
      </c>
      <c r="AW132" s="43" t="str">
        <f t="shared" si="64"/>
        <v/>
      </c>
      <c r="AX132" s="43" t="str">
        <f t="shared" si="64"/>
        <v/>
      </c>
      <c r="AY132" s="43" t="str">
        <f t="shared" si="64"/>
        <v/>
      </c>
      <c r="AZ132" s="43" t="str">
        <f t="shared" si="64"/>
        <v/>
      </c>
      <c r="BA132" s="43" t="str">
        <f t="shared" si="64"/>
        <v/>
      </c>
      <c r="BB132" s="43"/>
      <c r="BC132" s="43"/>
      <c r="BD132" s="43"/>
      <c r="BE132" s="43"/>
      <c r="BF132" s="43"/>
      <c r="BG132" s="43"/>
      <c r="BW132" s="1250"/>
    </row>
    <row r="133" spans="1:75" x14ac:dyDescent="0.25">
      <c r="A133" s="1251"/>
      <c r="B133" s="462">
        <v>127</v>
      </c>
      <c r="C133" s="462"/>
      <c r="D133" s="1244"/>
      <c r="E133" s="1050"/>
      <c r="F133" s="1244"/>
      <c r="H133" s="43" t="str">
        <f t="shared" si="60"/>
        <v/>
      </c>
      <c r="I133" s="43" t="str">
        <f t="shared" si="60"/>
        <v/>
      </c>
      <c r="J133" s="43" t="str">
        <f t="shared" si="60"/>
        <v/>
      </c>
      <c r="K133" s="43" t="str">
        <f t="shared" si="60"/>
        <v/>
      </c>
      <c r="L133" s="43" t="str">
        <f t="shared" si="60"/>
        <v/>
      </c>
      <c r="M133" s="43" t="str">
        <f t="shared" si="60"/>
        <v/>
      </c>
      <c r="N133" s="43" t="str">
        <f t="shared" si="60"/>
        <v/>
      </c>
      <c r="O133" s="43" t="str">
        <f t="shared" si="60"/>
        <v/>
      </c>
      <c r="P133" s="43" t="str">
        <f t="shared" si="60"/>
        <v/>
      </c>
      <c r="Q133" s="43" t="str">
        <f t="shared" si="60"/>
        <v/>
      </c>
      <c r="R133" s="43" t="str">
        <f t="shared" si="61"/>
        <v/>
      </c>
      <c r="S133" s="43" t="str">
        <f t="shared" si="61"/>
        <v/>
      </c>
      <c r="T133" s="43" t="str">
        <f t="shared" si="61"/>
        <v/>
      </c>
      <c r="U133" s="43" t="str">
        <f t="shared" si="61"/>
        <v/>
      </c>
      <c r="V133" s="43" t="str">
        <f t="shared" si="61"/>
        <v/>
      </c>
      <c r="W133" s="43" t="str">
        <f t="shared" si="61"/>
        <v/>
      </c>
      <c r="X133" s="43" t="str">
        <f t="shared" si="61"/>
        <v/>
      </c>
      <c r="Y133" s="43" t="str">
        <f t="shared" si="61"/>
        <v/>
      </c>
      <c r="Z133" s="43" t="str">
        <f t="shared" si="61"/>
        <v/>
      </c>
      <c r="AA133" s="43" t="str">
        <f t="shared" si="61"/>
        <v/>
      </c>
      <c r="AB133" s="43" t="str">
        <f t="shared" si="62"/>
        <v/>
      </c>
      <c r="AC133" s="43" t="str">
        <f t="shared" si="62"/>
        <v/>
      </c>
      <c r="AD133" s="43" t="str">
        <f t="shared" si="62"/>
        <v/>
      </c>
      <c r="AE133" s="43" t="str">
        <f t="shared" si="62"/>
        <v/>
      </c>
      <c r="AF133" s="43" t="str">
        <f t="shared" si="62"/>
        <v/>
      </c>
      <c r="AG133" s="43" t="str">
        <f t="shared" si="62"/>
        <v/>
      </c>
      <c r="AH133" s="43" t="str">
        <f t="shared" si="62"/>
        <v/>
      </c>
      <c r="AI133" s="43" t="str">
        <f t="shared" si="62"/>
        <v/>
      </c>
      <c r="AJ133" s="43" t="str">
        <f t="shared" si="62"/>
        <v/>
      </c>
      <c r="AK133" s="43" t="str">
        <f t="shared" si="62"/>
        <v/>
      </c>
      <c r="AL133" s="43" t="str">
        <f t="shared" si="63"/>
        <v/>
      </c>
      <c r="AM133" s="43" t="str">
        <f t="shared" si="63"/>
        <v/>
      </c>
      <c r="AN133" s="43" t="str">
        <f t="shared" si="63"/>
        <v/>
      </c>
      <c r="AO133" s="43" t="str">
        <f t="shared" si="63"/>
        <v/>
      </c>
      <c r="AP133" s="43" t="str">
        <f t="shared" si="63"/>
        <v/>
      </c>
      <c r="AQ133" s="43" t="str">
        <f t="shared" si="63"/>
        <v/>
      </c>
      <c r="AR133" s="43" t="str">
        <f t="shared" si="63"/>
        <v/>
      </c>
      <c r="AS133" s="43" t="str">
        <f t="shared" si="63"/>
        <v/>
      </c>
      <c r="AT133" s="43" t="str">
        <f t="shared" si="63"/>
        <v/>
      </c>
      <c r="AU133" s="43" t="str">
        <f t="shared" si="63"/>
        <v/>
      </c>
      <c r="AV133" s="43" t="str">
        <f t="shared" si="64"/>
        <v/>
      </c>
      <c r="AW133" s="43" t="str">
        <f t="shared" si="64"/>
        <v/>
      </c>
      <c r="AX133" s="43" t="str">
        <f t="shared" si="64"/>
        <v/>
      </c>
      <c r="AY133" s="43" t="str">
        <f t="shared" si="64"/>
        <v/>
      </c>
      <c r="AZ133" s="43" t="str">
        <f t="shared" si="64"/>
        <v/>
      </c>
      <c r="BA133" s="43" t="str">
        <f t="shared" si="64"/>
        <v/>
      </c>
      <c r="BB133" s="43"/>
      <c r="BC133" s="43"/>
      <c r="BD133" s="43"/>
      <c r="BE133" s="43"/>
      <c r="BF133" s="43"/>
      <c r="BG133" s="43"/>
      <c r="BW133" s="1250"/>
    </row>
    <row r="134" spans="1:75" x14ac:dyDescent="0.25">
      <c r="A134" s="1251"/>
      <c r="B134" s="462">
        <v>128</v>
      </c>
      <c r="C134" s="462"/>
      <c r="D134" s="1244"/>
      <c r="E134" s="1050"/>
      <c r="F134" s="1244"/>
      <c r="H134" s="43" t="str">
        <f t="shared" si="60"/>
        <v/>
      </c>
      <c r="I134" s="43" t="str">
        <f t="shared" si="60"/>
        <v/>
      </c>
      <c r="J134" s="43" t="str">
        <f t="shared" si="60"/>
        <v/>
      </c>
      <c r="K134" s="43" t="str">
        <f t="shared" si="60"/>
        <v/>
      </c>
      <c r="L134" s="43" t="str">
        <f t="shared" si="60"/>
        <v/>
      </c>
      <c r="M134" s="43" t="str">
        <f t="shared" si="60"/>
        <v/>
      </c>
      <c r="N134" s="43" t="str">
        <f t="shared" si="60"/>
        <v/>
      </c>
      <c r="O134" s="43" t="str">
        <f t="shared" si="60"/>
        <v/>
      </c>
      <c r="P134" s="43" t="str">
        <f t="shared" si="60"/>
        <v/>
      </c>
      <c r="Q134" s="43" t="str">
        <f t="shared" si="60"/>
        <v/>
      </c>
      <c r="R134" s="43" t="str">
        <f t="shared" si="61"/>
        <v/>
      </c>
      <c r="S134" s="43" t="str">
        <f t="shared" si="61"/>
        <v/>
      </c>
      <c r="T134" s="43" t="str">
        <f t="shared" si="61"/>
        <v/>
      </c>
      <c r="U134" s="43" t="str">
        <f t="shared" si="61"/>
        <v/>
      </c>
      <c r="V134" s="43" t="str">
        <f t="shared" si="61"/>
        <v/>
      </c>
      <c r="W134" s="43" t="str">
        <f t="shared" si="61"/>
        <v/>
      </c>
      <c r="X134" s="43" t="str">
        <f t="shared" si="61"/>
        <v/>
      </c>
      <c r="Y134" s="43" t="str">
        <f t="shared" si="61"/>
        <v/>
      </c>
      <c r="Z134" s="43" t="str">
        <f t="shared" si="61"/>
        <v/>
      </c>
      <c r="AA134" s="43" t="str">
        <f t="shared" si="61"/>
        <v/>
      </c>
      <c r="AB134" s="43" t="str">
        <f t="shared" si="62"/>
        <v/>
      </c>
      <c r="AC134" s="43" t="str">
        <f t="shared" si="62"/>
        <v/>
      </c>
      <c r="AD134" s="43" t="str">
        <f t="shared" si="62"/>
        <v/>
      </c>
      <c r="AE134" s="43" t="str">
        <f t="shared" si="62"/>
        <v/>
      </c>
      <c r="AF134" s="43" t="str">
        <f t="shared" si="62"/>
        <v/>
      </c>
      <c r="AG134" s="43" t="str">
        <f t="shared" si="62"/>
        <v/>
      </c>
      <c r="AH134" s="43" t="str">
        <f t="shared" si="62"/>
        <v/>
      </c>
      <c r="AI134" s="43" t="str">
        <f t="shared" si="62"/>
        <v/>
      </c>
      <c r="AJ134" s="43" t="str">
        <f t="shared" si="62"/>
        <v/>
      </c>
      <c r="AK134" s="43" t="str">
        <f t="shared" si="62"/>
        <v/>
      </c>
      <c r="AL134" s="43" t="str">
        <f t="shared" si="63"/>
        <v/>
      </c>
      <c r="AM134" s="43" t="str">
        <f t="shared" si="63"/>
        <v/>
      </c>
      <c r="AN134" s="43" t="str">
        <f t="shared" si="63"/>
        <v/>
      </c>
      <c r="AO134" s="43" t="str">
        <f t="shared" si="63"/>
        <v/>
      </c>
      <c r="AP134" s="43" t="str">
        <f t="shared" si="63"/>
        <v/>
      </c>
      <c r="AQ134" s="43" t="str">
        <f t="shared" si="63"/>
        <v/>
      </c>
      <c r="AR134" s="43" t="str">
        <f t="shared" si="63"/>
        <v/>
      </c>
      <c r="AS134" s="43" t="str">
        <f t="shared" si="63"/>
        <v/>
      </c>
      <c r="AT134" s="43" t="str">
        <f t="shared" si="63"/>
        <v/>
      </c>
      <c r="AU134" s="43" t="str">
        <f t="shared" si="63"/>
        <v/>
      </c>
      <c r="AV134" s="43" t="str">
        <f t="shared" si="64"/>
        <v/>
      </c>
      <c r="AW134" s="43" t="str">
        <f t="shared" si="64"/>
        <v/>
      </c>
      <c r="AX134" s="43" t="str">
        <f t="shared" si="64"/>
        <v/>
      </c>
      <c r="AY134" s="43" t="str">
        <f t="shared" si="64"/>
        <v/>
      </c>
      <c r="AZ134" s="43" t="str">
        <f t="shared" si="64"/>
        <v/>
      </c>
      <c r="BA134" s="43" t="str">
        <f t="shared" si="64"/>
        <v/>
      </c>
      <c r="BB134" s="43"/>
      <c r="BC134" s="43"/>
      <c r="BD134" s="43"/>
      <c r="BE134" s="43"/>
      <c r="BF134" s="43"/>
      <c r="BG134" s="43"/>
      <c r="BW134" s="1250"/>
    </row>
    <row r="135" spans="1:75" x14ac:dyDescent="0.25">
      <c r="A135" s="1251"/>
      <c r="B135" s="462">
        <v>129</v>
      </c>
      <c r="C135" s="462"/>
      <c r="D135" s="1244"/>
      <c r="E135" s="1050"/>
      <c r="F135" s="1244"/>
      <c r="H135" s="43" t="str">
        <f t="shared" si="60"/>
        <v/>
      </c>
      <c r="I135" s="43" t="str">
        <f t="shared" si="60"/>
        <v/>
      </c>
      <c r="J135" s="43" t="str">
        <f t="shared" si="60"/>
        <v/>
      </c>
      <c r="K135" s="43" t="str">
        <f t="shared" si="60"/>
        <v/>
      </c>
      <c r="L135" s="43" t="str">
        <f t="shared" si="60"/>
        <v/>
      </c>
      <c r="M135" s="43" t="str">
        <f t="shared" si="60"/>
        <v/>
      </c>
      <c r="N135" s="43" t="str">
        <f t="shared" si="60"/>
        <v/>
      </c>
      <c r="O135" s="43" t="str">
        <f t="shared" si="60"/>
        <v/>
      </c>
      <c r="P135" s="43" t="str">
        <f t="shared" si="60"/>
        <v/>
      </c>
      <c r="Q135" s="43" t="str">
        <f t="shared" si="60"/>
        <v/>
      </c>
      <c r="R135" s="43" t="str">
        <f t="shared" si="61"/>
        <v/>
      </c>
      <c r="S135" s="43" t="str">
        <f t="shared" si="61"/>
        <v/>
      </c>
      <c r="T135" s="43" t="str">
        <f t="shared" si="61"/>
        <v/>
      </c>
      <c r="U135" s="43" t="str">
        <f t="shared" si="61"/>
        <v/>
      </c>
      <c r="V135" s="43" t="str">
        <f t="shared" si="61"/>
        <v/>
      </c>
      <c r="W135" s="43" t="str">
        <f t="shared" si="61"/>
        <v/>
      </c>
      <c r="X135" s="43" t="str">
        <f t="shared" si="61"/>
        <v/>
      </c>
      <c r="Y135" s="43" t="str">
        <f t="shared" si="61"/>
        <v/>
      </c>
      <c r="Z135" s="43" t="str">
        <f t="shared" si="61"/>
        <v/>
      </c>
      <c r="AA135" s="43" t="str">
        <f t="shared" si="61"/>
        <v/>
      </c>
      <c r="AB135" s="43" t="str">
        <f t="shared" si="62"/>
        <v/>
      </c>
      <c r="AC135" s="43" t="str">
        <f t="shared" si="62"/>
        <v/>
      </c>
      <c r="AD135" s="43" t="str">
        <f t="shared" si="62"/>
        <v/>
      </c>
      <c r="AE135" s="43" t="str">
        <f t="shared" si="62"/>
        <v/>
      </c>
      <c r="AF135" s="43" t="str">
        <f t="shared" si="62"/>
        <v/>
      </c>
      <c r="AG135" s="43" t="str">
        <f t="shared" si="62"/>
        <v/>
      </c>
      <c r="AH135" s="43" t="str">
        <f t="shared" si="62"/>
        <v/>
      </c>
      <c r="AI135" s="43" t="str">
        <f t="shared" si="62"/>
        <v/>
      </c>
      <c r="AJ135" s="43" t="str">
        <f t="shared" si="62"/>
        <v/>
      </c>
      <c r="AK135" s="43" t="str">
        <f t="shared" si="62"/>
        <v/>
      </c>
      <c r="AL135" s="43" t="str">
        <f t="shared" si="63"/>
        <v/>
      </c>
      <c r="AM135" s="43" t="str">
        <f t="shared" si="63"/>
        <v/>
      </c>
      <c r="AN135" s="43" t="str">
        <f t="shared" si="63"/>
        <v/>
      </c>
      <c r="AO135" s="43" t="str">
        <f t="shared" si="63"/>
        <v/>
      </c>
      <c r="AP135" s="43" t="str">
        <f t="shared" si="63"/>
        <v/>
      </c>
      <c r="AQ135" s="43" t="str">
        <f t="shared" si="63"/>
        <v/>
      </c>
      <c r="AR135" s="43" t="str">
        <f t="shared" si="63"/>
        <v/>
      </c>
      <c r="AS135" s="43" t="str">
        <f t="shared" si="63"/>
        <v/>
      </c>
      <c r="AT135" s="43" t="str">
        <f t="shared" si="63"/>
        <v/>
      </c>
      <c r="AU135" s="43" t="str">
        <f t="shared" si="63"/>
        <v/>
      </c>
      <c r="AV135" s="43" t="str">
        <f t="shared" si="64"/>
        <v/>
      </c>
      <c r="AW135" s="43" t="str">
        <f t="shared" si="64"/>
        <v/>
      </c>
      <c r="AX135" s="43" t="str">
        <f t="shared" si="64"/>
        <v/>
      </c>
      <c r="AY135" s="43" t="str">
        <f t="shared" si="64"/>
        <v/>
      </c>
      <c r="AZ135" s="43" t="str">
        <f t="shared" si="64"/>
        <v/>
      </c>
      <c r="BA135" s="43" t="str">
        <f t="shared" si="64"/>
        <v/>
      </c>
      <c r="BB135" s="43"/>
      <c r="BC135" s="43"/>
      <c r="BD135" s="43"/>
      <c r="BE135" s="43"/>
      <c r="BF135" s="43"/>
      <c r="BG135" s="43"/>
      <c r="BW135" s="1250"/>
    </row>
    <row r="136" spans="1:75" x14ac:dyDescent="0.25">
      <c r="A136" s="1251"/>
      <c r="B136" s="462">
        <v>130</v>
      </c>
      <c r="C136" s="462"/>
      <c r="D136" s="1244"/>
      <c r="E136" s="1050"/>
      <c r="F136" s="1244"/>
      <c r="H136" s="43" t="str">
        <f t="shared" si="60"/>
        <v/>
      </c>
      <c r="I136" s="43" t="str">
        <f t="shared" si="60"/>
        <v/>
      </c>
      <c r="J136" s="43" t="str">
        <f t="shared" si="60"/>
        <v/>
      </c>
      <c r="K136" s="43" t="str">
        <f t="shared" si="60"/>
        <v/>
      </c>
      <c r="L136" s="43" t="str">
        <f t="shared" si="60"/>
        <v/>
      </c>
      <c r="M136" s="43" t="str">
        <f t="shared" si="60"/>
        <v/>
      </c>
      <c r="N136" s="43" t="str">
        <f t="shared" si="60"/>
        <v/>
      </c>
      <c r="O136" s="43" t="str">
        <f t="shared" si="60"/>
        <v/>
      </c>
      <c r="P136" s="43" t="str">
        <f t="shared" si="60"/>
        <v/>
      </c>
      <c r="Q136" s="43" t="str">
        <f t="shared" si="60"/>
        <v/>
      </c>
      <c r="R136" s="43" t="str">
        <f t="shared" si="61"/>
        <v/>
      </c>
      <c r="S136" s="43" t="str">
        <f t="shared" si="61"/>
        <v/>
      </c>
      <c r="T136" s="43" t="str">
        <f t="shared" si="61"/>
        <v/>
      </c>
      <c r="U136" s="43" t="str">
        <f t="shared" si="61"/>
        <v/>
      </c>
      <c r="V136" s="43" t="str">
        <f t="shared" si="61"/>
        <v/>
      </c>
      <c r="W136" s="43" t="str">
        <f t="shared" si="61"/>
        <v/>
      </c>
      <c r="X136" s="43" t="str">
        <f t="shared" si="61"/>
        <v/>
      </c>
      <c r="Y136" s="43" t="str">
        <f t="shared" si="61"/>
        <v/>
      </c>
      <c r="Z136" s="43" t="str">
        <f t="shared" si="61"/>
        <v/>
      </c>
      <c r="AA136" s="43" t="str">
        <f t="shared" si="61"/>
        <v/>
      </c>
      <c r="AB136" s="43" t="str">
        <f t="shared" si="62"/>
        <v/>
      </c>
      <c r="AC136" s="43" t="str">
        <f t="shared" si="62"/>
        <v/>
      </c>
      <c r="AD136" s="43" t="str">
        <f t="shared" si="62"/>
        <v/>
      </c>
      <c r="AE136" s="43" t="str">
        <f t="shared" si="62"/>
        <v/>
      </c>
      <c r="AF136" s="43" t="str">
        <f t="shared" si="62"/>
        <v/>
      </c>
      <c r="AG136" s="43" t="str">
        <f t="shared" si="62"/>
        <v/>
      </c>
      <c r="AH136" s="43" t="str">
        <f t="shared" si="62"/>
        <v/>
      </c>
      <c r="AI136" s="43" t="str">
        <f t="shared" si="62"/>
        <v/>
      </c>
      <c r="AJ136" s="43" t="str">
        <f t="shared" si="62"/>
        <v/>
      </c>
      <c r="AK136" s="43" t="str">
        <f t="shared" si="62"/>
        <v/>
      </c>
      <c r="AL136" s="43" t="str">
        <f t="shared" si="63"/>
        <v/>
      </c>
      <c r="AM136" s="43" t="str">
        <f t="shared" si="63"/>
        <v/>
      </c>
      <c r="AN136" s="43" t="str">
        <f t="shared" si="63"/>
        <v/>
      </c>
      <c r="AO136" s="43" t="str">
        <f t="shared" si="63"/>
        <v/>
      </c>
      <c r="AP136" s="43" t="str">
        <f t="shared" si="63"/>
        <v/>
      </c>
      <c r="AQ136" s="43" t="str">
        <f t="shared" si="63"/>
        <v/>
      </c>
      <c r="AR136" s="43" t="str">
        <f t="shared" si="63"/>
        <v/>
      </c>
      <c r="AS136" s="43" t="str">
        <f t="shared" si="63"/>
        <v/>
      </c>
      <c r="AT136" s="43" t="str">
        <f t="shared" si="63"/>
        <v/>
      </c>
      <c r="AU136" s="43" t="str">
        <f t="shared" si="63"/>
        <v/>
      </c>
      <c r="AV136" s="43" t="str">
        <f t="shared" si="64"/>
        <v/>
      </c>
      <c r="AW136" s="43" t="str">
        <f t="shared" si="64"/>
        <v/>
      </c>
      <c r="AX136" s="43" t="str">
        <f t="shared" si="64"/>
        <v/>
      </c>
      <c r="AY136" s="43" t="str">
        <f t="shared" si="64"/>
        <v/>
      </c>
      <c r="AZ136" s="43" t="str">
        <f t="shared" si="64"/>
        <v/>
      </c>
      <c r="BA136" s="43" t="str">
        <f t="shared" si="64"/>
        <v/>
      </c>
      <c r="BB136" s="43"/>
      <c r="BC136" s="43"/>
      <c r="BD136" s="43"/>
      <c r="BE136" s="43"/>
      <c r="BF136" s="43"/>
      <c r="BG136" s="43"/>
      <c r="BW136" s="1250"/>
    </row>
    <row r="137" spans="1:75" x14ac:dyDescent="0.25">
      <c r="A137" s="1251"/>
      <c r="B137" s="462">
        <v>131</v>
      </c>
      <c r="C137" s="462"/>
      <c r="D137" s="1244"/>
      <c r="E137" s="1050"/>
      <c r="F137" s="1244"/>
      <c r="H137" s="43" t="str">
        <f t="shared" ref="H137:Q146" si="65">IF($D137=H$6,$B137&amp;", ","")</f>
        <v/>
      </c>
      <c r="I137" s="43" t="str">
        <f t="shared" si="65"/>
        <v/>
      </c>
      <c r="J137" s="43" t="str">
        <f t="shared" si="65"/>
        <v/>
      </c>
      <c r="K137" s="43" t="str">
        <f t="shared" si="65"/>
        <v/>
      </c>
      <c r="L137" s="43" t="str">
        <f t="shared" si="65"/>
        <v/>
      </c>
      <c r="M137" s="43" t="str">
        <f t="shared" si="65"/>
        <v/>
      </c>
      <c r="N137" s="43" t="str">
        <f t="shared" si="65"/>
        <v/>
      </c>
      <c r="O137" s="43" t="str">
        <f t="shared" si="65"/>
        <v/>
      </c>
      <c r="P137" s="43" t="str">
        <f t="shared" si="65"/>
        <v/>
      </c>
      <c r="Q137" s="43" t="str">
        <f t="shared" si="65"/>
        <v/>
      </c>
      <c r="R137" s="43" t="str">
        <f t="shared" ref="R137:AA146" si="66">IF($D137=R$6,$B137&amp;", ","")</f>
        <v/>
      </c>
      <c r="S137" s="43" t="str">
        <f t="shared" si="66"/>
        <v/>
      </c>
      <c r="T137" s="43" t="str">
        <f t="shared" si="66"/>
        <v/>
      </c>
      <c r="U137" s="43" t="str">
        <f t="shared" si="66"/>
        <v/>
      </c>
      <c r="V137" s="43" t="str">
        <f t="shared" si="66"/>
        <v/>
      </c>
      <c r="W137" s="43" t="str">
        <f t="shared" si="66"/>
        <v/>
      </c>
      <c r="X137" s="43" t="str">
        <f t="shared" si="66"/>
        <v/>
      </c>
      <c r="Y137" s="43" t="str">
        <f t="shared" si="66"/>
        <v/>
      </c>
      <c r="Z137" s="43" t="str">
        <f t="shared" si="66"/>
        <v/>
      </c>
      <c r="AA137" s="43" t="str">
        <f t="shared" si="66"/>
        <v/>
      </c>
      <c r="AB137" s="43" t="str">
        <f t="shared" ref="AB137:AK146" si="67">IF($D137=AB$6,$B137&amp;", ","")</f>
        <v/>
      </c>
      <c r="AC137" s="43" t="str">
        <f t="shared" si="67"/>
        <v/>
      </c>
      <c r="AD137" s="43" t="str">
        <f t="shared" si="67"/>
        <v/>
      </c>
      <c r="AE137" s="43" t="str">
        <f t="shared" si="67"/>
        <v/>
      </c>
      <c r="AF137" s="43" t="str">
        <f t="shared" si="67"/>
        <v/>
      </c>
      <c r="AG137" s="43" t="str">
        <f t="shared" si="67"/>
        <v/>
      </c>
      <c r="AH137" s="43" t="str">
        <f t="shared" si="67"/>
        <v/>
      </c>
      <c r="AI137" s="43" t="str">
        <f t="shared" si="67"/>
        <v/>
      </c>
      <c r="AJ137" s="43" t="str">
        <f t="shared" si="67"/>
        <v/>
      </c>
      <c r="AK137" s="43" t="str">
        <f t="shared" si="67"/>
        <v/>
      </c>
      <c r="AL137" s="43" t="str">
        <f t="shared" ref="AL137:AU146" si="68">IF($D137=AL$6,$B137&amp;", ","")</f>
        <v/>
      </c>
      <c r="AM137" s="43" t="str">
        <f t="shared" si="68"/>
        <v/>
      </c>
      <c r="AN137" s="43" t="str">
        <f t="shared" si="68"/>
        <v/>
      </c>
      <c r="AO137" s="43" t="str">
        <f t="shared" si="68"/>
        <v/>
      </c>
      <c r="AP137" s="43" t="str">
        <f t="shared" si="68"/>
        <v/>
      </c>
      <c r="AQ137" s="43" t="str">
        <f t="shared" si="68"/>
        <v/>
      </c>
      <c r="AR137" s="43" t="str">
        <f t="shared" si="68"/>
        <v/>
      </c>
      <c r="AS137" s="43" t="str">
        <f t="shared" si="68"/>
        <v/>
      </c>
      <c r="AT137" s="43" t="str">
        <f t="shared" si="68"/>
        <v/>
      </c>
      <c r="AU137" s="43" t="str">
        <f t="shared" si="68"/>
        <v/>
      </c>
      <c r="AV137" s="43" t="str">
        <f t="shared" ref="AV137:BA146" si="69">IF($D137=AV$6,$B137&amp;", ","")</f>
        <v/>
      </c>
      <c r="AW137" s="43" t="str">
        <f t="shared" si="69"/>
        <v/>
      </c>
      <c r="AX137" s="43" t="str">
        <f t="shared" si="69"/>
        <v/>
      </c>
      <c r="AY137" s="43" t="str">
        <f t="shared" si="69"/>
        <v/>
      </c>
      <c r="AZ137" s="43" t="str">
        <f t="shared" si="69"/>
        <v/>
      </c>
      <c r="BA137" s="43" t="str">
        <f t="shared" si="69"/>
        <v/>
      </c>
      <c r="BB137" s="43"/>
      <c r="BC137" s="43"/>
      <c r="BD137" s="43"/>
      <c r="BE137" s="43"/>
      <c r="BF137" s="43"/>
      <c r="BG137" s="43"/>
      <c r="BW137" s="1250"/>
    </row>
    <row r="138" spans="1:75" x14ac:dyDescent="0.25">
      <c r="A138" s="1251"/>
      <c r="B138" s="462">
        <v>132</v>
      </c>
      <c r="C138" s="462"/>
      <c r="D138" s="1244"/>
      <c r="E138" s="1050"/>
      <c r="F138" s="1244"/>
      <c r="H138" s="43" t="str">
        <f t="shared" si="65"/>
        <v/>
      </c>
      <c r="I138" s="43" t="str">
        <f t="shared" si="65"/>
        <v/>
      </c>
      <c r="J138" s="43" t="str">
        <f t="shared" si="65"/>
        <v/>
      </c>
      <c r="K138" s="43" t="str">
        <f t="shared" si="65"/>
        <v/>
      </c>
      <c r="L138" s="43" t="str">
        <f t="shared" si="65"/>
        <v/>
      </c>
      <c r="M138" s="43" t="str">
        <f t="shared" si="65"/>
        <v/>
      </c>
      <c r="N138" s="43" t="str">
        <f t="shared" si="65"/>
        <v/>
      </c>
      <c r="O138" s="43" t="str">
        <f t="shared" si="65"/>
        <v/>
      </c>
      <c r="P138" s="43" t="str">
        <f t="shared" si="65"/>
        <v/>
      </c>
      <c r="Q138" s="43" t="str">
        <f t="shared" si="65"/>
        <v/>
      </c>
      <c r="R138" s="43" t="str">
        <f t="shared" si="66"/>
        <v/>
      </c>
      <c r="S138" s="43" t="str">
        <f t="shared" si="66"/>
        <v/>
      </c>
      <c r="T138" s="43" t="str">
        <f t="shared" si="66"/>
        <v/>
      </c>
      <c r="U138" s="43" t="str">
        <f t="shared" si="66"/>
        <v/>
      </c>
      <c r="V138" s="43" t="str">
        <f t="shared" si="66"/>
        <v/>
      </c>
      <c r="W138" s="43" t="str">
        <f t="shared" si="66"/>
        <v/>
      </c>
      <c r="X138" s="43" t="str">
        <f t="shared" si="66"/>
        <v/>
      </c>
      <c r="Y138" s="43" t="str">
        <f t="shared" si="66"/>
        <v/>
      </c>
      <c r="Z138" s="43" t="str">
        <f t="shared" si="66"/>
        <v/>
      </c>
      <c r="AA138" s="43" t="str">
        <f t="shared" si="66"/>
        <v/>
      </c>
      <c r="AB138" s="43" t="str">
        <f t="shared" si="67"/>
        <v/>
      </c>
      <c r="AC138" s="43" t="str">
        <f t="shared" si="67"/>
        <v/>
      </c>
      <c r="AD138" s="43" t="str">
        <f t="shared" si="67"/>
        <v/>
      </c>
      <c r="AE138" s="43" t="str">
        <f t="shared" si="67"/>
        <v/>
      </c>
      <c r="AF138" s="43" t="str">
        <f t="shared" si="67"/>
        <v/>
      </c>
      <c r="AG138" s="43" t="str">
        <f t="shared" si="67"/>
        <v/>
      </c>
      <c r="AH138" s="43" t="str">
        <f t="shared" si="67"/>
        <v/>
      </c>
      <c r="AI138" s="43" t="str">
        <f t="shared" si="67"/>
        <v/>
      </c>
      <c r="AJ138" s="43" t="str">
        <f t="shared" si="67"/>
        <v/>
      </c>
      <c r="AK138" s="43" t="str">
        <f t="shared" si="67"/>
        <v/>
      </c>
      <c r="AL138" s="43" t="str">
        <f t="shared" si="68"/>
        <v/>
      </c>
      <c r="AM138" s="43" t="str">
        <f t="shared" si="68"/>
        <v/>
      </c>
      <c r="AN138" s="43" t="str">
        <f t="shared" si="68"/>
        <v/>
      </c>
      <c r="AO138" s="43" t="str">
        <f t="shared" si="68"/>
        <v/>
      </c>
      <c r="AP138" s="43" t="str">
        <f t="shared" si="68"/>
        <v/>
      </c>
      <c r="AQ138" s="43" t="str">
        <f t="shared" si="68"/>
        <v/>
      </c>
      <c r="AR138" s="43" t="str">
        <f t="shared" si="68"/>
        <v/>
      </c>
      <c r="AS138" s="43" t="str">
        <f t="shared" si="68"/>
        <v/>
      </c>
      <c r="AT138" s="43" t="str">
        <f t="shared" si="68"/>
        <v/>
      </c>
      <c r="AU138" s="43" t="str">
        <f t="shared" si="68"/>
        <v/>
      </c>
      <c r="AV138" s="43" t="str">
        <f t="shared" si="69"/>
        <v/>
      </c>
      <c r="AW138" s="43" t="str">
        <f t="shared" si="69"/>
        <v/>
      </c>
      <c r="AX138" s="43" t="str">
        <f t="shared" si="69"/>
        <v/>
      </c>
      <c r="AY138" s="43" t="str">
        <f t="shared" si="69"/>
        <v/>
      </c>
      <c r="AZ138" s="43" t="str">
        <f t="shared" si="69"/>
        <v/>
      </c>
      <c r="BA138" s="43" t="str">
        <f t="shared" si="69"/>
        <v/>
      </c>
      <c r="BB138" s="43"/>
      <c r="BC138" s="43"/>
      <c r="BD138" s="43"/>
      <c r="BE138" s="43"/>
      <c r="BF138" s="43"/>
      <c r="BG138" s="43"/>
      <c r="BW138" s="1250"/>
    </row>
    <row r="139" spans="1:75" x14ac:dyDescent="0.25">
      <c r="A139" s="1251"/>
      <c r="B139" s="462">
        <v>133</v>
      </c>
      <c r="C139" s="462"/>
      <c r="D139" s="1244"/>
      <c r="E139" s="1050"/>
      <c r="F139" s="1244"/>
      <c r="H139" s="43" t="str">
        <f t="shared" si="65"/>
        <v/>
      </c>
      <c r="I139" s="43" t="str">
        <f t="shared" si="65"/>
        <v/>
      </c>
      <c r="J139" s="43" t="str">
        <f t="shared" si="65"/>
        <v/>
      </c>
      <c r="K139" s="43" t="str">
        <f t="shared" si="65"/>
        <v/>
      </c>
      <c r="L139" s="43" t="str">
        <f t="shared" si="65"/>
        <v/>
      </c>
      <c r="M139" s="43" t="str">
        <f t="shared" si="65"/>
        <v/>
      </c>
      <c r="N139" s="43" t="str">
        <f t="shared" si="65"/>
        <v/>
      </c>
      <c r="O139" s="43" t="str">
        <f t="shared" si="65"/>
        <v/>
      </c>
      <c r="P139" s="43" t="str">
        <f t="shared" si="65"/>
        <v/>
      </c>
      <c r="Q139" s="43" t="str">
        <f t="shared" si="65"/>
        <v/>
      </c>
      <c r="R139" s="43" t="str">
        <f t="shared" si="66"/>
        <v/>
      </c>
      <c r="S139" s="43" t="str">
        <f t="shared" si="66"/>
        <v/>
      </c>
      <c r="T139" s="43" t="str">
        <f t="shared" si="66"/>
        <v/>
      </c>
      <c r="U139" s="43" t="str">
        <f t="shared" si="66"/>
        <v/>
      </c>
      <c r="V139" s="43" t="str">
        <f t="shared" si="66"/>
        <v/>
      </c>
      <c r="W139" s="43" t="str">
        <f t="shared" si="66"/>
        <v/>
      </c>
      <c r="X139" s="43" t="str">
        <f t="shared" si="66"/>
        <v/>
      </c>
      <c r="Y139" s="43" t="str">
        <f t="shared" si="66"/>
        <v/>
      </c>
      <c r="Z139" s="43" t="str">
        <f t="shared" si="66"/>
        <v/>
      </c>
      <c r="AA139" s="43" t="str">
        <f t="shared" si="66"/>
        <v/>
      </c>
      <c r="AB139" s="43" t="str">
        <f t="shared" si="67"/>
        <v/>
      </c>
      <c r="AC139" s="43" t="str">
        <f t="shared" si="67"/>
        <v/>
      </c>
      <c r="AD139" s="43" t="str">
        <f t="shared" si="67"/>
        <v/>
      </c>
      <c r="AE139" s="43" t="str">
        <f t="shared" si="67"/>
        <v/>
      </c>
      <c r="AF139" s="43" t="str">
        <f t="shared" si="67"/>
        <v/>
      </c>
      <c r="AG139" s="43" t="str">
        <f t="shared" si="67"/>
        <v/>
      </c>
      <c r="AH139" s="43" t="str">
        <f t="shared" si="67"/>
        <v/>
      </c>
      <c r="AI139" s="43" t="str">
        <f t="shared" si="67"/>
        <v/>
      </c>
      <c r="AJ139" s="43" t="str">
        <f t="shared" si="67"/>
        <v/>
      </c>
      <c r="AK139" s="43" t="str">
        <f t="shared" si="67"/>
        <v/>
      </c>
      <c r="AL139" s="43" t="str">
        <f t="shared" si="68"/>
        <v/>
      </c>
      <c r="AM139" s="43" t="str">
        <f t="shared" si="68"/>
        <v/>
      </c>
      <c r="AN139" s="43" t="str">
        <f t="shared" si="68"/>
        <v/>
      </c>
      <c r="AO139" s="43" t="str">
        <f t="shared" si="68"/>
        <v/>
      </c>
      <c r="AP139" s="43" t="str">
        <f t="shared" si="68"/>
        <v/>
      </c>
      <c r="AQ139" s="43" t="str">
        <f t="shared" si="68"/>
        <v/>
      </c>
      <c r="AR139" s="43" t="str">
        <f t="shared" si="68"/>
        <v/>
      </c>
      <c r="AS139" s="43" t="str">
        <f t="shared" si="68"/>
        <v/>
      </c>
      <c r="AT139" s="43" t="str">
        <f t="shared" si="68"/>
        <v/>
      </c>
      <c r="AU139" s="43" t="str">
        <f t="shared" si="68"/>
        <v/>
      </c>
      <c r="AV139" s="43" t="str">
        <f t="shared" si="69"/>
        <v/>
      </c>
      <c r="AW139" s="43" t="str">
        <f t="shared" si="69"/>
        <v/>
      </c>
      <c r="AX139" s="43" t="str">
        <f t="shared" si="69"/>
        <v/>
      </c>
      <c r="AY139" s="43" t="str">
        <f t="shared" si="69"/>
        <v/>
      </c>
      <c r="AZ139" s="43" t="str">
        <f t="shared" si="69"/>
        <v/>
      </c>
      <c r="BA139" s="43" t="str">
        <f t="shared" si="69"/>
        <v/>
      </c>
      <c r="BB139" s="43"/>
      <c r="BC139" s="43"/>
      <c r="BD139" s="43"/>
      <c r="BE139" s="43"/>
      <c r="BF139" s="43"/>
      <c r="BG139" s="43"/>
      <c r="BW139" s="1250"/>
    </row>
    <row r="140" spans="1:75" x14ac:dyDescent="0.25">
      <c r="A140" s="1251"/>
      <c r="B140" s="462">
        <v>134</v>
      </c>
      <c r="C140" s="462"/>
      <c r="D140" s="1244"/>
      <c r="E140" s="1050"/>
      <c r="F140" s="1244"/>
      <c r="H140" s="43" t="str">
        <f t="shared" si="65"/>
        <v/>
      </c>
      <c r="I140" s="43" t="str">
        <f t="shared" si="65"/>
        <v/>
      </c>
      <c r="J140" s="43" t="str">
        <f t="shared" si="65"/>
        <v/>
      </c>
      <c r="K140" s="43" t="str">
        <f t="shared" si="65"/>
        <v/>
      </c>
      <c r="L140" s="43" t="str">
        <f t="shared" si="65"/>
        <v/>
      </c>
      <c r="M140" s="43" t="str">
        <f t="shared" si="65"/>
        <v/>
      </c>
      <c r="N140" s="43" t="str">
        <f t="shared" si="65"/>
        <v/>
      </c>
      <c r="O140" s="43" t="str">
        <f t="shared" si="65"/>
        <v/>
      </c>
      <c r="P140" s="43" t="str">
        <f t="shared" si="65"/>
        <v/>
      </c>
      <c r="Q140" s="43" t="str">
        <f t="shared" si="65"/>
        <v/>
      </c>
      <c r="R140" s="43" t="str">
        <f t="shared" si="66"/>
        <v/>
      </c>
      <c r="S140" s="43" t="str">
        <f t="shared" si="66"/>
        <v/>
      </c>
      <c r="T140" s="43" t="str">
        <f t="shared" si="66"/>
        <v/>
      </c>
      <c r="U140" s="43" t="str">
        <f t="shared" si="66"/>
        <v/>
      </c>
      <c r="V140" s="43" t="str">
        <f t="shared" si="66"/>
        <v/>
      </c>
      <c r="W140" s="43" t="str">
        <f t="shared" si="66"/>
        <v/>
      </c>
      <c r="X140" s="43" t="str">
        <f t="shared" si="66"/>
        <v/>
      </c>
      <c r="Y140" s="43" t="str">
        <f t="shared" si="66"/>
        <v/>
      </c>
      <c r="Z140" s="43" t="str">
        <f t="shared" si="66"/>
        <v/>
      </c>
      <c r="AA140" s="43" t="str">
        <f t="shared" si="66"/>
        <v/>
      </c>
      <c r="AB140" s="43" t="str">
        <f t="shared" si="67"/>
        <v/>
      </c>
      <c r="AC140" s="43" t="str">
        <f t="shared" si="67"/>
        <v/>
      </c>
      <c r="AD140" s="43" t="str">
        <f t="shared" si="67"/>
        <v/>
      </c>
      <c r="AE140" s="43" t="str">
        <f t="shared" si="67"/>
        <v/>
      </c>
      <c r="AF140" s="43" t="str">
        <f t="shared" si="67"/>
        <v/>
      </c>
      <c r="AG140" s="43" t="str">
        <f t="shared" si="67"/>
        <v/>
      </c>
      <c r="AH140" s="43" t="str">
        <f t="shared" si="67"/>
        <v/>
      </c>
      <c r="AI140" s="43" t="str">
        <f t="shared" si="67"/>
        <v/>
      </c>
      <c r="AJ140" s="43" t="str">
        <f t="shared" si="67"/>
        <v/>
      </c>
      <c r="AK140" s="43" t="str">
        <f t="shared" si="67"/>
        <v/>
      </c>
      <c r="AL140" s="43" t="str">
        <f t="shared" si="68"/>
        <v/>
      </c>
      <c r="AM140" s="43" t="str">
        <f t="shared" si="68"/>
        <v/>
      </c>
      <c r="AN140" s="43" t="str">
        <f t="shared" si="68"/>
        <v/>
      </c>
      <c r="AO140" s="43" t="str">
        <f t="shared" si="68"/>
        <v/>
      </c>
      <c r="AP140" s="43" t="str">
        <f t="shared" si="68"/>
        <v/>
      </c>
      <c r="AQ140" s="43" t="str">
        <f t="shared" si="68"/>
        <v/>
      </c>
      <c r="AR140" s="43" t="str">
        <f t="shared" si="68"/>
        <v/>
      </c>
      <c r="AS140" s="43" t="str">
        <f t="shared" si="68"/>
        <v/>
      </c>
      <c r="AT140" s="43" t="str">
        <f t="shared" si="68"/>
        <v/>
      </c>
      <c r="AU140" s="43" t="str">
        <f t="shared" si="68"/>
        <v/>
      </c>
      <c r="AV140" s="43" t="str">
        <f t="shared" si="69"/>
        <v/>
      </c>
      <c r="AW140" s="43" t="str">
        <f t="shared" si="69"/>
        <v/>
      </c>
      <c r="AX140" s="43" t="str">
        <f t="shared" si="69"/>
        <v/>
      </c>
      <c r="AY140" s="43" t="str">
        <f t="shared" si="69"/>
        <v/>
      </c>
      <c r="AZ140" s="43" t="str">
        <f t="shared" si="69"/>
        <v/>
      </c>
      <c r="BA140" s="43" t="str">
        <f t="shared" si="69"/>
        <v/>
      </c>
      <c r="BB140" s="43"/>
      <c r="BC140" s="43"/>
      <c r="BD140" s="43"/>
      <c r="BE140" s="43"/>
      <c r="BF140" s="43"/>
      <c r="BG140" s="43"/>
      <c r="BW140" s="1250"/>
    </row>
    <row r="141" spans="1:75" x14ac:dyDescent="0.25">
      <c r="A141" s="1251"/>
      <c r="B141" s="462">
        <v>135</v>
      </c>
      <c r="C141" s="462"/>
      <c r="D141" s="1244"/>
      <c r="E141" s="1050"/>
      <c r="F141" s="1244"/>
      <c r="H141" s="43" t="str">
        <f t="shared" si="65"/>
        <v/>
      </c>
      <c r="I141" s="43" t="str">
        <f t="shared" si="65"/>
        <v/>
      </c>
      <c r="J141" s="43" t="str">
        <f t="shared" si="65"/>
        <v/>
      </c>
      <c r="K141" s="43" t="str">
        <f t="shared" si="65"/>
        <v/>
      </c>
      <c r="L141" s="43" t="str">
        <f t="shared" si="65"/>
        <v/>
      </c>
      <c r="M141" s="43" t="str">
        <f t="shared" si="65"/>
        <v/>
      </c>
      <c r="N141" s="43" t="str">
        <f t="shared" si="65"/>
        <v/>
      </c>
      <c r="O141" s="43" t="str">
        <f t="shared" si="65"/>
        <v/>
      </c>
      <c r="P141" s="43" t="str">
        <f t="shared" si="65"/>
        <v/>
      </c>
      <c r="Q141" s="43" t="str">
        <f t="shared" si="65"/>
        <v/>
      </c>
      <c r="R141" s="43" t="str">
        <f t="shared" si="66"/>
        <v/>
      </c>
      <c r="S141" s="43" t="str">
        <f t="shared" si="66"/>
        <v/>
      </c>
      <c r="T141" s="43" t="str">
        <f t="shared" si="66"/>
        <v/>
      </c>
      <c r="U141" s="43" t="str">
        <f t="shared" si="66"/>
        <v/>
      </c>
      <c r="V141" s="43" t="str">
        <f t="shared" si="66"/>
        <v/>
      </c>
      <c r="W141" s="43" t="str">
        <f t="shared" si="66"/>
        <v/>
      </c>
      <c r="X141" s="43" t="str">
        <f t="shared" si="66"/>
        <v/>
      </c>
      <c r="Y141" s="43" t="str">
        <f t="shared" si="66"/>
        <v/>
      </c>
      <c r="Z141" s="43" t="str">
        <f t="shared" si="66"/>
        <v/>
      </c>
      <c r="AA141" s="43" t="str">
        <f t="shared" si="66"/>
        <v/>
      </c>
      <c r="AB141" s="43" t="str">
        <f t="shared" si="67"/>
        <v/>
      </c>
      <c r="AC141" s="43" t="str">
        <f t="shared" si="67"/>
        <v/>
      </c>
      <c r="AD141" s="43" t="str">
        <f t="shared" si="67"/>
        <v/>
      </c>
      <c r="AE141" s="43" t="str">
        <f t="shared" si="67"/>
        <v/>
      </c>
      <c r="AF141" s="43" t="str">
        <f t="shared" si="67"/>
        <v/>
      </c>
      <c r="AG141" s="43" t="str">
        <f t="shared" si="67"/>
        <v/>
      </c>
      <c r="AH141" s="43" t="str">
        <f t="shared" si="67"/>
        <v/>
      </c>
      <c r="AI141" s="43" t="str">
        <f t="shared" si="67"/>
        <v/>
      </c>
      <c r="AJ141" s="43" t="str">
        <f t="shared" si="67"/>
        <v/>
      </c>
      <c r="AK141" s="43" t="str">
        <f t="shared" si="67"/>
        <v/>
      </c>
      <c r="AL141" s="43" t="str">
        <f t="shared" si="68"/>
        <v/>
      </c>
      <c r="AM141" s="43" t="str">
        <f t="shared" si="68"/>
        <v/>
      </c>
      <c r="AN141" s="43" t="str">
        <f t="shared" si="68"/>
        <v/>
      </c>
      <c r="AO141" s="43" t="str">
        <f t="shared" si="68"/>
        <v/>
      </c>
      <c r="AP141" s="43" t="str">
        <f t="shared" si="68"/>
        <v/>
      </c>
      <c r="AQ141" s="43" t="str">
        <f t="shared" si="68"/>
        <v/>
      </c>
      <c r="AR141" s="43" t="str">
        <f t="shared" si="68"/>
        <v/>
      </c>
      <c r="AS141" s="43" t="str">
        <f t="shared" si="68"/>
        <v/>
      </c>
      <c r="AT141" s="43" t="str">
        <f t="shared" si="68"/>
        <v/>
      </c>
      <c r="AU141" s="43" t="str">
        <f t="shared" si="68"/>
        <v/>
      </c>
      <c r="AV141" s="43" t="str">
        <f t="shared" si="69"/>
        <v/>
      </c>
      <c r="AW141" s="43" t="str">
        <f t="shared" si="69"/>
        <v/>
      </c>
      <c r="AX141" s="43" t="str">
        <f t="shared" si="69"/>
        <v/>
      </c>
      <c r="AY141" s="43" t="str">
        <f t="shared" si="69"/>
        <v/>
      </c>
      <c r="AZ141" s="43" t="str">
        <f t="shared" si="69"/>
        <v/>
      </c>
      <c r="BA141" s="43" t="str">
        <f t="shared" si="69"/>
        <v/>
      </c>
      <c r="BB141" s="43"/>
      <c r="BC141" s="43"/>
      <c r="BD141" s="43"/>
      <c r="BE141" s="43"/>
      <c r="BF141" s="43"/>
      <c r="BG141" s="43"/>
      <c r="BW141" s="1250"/>
    </row>
    <row r="142" spans="1:75" x14ac:dyDescent="0.25">
      <c r="A142" s="1251"/>
      <c r="B142" s="462">
        <v>136</v>
      </c>
      <c r="C142" s="462"/>
      <c r="D142" s="1244"/>
      <c r="E142" s="1050"/>
      <c r="F142" s="1244"/>
      <c r="H142" s="43" t="str">
        <f t="shared" si="65"/>
        <v/>
      </c>
      <c r="I142" s="43" t="str">
        <f t="shared" si="65"/>
        <v/>
      </c>
      <c r="J142" s="43" t="str">
        <f t="shared" si="65"/>
        <v/>
      </c>
      <c r="K142" s="43" t="str">
        <f t="shared" si="65"/>
        <v/>
      </c>
      <c r="L142" s="43" t="str">
        <f t="shared" si="65"/>
        <v/>
      </c>
      <c r="M142" s="43" t="str">
        <f t="shared" si="65"/>
        <v/>
      </c>
      <c r="N142" s="43" t="str">
        <f t="shared" si="65"/>
        <v/>
      </c>
      <c r="O142" s="43" t="str">
        <f t="shared" si="65"/>
        <v/>
      </c>
      <c r="P142" s="43" t="str">
        <f t="shared" si="65"/>
        <v/>
      </c>
      <c r="Q142" s="43" t="str">
        <f t="shared" si="65"/>
        <v/>
      </c>
      <c r="R142" s="43" t="str">
        <f t="shared" si="66"/>
        <v/>
      </c>
      <c r="S142" s="43" t="str">
        <f t="shared" si="66"/>
        <v/>
      </c>
      <c r="T142" s="43" t="str">
        <f t="shared" si="66"/>
        <v/>
      </c>
      <c r="U142" s="43" t="str">
        <f t="shared" si="66"/>
        <v/>
      </c>
      <c r="V142" s="43" t="str">
        <f t="shared" si="66"/>
        <v/>
      </c>
      <c r="W142" s="43" t="str">
        <f t="shared" si="66"/>
        <v/>
      </c>
      <c r="X142" s="43" t="str">
        <f t="shared" si="66"/>
        <v/>
      </c>
      <c r="Y142" s="43" t="str">
        <f t="shared" si="66"/>
        <v/>
      </c>
      <c r="Z142" s="43" t="str">
        <f t="shared" si="66"/>
        <v/>
      </c>
      <c r="AA142" s="43" t="str">
        <f t="shared" si="66"/>
        <v/>
      </c>
      <c r="AB142" s="43" t="str">
        <f t="shared" si="67"/>
        <v/>
      </c>
      <c r="AC142" s="43" t="str">
        <f t="shared" si="67"/>
        <v/>
      </c>
      <c r="AD142" s="43" t="str">
        <f t="shared" si="67"/>
        <v/>
      </c>
      <c r="AE142" s="43" t="str">
        <f t="shared" si="67"/>
        <v/>
      </c>
      <c r="AF142" s="43" t="str">
        <f t="shared" si="67"/>
        <v/>
      </c>
      <c r="AG142" s="43" t="str">
        <f t="shared" si="67"/>
        <v/>
      </c>
      <c r="AH142" s="43" t="str">
        <f t="shared" si="67"/>
        <v/>
      </c>
      <c r="AI142" s="43" t="str">
        <f t="shared" si="67"/>
        <v/>
      </c>
      <c r="AJ142" s="43" t="str">
        <f t="shared" si="67"/>
        <v/>
      </c>
      <c r="AK142" s="43" t="str">
        <f t="shared" si="67"/>
        <v/>
      </c>
      <c r="AL142" s="43" t="str">
        <f t="shared" si="68"/>
        <v/>
      </c>
      <c r="AM142" s="43" t="str">
        <f t="shared" si="68"/>
        <v/>
      </c>
      <c r="AN142" s="43" t="str">
        <f t="shared" si="68"/>
        <v/>
      </c>
      <c r="AO142" s="43" t="str">
        <f t="shared" si="68"/>
        <v/>
      </c>
      <c r="AP142" s="43" t="str">
        <f t="shared" si="68"/>
        <v/>
      </c>
      <c r="AQ142" s="43" t="str">
        <f t="shared" si="68"/>
        <v/>
      </c>
      <c r="AR142" s="43" t="str">
        <f t="shared" si="68"/>
        <v/>
      </c>
      <c r="AS142" s="43" t="str">
        <f t="shared" si="68"/>
        <v/>
      </c>
      <c r="AT142" s="43" t="str">
        <f t="shared" si="68"/>
        <v/>
      </c>
      <c r="AU142" s="43" t="str">
        <f t="shared" si="68"/>
        <v/>
      </c>
      <c r="AV142" s="43" t="str">
        <f t="shared" si="69"/>
        <v/>
      </c>
      <c r="AW142" s="43" t="str">
        <f t="shared" si="69"/>
        <v/>
      </c>
      <c r="AX142" s="43" t="str">
        <f t="shared" si="69"/>
        <v/>
      </c>
      <c r="AY142" s="43" t="str">
        <f t="shared" si="69"/>
        <v/>
      </c>
      <c r="AZ142" s="43" t="str">
        <f t="shared" si="69"/>
        <v/>
      </c>
      <c r="BA142" s="43" t="str">
        <f t="shared" si="69"/>
        <v/>
      </c>
      <c r="BB142" s="43"/>
      <c r="BC142" s="43"/>
      <c r="BD142" s="43"/>
      <c r="BE142" s="43"/>
      <c r="BF142" s="43"/>
      <c r="BG142" s="43"/>
      <c r="BW142" s="1250"/>
    </row>
    <row r="143" spans="1:75" x14ac:dyDescent="0.25">
      <c r="A143" s="1251"/>
      <c r="B143" s="462">
        <v>137</v>
      </c>
      <c r="C143" s="462"/>
      <c r="D143" s="1244"/>
      <c r="E143" s="1050"/>
      <c r="F143" s="1244"/>
      <c r="H143" s="43" t="str">
        <f t="shared" si="65"/>
        <v/>
      </c>
      <c r="I143" s="43" t="str">
        <f t="shared" si="65"/>
        <v/>
      </c>
      <c r="J143" s="43" t="str">
        <f t="shared" si="65"/>
        <v/>
      </c>
      <c r="K143" s="43" t="str">
        <f t="shared" si="65"/>
        <v/>
      </c>
      <c r="L143" s="43" t="str">
        <f t="shared" si="65"/>
        <v/>
      </c>
      <c r="M143" s="43" t="str">
        <f t="shared" si="65"/>
        <v/>
      </c>
      <c r="N143" s="43" t="str">
        <f t="shared" si="65"/>
        <v/>
      </c>
      <c r="O143" s="43" t="str">
        <f t="shared" si="65"/>
        <v/>
      </c>
      <c r="P143" s="43" t="str">
        <f t="shared" si="65"/>
        <v/>
      </c>
      <c r="Q143" s="43" t="str">
        <f t="shared" si="65"/>
        <v/>
      </c>
      <c r="R143" s="43" t="str">
        <f t="shared" si="66"/>
        <v/>
      </c>
      <c r="S143" s="43" t="str">
        <f t="shared" si="66"/>
        <v/>
      </c>
      <c r="T143" s="43" t="str">
        <f t="shared" si="66"/>
        <v/>
      </c>
      <c r="U143" s="43" t="str">
        <f t="shared" si="66"/>
        <v/>
      </c>
      <c r="V143" s="43" t="str">
        <f t="shared" si="66"/>
        <v/>
      </c>
      <c r="W143" s="43" t="str">
        <f t="shared" si="66"/>
        <v/>
      </c>
      <c r="X143" s="43" t="str">
        <f t="shared" si="66"/>
        <v/>
      </c>
      <c r="Y143" s="43" t="str">
        <f t="shared" si="66"/>
        <v/>
      </c>
      <c r="Z143" s="43" t="str">
        <f t="shared" si="66"/>
        <v/>
      </c>
      <c r="AA143" s="43" t="str">
        <f t="shared" si="66"/>
        <v/>
      </c>
      <c r="AB143" s="43" t="str">
        <f t="shared" si="67"/>
        <v/>
      </c>
      <c r="AC143" s="43" t="str">
        <f t="shared" si="67"/>
        <v/>
      </c>
      <c r="AD143" s="43" t="str">
        <f t="shared" si="67"/>
        <v/>
      </c>
      <c r="AE143" s="43" t="str">
        <f t="shared" si="67"/>
        <v/>
      </c>
      <c r="AF143" s="43" t="str">
        <f t="shared" si="67"/>
        <v/>
      </c>
      <c r="AG143" s="43" t="str">
        <f t="shared" si="67"/>
        <v/>
      </c>
      <c r="AH143" s="43" t="str">
        <f t="shared" si="67"/>
        <v/>
      </c>
      <c r="AI143" s="43" t="str">
        <f t="shared" si="67"/>
        <v/>
      </c>
      <c r="AJ143" s="43" t="str">
        <f t="shared" si="67"/>
        <v/>
      </c>
      <c r="AK143" s="43" t="str">
        <f t="shared" si="67"/>
        <v/>
      </c>
      <c r="AL143" s="43" t="str">
        <f t="shared" si="68"/>
        <v/>
      </c>
      <c r="AM143" s="43" t="str">
        <f t="shared" si="68"/>
        <v/>
      </c>
      <c r="AN143" s="43" t="str">
        <f t="shared" si="68"/>
        <v/>
      </c>
      <c r="AO143" s="43" t="str">
        <f t="shared" si="68"/>
        <v/>
      </c>
      <c r="AP143" s="43" t="str">
        <f t="shared" si="68"/>
        <v/>
      </c>
      <c r="AQ143" s="43" t="str">
        <f t="shared" si="68"/>
        <v/>
      </c>
      <c r="AR143" s="43" t="str">
        <f t="shared" si="68"/>
        <v/>
      </c>
      <c r="AS143" s="43" t="str">
        <f t="shared" si="68"/>
        <v/>
      </c>
      <c r="AT143" s="43" t="str">
        <f t="shared" si="68"/>
        <v/>
      </c>
      <c r="AU143" s="43" t="str">
        <f t="shared" si="68"/>
        <v/>
      </c>
      <c r="AV143" s="43" t="str">
        <f t="shared" si="69"/>
        <v/>
      </c>
      <c r="AW143" s="43" t="str">
        <f t="shared" si="69"/>
        <v/>
      </c>
      <c r="AX143" s="43" t="str">
        <f t="shared" si="69"/>
        <v/>
      </c>
      <c r="AY143" s="43" t="str">
        <f t="shared" si="69"/>
        <v/>
      </c>
      <c r="AZ143" s="43" t="str">
        <f t="shared" si="69"/>
        <v/>
      </c>
      <c r="BA143" s="43" t="str">
        <f t="shared" si="69"/>
        <v/>
      </c>
      <c r="BB143" s="43"/>
      <c r="BC143" s="43"/>
      <c r="BD143" s="43"/>
      <c r="BE143" s="43"/>
      <c r="BF143" s="43"/>
      <c r="BG143" s="43"/>
      <c r="BW143" s="1250"/>
    </row>
    <row r="144" spans="1:75" x14ac:dyDescent="0.25">
      <c r="A144" s="1251"/>
      <c r="B144" s="462">
        <v>138</v>
      </c>
      <c r="C144" s="462"/>
      <c r="D144" s="1244"/>
      <c r="E144" s="1050"/>
      <c r="F144" s="1244"/>
      <c r="H144" s="43" t="str">
        <f t="shared" si="65"/>
        <v/>
      </c>
      <c r="I144" s="43" t="str">
        <f t="shared" si="65"/>
        <v/>
      </c>
      <c r="J144" s="43" t="str">
        <f t="shared" si="65"/>
        <v/>
      </c>
      <c r="K144" s="43" t="str">
        <f t="shared" si="65"/>
        <v/>
      </c>
      <c r="L144" s="43" t="str">
        <f t="shared" si="65"/>
        <v/>
      </c>
      <c r="M144" s="43" t="str">
        <f t="shared" si="65"/>
        <v/>
      </c>
      <c r="N144" s="43" t="str">
        <f t="shared" si="65"/>
        <v/>
      </c>
      <c r="O144" s="43" t="str">
        <f t="shared" si="65"/>
        <v/>
      </c>
      <c r="P144" s="43" t="str">
        <f t="shared" si="65"/>
        <v/>
      </c>
      <c r="Q144" s="43" t="str">
        <f t="shared" si="65"/>
        <v/>
      </c>
      <c r="R144" s="43" t="str">
        <f t="shared" si="66"/>
        <v/>
      </c>
      <c r="S144" s="43" t="str">
        <f t="shared" si="66"/>
        <v/>
      </c>
      <c r="T144" s="43" t="str">
        <f t="shared" si="66"/>
        <v/>
      </c>
      <c r="U144" s="43" t="str">
        <f t="shared" si="66"/>
        <v/>
      </c>
      <c r="V144" s="43" t="str">
        <f t="shared" si="66"/>
        <v/>
      </c>
      <c r="W144" s="43" t="str">
        <f t="shared" si="66"/>
        <v/>
      </c>
      <c r="X144" s="43" t="str">
        <f t="shared" si="66"/>
        <v/>
      </c>
      <c r="Y144" s="43" t="str">
        <f t="shared" si="66"/>
        <v/>
      </c>
      <c r="Z144" s="43" t="str">
        <f t="shared" si="66"/>
        <v/>
      </c>
      <c r="AA144" s="43" t="str">
        <f t="shared" si="66"/>
        <v/>
      </c>
      <c r="AB144" s="43" t="str">
        <f t="shared" si="67"/>
        <v/>
      </c>
      <c r="AC144" s="43" t="str">
        <f t="shared" si="67"/>
        <v/>
      </c>
      <c r="AD144" s="43" t="str">
        <f t="shared" si="67"/>
        <v/>
      </c>
      <c r="AE144" s="43" t="str">
        <f t="shared" si="67"/>
        <v/>
      </c>
      <c r="AF144" s="43" t="str">
        <f t="shared" si="67"/>
        <v/>
      </c>
      <c r="AG144" s="43" t="str">
        <f t="shared" si="67"/>
        <v/>
      </c>
      <c r="AH144" s="43" t="str">
        <f t="shared" si="67"/>
        <v/>
      </c>
      <c r="AI144" s="43" t="str">
        <f t="shared" si="67"/>
        <v/>
      </c>
      <c r="AJ144" s="43" t="str">
        <f t="shared" si="67"/>
        <v/>
      </c>
      <c r="AK144" s="43" t="str">
        <f t="shared" si="67"/>
        <v/>
      </c>
      <c r="AL144" s="43" t="str">
        <f t="shared" si="68"/>
        <v/>
      </c>
      <c r="AM144" s="43" t="str">
        <f t="shared" si="68"/>
        <v/>
      </c>
      <c r="AN144" s="43" t="str">
        <f t="shared" si="68"/>
        <v/>
      </c>
      <c r="AO144" s="43" t="str">
        <f t="shared" si="68"/>
        <v/>
      </c>
      <c r="AP144" s="43" t="str">
        <f t="shared" si="68"/>
        <v/>
      </c>
      <c r="AQ144" s="43" t="str">
        <f t="shared" si="68"/>
        <v/>
      </c>
      <c r="AR144" s="43" t="str">
        <f t="shared" si="68"/>
        <v/>
      </c>
      <c r="AS144" s="43" t="str">
        <f t="shared" si="68"/>
        <v/>
      </c>
      <c r="AT144" s="43" t="str">
        <f t="shared" si="68"/>
        <v/>
      </c>
      <c r="AU144" s="43" t="str">
        <f t="shared" si="68"/>
        <v/>
      </c>
      <c r="AV144" s="43" t="str">
        <f t="shared" si="69"/>
        <v/>
      </c>
      <c r="AW144" s="43" t="str">
        <f t="shared" si="69"/>
        <v/>
      </c>
      <c r="AX144" s="43" t="str">
        <f t="shared" si="69"/>
        <v/>
      </c>
      <c r="AY144" s="43" t="str">
        <f t="shared" si="69"/>
        <v/>
      </c>
      <c r="AZ144" s="43" t="str">
        <f t="shared" si="69"/>
        <v/>
      </c>
      <c r="BA144" s="43" t="str">
        <f t="shared" si="69"/>
        <v/>
      </c>
      <c r="BB144" s="43"/>
      <c r="BC144" s="43"/>
      <c r="BD144" s="43"/>
      <c r="BE144" s="43"/>
      <c r="BF144" s="43"/>
      <c r="BG144" s="43"/>
      <c r="BW144" s="1250"/>
    </row>
    <row r="145" spans="1:75" x14ac:dyDescent="0.25">
      <c r="A145" s="1251"/>
      <c r="B145" s="462">
        <v>139</v>
      </c>
      <c r="C145" s="462"/>
      <c r="D145" s="1244"/>
      <c r="E145" s="1050"/>
      <c r="F145" s="1244"/>
      <c r="H145" s="43" t="str">
        <f t="shared" si="65"/>
        <v/>
      </c>
      <c r="I145" s="43" t="str">
        <f t="shared" si="65"/>
        <v/>
      </c>
      <c r="J145" s="43" t="str">
        <f t="shared" si="65"/>
        <v/>
      </c>
      <c r="K145" s="43" t="str">
        <f t="shared" si="65"/>
        <v/>
      </c>
      <c r="L145" s="43" t="str">
        <f t="shared" si="65"/>
        <v/>
      </c>
      <c r="M145" s="43" t="str">
        <f t="shared" si="65"/>
        <v/>
      </c>
      <c r="N145" s="43" t="str">
        <f t="shared" si="65"/>
        <v/>
      </c>
      <c r="O145" s="43" t="str">
        <f t="shared" si="65"/>
        <v/>
      </c>
      <c r="P145" s="43" t="str">
        <f t="shared" si="65"/>
        <v/>
      </c>
      <c r="Q145" s="43" t="str">
        <f t="shared" si="65"/>
        <v/>
      </c>
      <c r="R145" s="43" t="str">
        <f t="shared" si="66"/>
        <v/>
      </c>
      <c r="S145" s="43" t="str">
        <f t="shared" si="66"/>
        <v/>
      </c>
      <c r="T145" s="43" t="str">
        <f t="shared" si="66"/>
        <v/>
      </c>
      <c r="U145" s="43" t="str">
        <f t="shared" si="66"/>
        <v/>
      </c>
      <c r="V145" s="43" t="str">
        <f t="shared" si="66"/>
        <v/>
      </c>
      <c r="W145" s="43" t="str">
        <f t="shared" si="66"/>
        <v/>
      </c>
      <c r="X145" s="43" t="str">
        <f t="shared" si="66"/>
        <v/>
      </c>
      <c r="Y145" s="43" t="str">
        <f t="shared" si="66"/>
        <v/>
      </c>
      <c r="Z145" s="43" t="str">
        <f t="shared" si="66"/>
        <v/>
      </c>
      <c r="AA145" s="43" t="str">
        <f t="shared" si="66"/>
        <v/>
      </c>
      <c r="AB145" s="43" t="str">
        <f t="shared" si="67"/>
        <v/>
      </c>
      <c r="AC145" s="43" t="str">
        <f t="shared" si="67"/>
        <v/>
      </c>
      <c r="AD145" s="43" t="str">
        <f t="shared" si="67"/>
        <v/>
      </c>
      <c r="AE145" s="43" t="str">
        <f t="shared" si="67"/>
        <v/>
      </c>
      <c r="AF145" s="43" t="str">
        <f t="shared" si="67"/>
        <v/>
      </c>
      <c r="AG145" s="43" t="str">
        <f t="shared" si="67"/>
        <v/>
      </c>
      <c r="AH145" s="43" t="str">
        <f t="shared" si="67"/>
        <v/>
      </c>
      <c r="AI145" s="43" t="str">
        <f t="shared" si="67"/>
        <v/>
      </c>
      <c r="AJ145" s="43" t="str">
        <f t="shared" si="67"/>
        <v/>
      </c>
      <c r="AK145" s="43" t="str">
        <f t="shared" si="67"/>
        <v/>
      </c>
      <c r="AL145" s="43" t="str">
        <f t="shared" si="68"/>
        <v/>
      </c>
      <c r="AM145" s="43" t="str">
        <f t="shared" si="68"/>
        <v/>
      </c>
      <c r="AN145" s="43" t="str">
        <f t="shared" si="68"/>
        <v/>
      </c>
      <c r="AO145" s="43" t="str">
        <f t="shared" si="68"/>
        <v/>
      </c>
      <c r="AP145" s="43" t="str">
        <f t="shared" si="68"/>
        <v/>
      </c>
      <c r="AQ145" s="43" t="str">
        <f t="shared" si="68"/>
        <v/>
      </c>
      <c r="AR145" s="43" t="str">
        <f t="shared" si="68"/>
        <v/>
      </c>
      <c r="AS145" s="43" t="str">
        <f t="shared" si="68"/>
        <v/>
      </c>
      <c r="AT145" s="43" t="str">
        <f t="shared" si="68"/>
        <v/>
      </c>
      <c r="AU145" s="43" t="str">
        <f t="shared" si="68"/>
        <v/>
      </c>
      <c r="AV145" s="43" t="str">
        <f t="shared" si="69"/>
        <v/>
      </c>
      <c r="AW145" s="43" t="str">
        <f t="shared" si="69"/>
        <v/>
      </c>
      <c r="AX145" s="43" t="str">
        <f t="shared" si="69"/>
        <v/>
      </c>
      <c r="AY145" s="43" t="str">
        <f t="shared" si="69"/>
        <v/>
      </c>
      <c r="AZ145" s="43" t="str">
        <f t="shared" si="69"/>
        <v/>
      </c>
      <c r="BA145" s="43" t="str">
        <f t="shared" si="69"/>
        <v/>
      </c>
      <c r="BB145" s="43"/>
      <c r="BC145" s="43"/>
      <c r="BD145" s="43"/>
      <c r="BE145" s="43"/>
      <c r="BF145" s="43"/>
      <c r="BG145" s="43"/>
      <c r="BW145" s="1250"/>
    </row>
    <row r="146" spans="1:75" x14ac:dyDescent="0.25">
      <c r="A146" s="1251"/>
      <c r="B146" s="462">
        <v>140</v>
      </c>
      <c r="C146" s="462"/>
      <c r="D146" s="1244"/>
      <c r="E146" s="1050"/>
      <c r="F146" s="1244"/>
      <c r="H146" s="43" t="str">
        <f t="shared" si="65"/>
        <v/>
      </c>
      <c r="I146" s="43" t="str">
        <f t="shared" si="65"/>
        <v/>
      </c>
      <c r="J146" s="43" t="str">
        <f t="shared" si="65"/>
        <v/>
      </c>
      <c r="K146" s="43" t="str">
        <f t="shared" si="65"/>
        <v/>
      </c>
      <c r="L146" s="43" t="str">
        <f t="shared" si="65"/>
        <v/>
      </c>
      <c r="M146" s="43" t="str">
        <f t="shared" si="65"/>
        <v/>
      </c>
      <c r="N146" s="43" t="str">
        <f t="shared" si="65"/>
        <v/>
      </c>
      <c r="O146" s="43" t="str">
        <f t="shared" si="65"/>
        <v/>
      </c>
      <c r="P146" s="43" t="str">
        <f t="shared" si="65"/>
        <v/>
      </c>
      <c r="Q146" s="43" t="str">
        <f t="shared" si="65"/>
        <v/>
      </c>
      <c r="R146" s="43" t="str">
        <f t="shared" si="66"/>
        <v/>
      </c>
      <c r="S146" s="43" t="str">
        <f t="shared" si="66"/>
        <v/>
      </c>
      <c r="T146" s="43" t="str">
        <f t="shared" si="66"/>
        <v/>
      </c>
      <c r="U146" s="43" t="str">
        <f t="shared" si="66"/>
        <v/>
      </c>
      <c r="V146" s="43" t="str">
        <f t="shared" si="66"/>
        <v/>
      </c>
      <c r="W146" s="43" t="str">
        <f t="shared" si="66"/>
        <v/>
      </c>
      <c r="X146" s="43" t="str">
        <f t="shared" si="66"/>
        <v/>
      </c>
      <c r="Y146" s="43" t="str">
        <f t="shared" si="66"/>
        <v/>
      </c>
      <c r="Z146" s="43" t="str">
        <f t="shared" si="66"/>
        <v/>
      </c>
      <c r="AA146" s="43" t="str">
        <f t="shared" si="66"/>
        <v/>
      </c>
      <c r="AB146" s="43" t="str">
        <f t="shared" si="67"/>
        <v/>
      </c>
      <c r="AC146" s="43" t="str">
        <f t="shared" si="67"/>
        <v/>
      </c>
      <c r="AD146" s="43" t="str">
        <f t="shared" si="67"/>
        <v/>
      </c>
      <c r="AE146" s="43" t="str">
        <f t="shared" si="67"/>
        <v/>
      </c>
      <c r="AF146" s="43" t="str">
        <f t="shared" si="67"/>
        <v/>
      </c>
      <c r="AG146" s="43" t="str">
        <f t="shared" si="67"/>
        <v/>
      </c>
      <c r="AH146" s="43" t="str">
        <f t="shared" si="67"/>
        <v/>
      </c>
      <c r="AI146" s="43" t="str">
        <f t="shared" si="67"/>
        <v/>
      </c>
      <c r="AJ146" s="43" t="str">
        <f t="shared" si="67"/>
        <v/>
      </c>
      <c r="AK146" s="43" t="str">
        <f t="shared" si="67"/>
        <v/>
      </c>
      <c r="AL146" s="43" t="str">
        <f t="shared" si="68"/>
        <v/>
      </c>
      <c r="AM146" s="43" t="str">
        <f t="shared" si="68"/>
        <v/>
      </c>
      <c r="AN146" s="43" t="str">
        <f t="shared" si="68"/>
        <v/>
      </c>
      <c r="AO146" s="43" t="str">
        <f t="shared" si="68"/>
        <v/>
      </c>
      <c r="AP146" s="43" t="str">
        <f t="shared" si="68"/>
        <v/>
      </c>
      <c r="AQ146" s="43" t="str">
        <f t="shared" si="68"/>
        <v/>
      </c>
      <c r="AR146" s="43" t="str">
        <f t="shared" si="68"/>
        <v/>
      </c>
      <c r="AS146" s="43" t="str">
        <f t="shared" si="68"/>
        <v/>
      </c>
      <c r="AT146" s="43" t="str">
        <f t="shared" si="68"/>
        <v/>
      </c>
      <c r="AU146" s="43" t="str">
        <f t="shared" si="68"/>
        <v/>
      </c>
      <c r="AV146" s="43" t="str">
        <f t="shared" si="69"/>
        <v/>
      </c>
      <c r="AW146" s="43" t="str">
        <f t="shared" si="69"/>
        <v/>
      </c>
      <c r="AX146" s="43" t="str">
        <f t="shared" si="69"/>
        <v/>
      </c>
      <c r="AY146" s="43" t="str">
        <f t="shared" si="69"/>
        <v/>
      </c>
      <c r="AZ146" s="43" t="str">
        <f t="shared" si="69"/>
        <v/>
      </c>
      <c r="BA146" s="43" t="str">
        <f t="shared" si="69"/>
        <v/>
      </c>
      <c r="BB146" s="43"/>
      <c r="BC146" s="43"/>
      <c r="BD146" s="43"/>
      <c r="BE146" s="43"/>
      <c r="BF146" s="43"/>
      <c r="BG146" s="43"/>
      <c r="BW146" s="1250"/>
    </row>
    <row r="147" spans="1:75" x14ac:dyDescent="0.25">
      <c r="A147" s="1251"/>
      <c r="B147" s="462">
        <v>141</v>
      </c>
      <c r="C147" s="462"/>
      <c r="D147" s="1244"/>
      <c r="E147" s="1050"/>
      <c r="F147" s="1244"/>
      <c r="H147" s="43" t="str">
        <f t="shared" ref="H147:Q156" si="70">IF($D147=H$6,$B147&amp;", ","")</f>
        <v/>
      </c>
      <c r="I147" s="43" t="str">
        <f t="shared" si="70"/>
        <v/>
      </c>
      <c r="J147" s="43" t="str">
        <f t="shared" si="70"/>
        <v/>
      </c>
      <c r="K147" s="43" t="str">
        <f t="shared" si="70"/>
        <v/>
      </c>
      <c r="L147" s="43" t="str">
        <f t="shared" si="70"/>
        <v/>
      </c>
      <c r="M147" s="43" t="str">
        <f t="shared" si="70"/>
        <v/>
      </c>
      <c r="N147" s="43" t="str">
        <f t="shared" si="70"/>
        <v/>
      </c>
      <c r="O147" s="43" t="str">
        <f t="shared" si="70"/>
        <v/>
      </c>
      <c r="P147" s="43" t="str">
        <f t="shared" si="70"/>
        <v/>
      </c>
      <c r="Q147" s="43" t="str">
        <f t="shared" si="70"/>
        <v/>
      </c>
      <c r="R147" s="43" t="str">
        <f t="shared" ref="R147:AA156" si="71">IF($D147=R$6,$B147&amp;", ","")</f>
        <v/>
      </c>
      <c r="S147" s="43" t="str">
        <f t="shared" si="71"/>
        <v/>
      </c>
      <c r="T147" s="43" t="str">
        <f t="shared" si="71"/>
        <v/>
      </c>
      <c r="U147" s="43" t="str">
        <f t="shared" si="71"/>
        <v/>
      </c>
      <c r="V147" s="43" t="str">
        <f t="shared" si="71"/>
        <v/>
      </c>
      <c r="W147" s="43" t="str">
        <f t="shared" si="71"/>
        <v/>
      </c>
      <c r="X147" s="43" t="str">
        <f t="shared" si="71"/>
        <v/>
      </c>
      <c r="Y147" s="43" t="str">
        <f t="shared" si="71"/>
        <v/>
      </c>
      <c r="Z147" s="43" t="str">
        <f t="shared" si="71"/>
        <v/>
      </c>
      <c r="AA147" s="43" t="str">
        <f t="shared" si="71"/>
        <v/>
      </c>
      <c r="AB147" s="43" t="str">
        <f t="shared" ref="AB147:AK156" si="72">IF($D147=AB$6,$B147&amp;", ","")</f>
        <v/>
      </c>
      <c r="AC147" s="43" t="str">
        <f t="shared" si="72"/>
        <v/>
      </c>
      <c r="AD147" s="43" t="str">
        <f t="shared" si="72"/>
        <v/>
      </c>
      <c r="AE147" s="43" t="str">
        <f t="shared" si="72"/>
        <v/>
      </c>
      <c r="AF147" s="43" t="str">
        <f t="shared" si="72"/>
        <v/>
      </c>
      <c r="AG147" s="43" t="str">
        <f t="shared" si="72"/>
        <v/>
      </c>
      <c r="AH147" s="43" t="str">
        <f t="shared" si="72"/>
        <v/>
      </c>
      <c r="AI147" s="43" t="str">
        <f t="shared" si="72"/>
        <v/>
      </c>
      <c r="AJ147" s="43" t="str">
        <f t="shared" si="72"/>
        <v/>
      </c>
      <c r="AK147" s="43" t="str">
        <f t="shared" si="72"/>
        <v/>
      </c>
      <c r="AL147" s="43" t="str">
        <f t="shared" ref="AL147:AU156" si="73">IF($D147=AL$6,$B147&amp;", ","")</f>
        <v/>
      </c>
      <c r="AM147" s="43" t="str">
        <f t="shared" si="73"/>
        <v/>
      </c>
      <c r="AN147" s="43" t="str">
        <f t="shared" si="73"/>
        <v/>
      </c>
      <c r="AO147" s="43" t="str">
        <f t="shared" si="73"/>
        <v/>
      </c>
      <c r="AP147" s="43" t="str">
        <f t="shared" si="73"/>
        <v/>
      </c>
      <c r="AQ147" s="43" t="str">
        <f t="shared" si="73"/>
        <v/>
      </c>
      <c r="AR147" s="43" t="str">
        <f t="shared" si="73"/>
        <v/>
      </c>
      <c r="AS147" s="43" t="str">
        <f t="shared" si="73"/>
        <v/>
      </c>
      <c r="AT147" s="43" t="str">
        <f t="shared" si="73"/>
        <v/>
      </c>
      <c r="AU147" s="43" t="str">
        <f t="shared" si="73"/>
        <v/>
      </c>
      <c r="AV147" s="43" t="str">
        <f t="shared" ref="AV147:BA156" si="74">IF($D147=AV$6,$B147&amp;", ","")</f>
        <v/>
      </c>
      <c r="AW147" s="43" t="str">
        <f t="shared" si="74"/>
        <v/>
      </c>
      <c r="AX147" s="43" t="str">
        <f t="shared" si="74"/>
        <v/>
      </c>
      <c r="AY147" s="43" t="str">
        <f t="shared" si="74"/>
        <v/>
      </c>
      <c r="AZ147" s="43" t="str">
        <f t="shared" si="74"/>
        <v/>
      </c>
      <c r="BA147" s="43" t="str">
        <f t="shared" si="74"/>
        <v/>
      </c>
      <c r="BB147" s="43"/>
      <c r="BC147" s="43"/>
      <c r="BD147" s="43"/>
      <c r="BE147" s="43"/>
      <c r="BF147" s="43"/>
      <c r="BG147" s="43"/>
      <c r="BW147" s="1250"/>
    </row>
    <row r="148" spans="1:75" x14ac:dyDescent="0.25">
      <c r="A148" s="1251"/>
      <c r="B148" s="462">
        <v>142</v>
      </c>
      <c r="C148" s="462"/>
      <c r="D148" s="1244"/>
      <c r="E148" s="1050"/>
      <c r="F148" s="1244"/>
      <c r="H148" s="43" t="str">
        <f t="shared" si="70"/>
        <v/>
      </c>
      <c r="I148" s="43" t="str">
        <f t="shared" si="70"/>
        <v/>
      </c>
      <c r="J148" s="43" t="str">
        <f t="shared" si="70"/>
        <v/>
      </c>
      <c r="K148" s="43" t="str">
        <f t="shared" si="70"/>
        <v/>
      </c>
      <c r="L148" s="43" t="str">
        <f t="shared" si="70"/>
        <v/>
      </c>
      <c r="M148" s="43" t="str">
        <f t="shared" si="70"/>
        <v/>
      </c>
      <c r="N148" s="43" t="str">
        <f t="shared" si="70"/>
        <v/>
      </c>
      <c r="O148" s="43" t="str">
        <f t="shared" si="70"/>
        <v/>
      </c>
      <c r="P148" s="43" t="str">
        <f t="shared" si="70"/>
        <v/>
      </c>
      <c r="Q148" s="43" t="str">
        <f t="shared" si="70"/>
        <v/>
      </c>
      <c r="R148" s="43" t="str">
        <f t="shared" si="71"/>
        <v/>
      </c>
      <c r="S148" s="43" t="str">
        <f t="shared" si="71"/>
        <v/>
      </c>
      <c r="T148" s="43" t="str">
        <f t="shared" si="71"/>
        <v/>
      </c>
      <c r="U148" s="43" t="str">
        <f t="shared" si="71"/>
        <v/>
      </c>
      <c r="V148" s="43" t="str">
        <f t="shared" si="71"/>
        <v/>
      </c>
      <c r="W148" s="43" t="str">
        <f t="shared" si="71"/>
        <v/>
      </c>
      <c r="X148" s="43" t="str">
        <f t="shared" si="71"/>
        <v/>
      </c>
      <c r="Y148" s="43" t="str">
        <f t="shared" si="71"/>
        <v/>
      </c>
      <c r="Z148" s="43" t="str">
        <f t="shared" si="71"/>
        <v/>
      </c>
      <c r="AA148" s="43" t="str">
        <f t="shared" si="71"/>
        <v/>
      </c>
      <c r="AB148" s="43" t="str">
        <f t="shared" si="72"/>
        <v/>
      </c>
      <c r="AC148" s="43" t="str">
        <f t="shared" si="72"/>
        <v/>
      </c>
      <c r="AD148" s="43" t="str">
        <f t="shared" si="72"/>
        <v/>
      </c>
      <c r="AE148" s="43" t="str">
        <f t="shared" si="72"/>
        <v/>
      </c>
      <c r="AF148" s="43" t="str">
        <f t="shared" si="72"/>
        <v/>
      </c>
      <c r="AG148" s="43" t="str">
        <f t="shared" si="72"/>
        <v/>
      </c>
      <c r="AH148" s="43" t="str">
        <f t="shared" si="72"/>
        <v/>
      </c>
      <c r="AI148" s="43" t="str">
        <f t="shared" si="72"/>
        <v/>
      </c>
      <c r="AJ148" s="43" t="str">
        <f t="shared" si="72"/>
        <v/>
      </c>
      <c r="AK148" s="43" t="str">
        <f t="shared" si="72"/>
        <v/>
      </c>
      <c r="AL148" s="43" t="str">
        <f t="shared" si="73"/>
        <v/>
      </c>
      <c r="AM148" s="43" t="str">
        <f t="shared" si="73"/>
        <v/>
      </c>
      <c r="AN148" s="43" t="str">
        <f t="shared" si="73"/>
        <v/>
      </c>
      <c r="AO148" s="43" t="str">
        <f t="shared" si="73"/>
        <v/>
      </c>
      <c r="AP148" s="43" t="str">
        <f t="shared" si="73"/>
        <v/>
      </c>
      <c r="AQ148" s="43" t="str">
        <f t="shared" si="73"/>
        <v/>
      </c>
      <c r="AR148" s="43" t="str">
        <f t="shared" si="73"/>
        <v/>
      </c>
      <c r="AS148" s="43" t="str">
        <f t="shared" si="73"/>
        <v/>
      </c>
      <c r="AT148" s="43" t="str">
        <f t="shared" si="73"/>
        <v/>
      </c>
      <c r="AU148" s="43" t="str">
        <f t="shared" si="73"/>
        <v/>
      </c>
      <c r="AV148" s="43" t="str">
        <f t="shared" si="74"/>
        <v/>
      </c>
      <c r="AW148" s="43" t="str">
        <f t="shared" si="74"/>
        <v/>
      </c>
      <c r="AX148" s="43" t="str">
        <f t="shared" si="74"/>
        <v/>
      </c>
      <c r="AY148" s="43" t="str">
        <f t="shared" si="74"/>
        <v/>
      </c>
      <c r="AZ148" s="43" t="str">
        <f t="shared" si="74"/>
        <v/>
      </c>
      <c r="BA148" s="43" t="str">
        <f t="shared" si="74"/>
        <v/>
      </c>
      <c r="BB148" s="43"/>
      <c r="BC148" s="43"/>
      <c r="BD148" s="43"/>
      <c r="BE148" s="43"/>
      <c r="BF148" s="43"/>
      <c r="BG148" s="43"/>
      <c r="BW148" s="1250"/>
    </row>
    <row r="149" spans="1:75" x14ac:dyDescent="0.25">
      <c r="A149" s="1251"/>
      <c r="B149" s="462">
        <v>143</v>
      </c>
      <c r="C149" s="462"/>
      <c r="D149" s="1244"/>
      <c r="E149" s="1050"/>
      <c r="F149" s="1244"/>
      <c r="H149" s="43" t="str">
        <f t="shared" si="70"/>
        <v/>
      </c>
      <c r="I149" s="43" t="str">
        <f t="shared" si="70"/>
        <v/>
      </c>
      <c r="J149" s="43" t="str">
        <f t="shared" si="70"/>
        <v/>
      </c>
      <c r="K149" s="43" t="str">
        <f t="shared" si="70"/>
        <v/>
      </c>
      <c r="L149" s="43" t="str">
        <f t="shared" si="70"/>
        <v/>
      </c>
      <c r="M149" s="43" t="str">
        <f t="shared" si="70"/>
        <v/>
      </c>
      <c r="N149" s="43" t="str">
        <f t="shared" si="70"/>
        <v/>
      </c>
      <c r="O149" s="43" t="str">
        <f t="shared" si="70"/>
        <v/>
      </c>
      <c r="P149" s="43" t="str">
        <f t="shared" si="70"/>
        <v/>
      </c>
      <c r="Q149" s="43" t="str">
        <f t="shared" si="70"/>
        <v/>
      </c>
      <c r="R149" s="43" t="str">
        <f t="shared" si="71"/>
        <v/>
      </c>
      <c r="S149" s="43" t="str">
        <f t="shared" si="71"/>
        <v/>
      </c>
      <c r="T149" s="43" t="str">
        <f t="shared" si="71"/>
        <v/>
      </c>
      <c r="U149" s="43" t="str">
        <f t="shared" si="71"/>
        <v/>
      </c>
      <c r="V149" s="43" t="str">
        <f t="shared" si="71"/>
        <v/>
      </c>
      <c r="W149" s="43" t="str">
        <f t="shared" si="71"/>
        <v/>
      </c>
      <c r="X149" s="43" t="str">
        <f t="shared" si="71"/>
        <v/>
      </c>
      <c r="Y149" s="43" t="str">
        <f t="shared" si="71"/>
        <v/>
      </c>
      <c r="Z149" s="43" t="str">
        <f t="shared" si="71"/>
        <v/>
      </c>
      <c r="AA149" s="43" t="str">
        <f t="shared" si="71"/>
        <v/>
      </c>
      <c r="AB149" s="43" t="str">
        <f t="shared" si="72"/>
        <v/>
      </c>
      <c r="AC149" s="43" t="str">
        <f t="shared" si="72"/>
        <v/>
      </c>
      <c r="AD149" s="43" t="str">
        <f t="shared" si="72"/>
        <v/>
      </c>
      <c r="AE149" s="43" t="str">
        <f t="shared" si="72"/>
        <v/>
      </c>
      <c r="AF149" s="43" t="str">
        <f t="shared" si="72"/>
        <v/>
      </c>
      <c r="AG149" s="43" t="str">
        <f t="shared" si="72"/>
        <v/>
      </c>
      <c r="AH149" s="43" t="str">
        <f t="shared" si="72"/>
        <v/>
      </c>
      <c r="AI149" s="43" t="str">
        <f t="shared" si="72"/>
        <v/>
      </c>
      <c r="AJ149" s="43" t="str">
        <f t="shared" si="72"/>
        <v/>
      </c>
      <c r="AK149" s="43" t="str">
        <f t="shared" si="72"/>
        <v/>
      </c>
      <c r="AL149" s="43" t="str">
        <f t="shared" si="73"/>
        <v/>
      </c>
      <c r="AM149" s="43" t="str">
        <f t="shared" si="73"/>
        <v/>
      </c>
      <c r="AN149" s="43" t="str">
        <f t="shared" si="73"/>
        <v/>
      </c>
      <c r="AO149" s="43" t="str">
        <f t="shared" si="73"/>
        <v/>
      </c>
      <c r="AP149" s="43" t="str">
        <f t="shared" si="73"/>
        <v/>
      </c>
      <c r="AQ149" s="43" t="str">
        <f t="shared" si="73"/>
        <v/>
      </c>
      <c r="AR149" s="43" t="str">
        <f t="shared" si="73"/>
        <v/>
      </c>
      <c r="AS149" s="43" t="str">
        <f t="shared" si="73"/>
        <v/>
      </c>
      <c r="AT149" s="43" t="str">
        <f t="shared" si="73"/>
        <v/>
      </c>
      <c r="AU149" s="43" t="str">
        <f t="shared" si="73"/>
        <v/>
      </c>
      <c r="AV149" s="43" t="str">
        <f t="shared" si="74"/>
        <v/>
      </c>
      <c r="AW149" s="43" t="str">
        <f t="shared" si="74"/>
        <v/>
      </c>
      <c r="AX149" s="43" t="str">
        <f t="shared" si="74"/>
        <v/>
      </c>
      <c r="AY149" s="43" t="str">
        <f t="shared" si="74"/>
        <v/>
      </c>
      <c r="AZ149" s="43" t="str">
        <f t="shared" si="74"/>
        <v/>
      </c>
      <c r="BA149" s="43" t="str">
        <f t="shared" si="74"/>
        <v/>
      </c>
      <c r="BB149" s="43"/>
      <c r="BC149" s="43"/>
      <c r="BD149" s="43"/>
      <c r="BE149" s="43"/>
      <c r="BF149" s="43"/>
      <c r="BG149" s="43"/>
      <c r="BW149" s="1250"/>
    </row>
    <row r="150" spans="1:75" x14ac:dyDescent="0.25">
      <c r="A150" s="1251"/>
      <c r="B150" s="462">
        <v>144</v>
      </c>
      <c r="C150" s="462"/>
      <c r="D150" s="1244"/>
      <c r="E150" s="1050"/>
      <c r="F150" s="1244"/>
      <c r="H150" s="43" t="str">
        <f t="shared" si="70"/>
        <v/>
      </c>
      <c r="I150" s="43" t="str">
        <f t="shared" si="70"/>
        <v/>
      </c>
      <c r="J150" s="43" t="str">
        <f t="shared" si="70"/>
        <v/>
      </c>
      <c r="K150" s="43" t="str">
        <f t="shared" si="70"/>
        <v/>
      </c>
      <c r="L150" s="43" t="str">
        <f t="shared" si="70"/>
        <v/>
      </c>
      <c r="M150" s="43" t="str">
        <f t="shared" si="70"/>
        <v/>
      </c>
      <c r="N150" s="43" t="str">
        <f t="shared" si="70"/>
        <v/>
      </c>
      <c r="O150" s="43" t="str">
        <f t="shared" si="70"/>
        <v/>
      </c>
      <c r="P150" s="43" t="str">
        <f t="shared" si="70"/>
        <v/>
      </c>
      <c r="Q150" s="43" t="str">
        <f t="shared" si="70"/>
        <v/>
      </c>
      <c r="R150" s="43" t="str">
        <f t="shared" si="71"/>
        <v/>
      </c>
      <c r="S150" s="43" t="str">
        <f t="shared" si="71"/>
        <v/>
      </c>
      <c r="T150" s="43" t="str">
        <f t="shared" si="71"/>
        <v/>
      </c>
      <c r="U150" s="43" t="str">
        <f t="shared" si="71"/>
        <v/>
      </c>
      <c r="V150" s="43" t="str">
        <f t="shared" si="71"/>
        <v/>
      </c>
      <c r="W150" s="43" t="str">
        <f t="shared" si="71"/>
        <v/>
      </c>
      <c r="X150" s="43" t="str">
        <f t="shared" si="71"/>
        <v/>
      </c>
      <c r="Y150" s="43" t="str">
        <f t="shared" si="71"/>
        <v/>
      </c>
      <c r="Z150" s="43" t="str">
        <f t="shared" si="71"/>
        <v/>
      </c>
      <c r="AA150" s="43" t="str">
        <f t="shared" si="71"/>
        <v/>
      </c>
      <c r="AB150" s="43" t="str">
        <f t="shared" si="72"/>
        <v/>
      </c>
      <c r="AC150" s="43" t="str">
        <f t="shared" si="72"/>
        <v/>
      </c>
      <c r="AD150" s="43" t="str">
        <f t="shared" si="72"/>
        <v/>
      </c>
      <c r="AE150" s="43" t="str">
        <f t="shared" si="72"/>
        <v/>
      </c>
      <c r="AF150" s="43" t="str">
        <f t="shared" si="72"/>
        <v/>
      </c>
      <c r="AG150" s="43" t="str">
        <f t="shared" si="72"/>
        <v/>
      </c>
      <c r="AH150" s="43" t="str">
        <f t="shared" si="72"/>
        <v/>
      </c>
      <c r="AI150" s="43" t="str">
        <f t="shared" si="72"/>
        <v/>
      </c>
      <c r="AJ150" s="43" t="str">
        <f t="shared" si="72"/>
        <v/>
      </c>
      <c r="AK150" s="43" t="str">
        <f t="shared" si="72"/>
        <v/>
      </c>
      <c r="AL150" s="43" t="str">
        <f t="shared" si="73"/>
        <v/>
      </c>
      <c r="AM150" s="43" t="str">
        <f t="shared" si="73"/>
        <v/>
      </c>
      <c r="AN150" s="43" t="str">
        <f t="shared" si="73"/>
        <v/>
      </c>
      <c r="AO150" s="43" t="str">
        <f t="shared" si="73"/>
        <v/>
      </c>
      <c r="AP150" s="43" t="str">
        <f t="shared" si="73"/>
        <v/>
      </c>
      <c r="AQ150" s="43" t="str">
        <f t="shared" si="73"/>
        <v/>
      </c>
      <c r="AR150" s="43" t="str">
        <f t="shared" si="73"/>
        <v/>
      </c>
      <c r="AS150" s="43" t="str">
        <f t="shared" si="73"/>
        <v/>
      </c>
      <c r="AT150" s="43" t="str">
        <f t="shared" si="73"/>
        <v/>
      </c>
      <c r="AU150" s="43" t="str">
        <f t="shared" si="73"/>
        <v/>
      </c>
      <c r="AV150" s="43" t="str">
        <f t="shared" si="74"/>
        <v/>
      </c>
      <c r="AW150" s="43" t="str">
        <f t="shared" si="74"/>
        <v/>
      </c>
      <c r="AX150" s="43" t="str">
        <f t="shared" si="74"/>
        <v/>
      </c>
      <c r="AY150" s="43" t="str">
        <f t="shared" si="74"/>
        <v/>
      </c>
      <c r="AZ150" s="43" t="str">
        <f t="shared" si="74"/>
        <v/>
      </c>
      <c r="BA150" s="43" t="str">
        <f t="shared" si="74"/>
        <v/>
      </c>
      <c r="BB150" s="43"/>
      <c r="BC150" s="43"/>
      <c r="BD150" s="43"/>
      <c r="BE150" s="43"/>
      <c r="BF150" s="43"/>
      <c r="BG150" s="43"/>
      <c r="BW150" s="1250"/>
    </row>
    <row r="151" spans="1:75" x14ac:dyDescent="0.25">
      <c r="A151" s="1251"/>
      <c r="B151" s="462">
        <v>145</v>
      </c>
      <c r="C151" s="462"/>
      <c r="D151" s="1244"/>
      <c r="E151" s="1050"/>
      <c r="F151" s="1244"/>
      <c r="H151" s="43" t="str">
        <f t="shared" si="70"/>
        <v/>
      </c>
      <c r="I151" s="43" t="str">
        <f t="shared" si="70"/>
        <v/>
      </c>
      <c r="J151" s="43" t="str">
        <f t="shared" si="70"/>
        <v/>
      </c>
      <c r="K151" s="43" t="str">
        <f t="shared" si="70"/>
        <v/>
      </c>
      <c r="L151" s="43" t="str">
        <f t="shared" si="70"/>
        <v/>
      </c>
      <c r="M151" s="43" t="str">
        <f t="shared" si="70"/>
        <v/>
      </c>
      <c r="N151" s="43" t="str">
        <f t="shared" si="70"/>
        <v/>
      </c>
      <c r="O151" s="43" t="str">
        <f t="shared" si="70"/>
        <v/>
      </c>
      <c r="P151" s="43" t="str">
        <f t="shared" si="70"/>
        <v/>
      </c>
      <c r="Q151" s="43" t="str">
        <f t="shared" si="70"/>
        <v/>
      </c>
      <c r="R151" s="43" t="str">
        <f t="shared" si="71"/>
        <v/>
      </c>
      <c r="S151" s="43" t="str">
        <f t="shared" si="71"/>
        <v/>
      </c>
      <c r="T151" s="43" t="str">
        <f t="shared" si="71"/>
        <v/>
      </c>
      <c r="U151" s="43" t="str">
        <f t="shared" si="71"/>
        <v/>
      </c>
      <c r="V151" s="43" t="str">
        <f t="shared" si="71"/>
        <v/>
      </c>
      <c r="W151" s="43" t="str">
        <f t="shared" si="71"/>
        <v/>
      </c>
      <c r="X151" s="43" t="str">
        <f t="shared" si="71"/>
        <v/>
      </c>
      <c r="Y151" s="43" t="str">
        <f t="shared" si="71"/>
        <v/>
      </c>
      <c r="Z151" s="43" t="str">
        <f t="shared" si="71"/>
        <v/>
      </c>
      <c r="AA151" s="43" t="str">
        <f t="shared" si="71"/>
        <v/>
      </c>
      <c r="AB151" s="43" t="str">
        <f t="shared" si="72"/>
        <v/>
      </c>
      <c r="AC151" s="43" t="str">
        <f t="shared" si="72"/>
        <v/>
      </c>
      <c r="AD151" s="43" t="str">
        <f t="shared" si="72"/>
        <v/>
      </c>
      <c r="AE151" s="43" t="str">
        <f t="shared" si="72"/>
        <v/>
      </c>
      <c r="AF151" s="43" t="str">
        <f t="shared" si="72"/>
        <v/>
      </c>
      <c r="AG151" s="43" t="str">
        <f t="shared" si="72"/>
        <v/>
      </c>
      <c r="AH151" s="43" t="str">
        <f t="shared" si="72"/>
        <v/>
      </c>
      <c r="AI151" s="43" t="str">
        <f t="shared" si="72"/>
        <v/>
      </c>
      <c r="AJ151" s="43" t="str">
        <f t="shared" si="72"/>
        <v/>
      </c>
      <c r="AK151" s="43" t="str">
        <f t="shared" si="72"/>
        <v/>
      </c>
      <c r="AL151" s="43" t="str">
        <f t="shared" si="73"/>
        <v/>
      </c>
      <c r="AM151" s="43" t="str">
        <f t="shared" si="73"/>
        <v/>
      </c>
      <c r="AN151" s="43" t="str">
        <f t="shared" si="73"/>
        <v/>
      </c>
      <c r="AO151" s="43" t="str">
        <f t="shared" si="73"/>
        <v/>
      </c>
      <c r="AP151" s="43" t="str">
        <f t="shared" si="73"/>
        <v/>
      </c>
      <c r="AQ151" s="43" t="str">
        <f t="shared" si="73"/>
        <v/>
      </c>
      <c r="AR151" s="43" t="str">
        <f t="shared" si="73"/>
        <v/>
      </c>
      <c r="AS151" s="43" t="str">
        <f t="shared" si="73"/>
        <v/>
      </c>
      <c r="AT151" s="43" t="str">
        <f t="shared" si="73"/>
        <v/>
      </c>
      <c r="AU151" s="43" t="str">
        <f t="shared" si="73"/>
        <v/>
      </c>
      <c r="AV151" s="43" t="str">
        <f t="shared" si="74"/>
        <v/>
      </c>
      <c r="AW151" s="43" t="str">
        <f t="shared" si="74"/>
        <v/>
      </c>
      <c r="AX151" s="43" t="str">
        <f t="shared" si="74"/>
        <v/>
      </c>
      <c r="AY151" s="43" t="str">
        <f t="shared" si="74"/>
        <v/>
      </c>
      <c r="AZ151" s="43" t="str">
        <f t="shared" si="74"/>
        <v/>
      </c>
      <c r="BA151" s="43" t="str">
        <f t="shared" si="74"/>
        <v/>
      </c>
      <c r="BB151" s="43"/>
      <c r="BC151" s="43"/>
      <c r="BD151" s="43"/>
      <c r="BE151" s="43"/>
      <c r="BF151" s="43"/>
      <c r="BG151" s="43"/>
      <c r="BW151" s="1250"/>
    </row>
    <row r="152" spans="1:75" x14ac:dyDescent="0.25">
      <c r="A152" s="1251"/>
      <c r="B152" s="462">
        <v>146</v>
      </c>
      <c r="C152" s="462"/>
      <c r="D152" s="1244"/>
      <c r="E152" s="1050"/>
      <c r="F152" s="1244"/>
      <c r="H152" s="43" t="str">
        <f t="shared" si="70"/>
        <v/>
      </c>
      <c r="I152" s="43" t="str">
        <f t="shared" si="70"/>
        <v/>
      </c>
      <c r="J152" s="43" t="str">
        <f t="shared" si="70"/>
        <v/>
      </c>
      <c r="K152" s="43" t="str">
        <f t="shared" si="70"/>
        <v/>
      </c>
      <c r="L152" s="43" t="str">
        <f t="shared" si="70"/>
        <v/>
      </c>
      <c r="M152" s="43" t="str">
        <f t="shared" si="70"/>
        <v/>
      </c>
      <c r="N152" s="43" t="str">
        <f t="shared" si="70"/>
        <v/>
      </c>
      <c r="O152" s="43" t="str">
        <f t="shared" si="70"/>
        <v/>
      </c>
      <c r="P152" s="43" t="str">
        <f t="shared" si="70"/>
        <v/>
      </c>
      <c r="Q152" s="43" t="str">
        <f t="shared" si="70"/>
        <v/>
      </c>
      <c r="R152" s="43" t="str">
        <f t="shared" si="71"/>
        <v/>
      </c>
      <c r="S152" s="43" t="str">
        <f t="shared" si="71"/>
        <v/>
      </c>
      <c r="T152" s="43" t="str">
        <f t="shared" si="71"/>
        <v/>
      </c>
      <c r="U152" s="43" t="str">
        <f t="shared" si="71"/>
        <v/>
      </c>
      <c r="V152" s="43" t="str">
        <f t="shared" si="71"/>
        <v/>
      </c>
      <c r="W152" s="43" t="str">
        <f t="shared" si="71"/>
        <v/>
      </c>
      <c r="X152" s="43" t="str">
        <f t="shared" si="71"/>
        <v/>
      </c>
      <c r="Y152" s="43" t="str">
        <f t="shared" si="71"/>
        <v/>
      </c>
      <c r="Z152" s="43" t="str">
        <f t="shared" si="71"/>
        <v/>
      </c>
      <c r="AA152" s="43" t="str">
        <f t="shared" si="71"/>
        <v/>
      </c>
      <c r="AB152" s="43" t="str">
        <f t="shared" si="72"/>
        <v/>
      </c>
      <c r="AC152" s="43" t="str">
        <f t="shared" si="72"/>
        <v/>
      </c>
      <c r="AD152" s="43" t="str">
        <f t="shared" si="72"/>
        <v/>
      </c>
      <c r="AE152" s="43" t="str">
        <f t="shared" si="72"/>
        <v/>
      </c>
      <c r="AF152" s="43" t="str">
        <f t="shared" si="72"/>
        <v/>
      </c>
      <c r="AG152" s="43" t="str">
        <f t="shared" si="72"/>
        <v/>
      </c>
      <c r="AH152" s="43" t="str">
        <f t="shared" si="72"/>
        <v/>
      </c>
      <c r="AI152" s="43" t="str">
        <f t="shared" si="72"/>
        <v/>
      </c>
      <c r="AJ152" s="43" t="str">
        <f t="shared" si="72"/>
        <v/>
      </c>
      <c r="AK152" s="43" t="str">
        <f t="shared" si="72"/>
        <v/>
      </c>
      <c r="AL152" s="43" t="str">
        <f t="shared" si="73"/>
        <v/>
      </c>
      <c r="AM152" s="43" t="str">
        <f t="shared" si="73"/>
        <v/>
      </c>
      <c r="AN152" s="43" t="str">
        <f t="shared" si="73"/>
        <v/>
      </c>
      <c r="AO152" s="43" t="str">
        <f t="shared" si="73"/>
        <v/>
      </c>
      <c r="AP152" s="43" t="str">
        <f t="shared" si="73"/>
        <v/>
      </c>
      <c r="AQ152" s="43" t="str">
        <f t="shared" si="73"/>
        <v/>
      </c>
      <c r="AR152" s="43" t="str">
        <f t="shared" si="73"/>
        <v/>
      </c>
      <c r="AS152" s="43" t="str">
        <f t="shared" si="73"/>
        <v/>
      </c>
      <c r="AT152" s="43" t="str">
        <f t="shared" si="73"/>
        <v/>
      </c>
      <c r="AU152" s="43" t="str">
        <f t="shared" si="73"/>
        <v/>
      </c>
      <c r="AV152" s="43" t="str">
        <f t="shared" si="74"/>
        <v/>
      </c>
      <c r="AW152" s="43" t="str">
        <f t="shared" si="74"/>
        <v/>
      </c>
      <c r="AX152" s="43" t="str">
        <f t="shared" si="74"/>
        <v/>
      </c>
      <c r="AY152" s="43" t="str">
        <f t="shared" si="74"/>
        <v/>
      </c>
      <c r="AZ152" s="43" t="str">
        <f t="shared" si="74"/>
        <v/>
      </c>
      <c r="BA152" s="43" t="str">
        <f t="shared" si="74"/>
        <v/>
      </c>
      <c r="BB152" s="43"/>
      <c r="BC152" s="43"/>
      <c r="BD152" s="43"/>
      <c r="BE152" s="43"/>
      <c r="BF152" s="43"/>
      <c r="BG152" s="43"/>
      <c r="BW152" s="1250"/>
    </row>
    <row r="153" spans="1:75" x14ac:dyDescent="0.25">
      <c r="A153" s="1251"/>
      <c r="B153" s="462">
        <v>147</v>
      </c>
      <c r="C153" s="462"/>
      <c r="D153" s="1244"/>
      <c r="E153" s="1050"/>
      <c r="F153" s="1244"/>
      <c r="H153" s="43" t="str">
        <f t="shared" si="70"/>
        <v/>
      </c>
      <c r="I153" s="43" t="str">
        <f t="shared" si="70"/>
        <v/>
      </c>
      <c r="J153" s="43" t="str">
        <f t="shared" si="70"/>
        <v/>
      </c>
      <c r="K153" s="43" t="str">
        <f t="shared" si="70"/>
        <v/>
      </c>
      <c r="L153" s="43" t="str">
        <f t="shared" si="70"/>
        <v/>
      </c>
      <c r="M153" s="43" t="str">
        <f t="shared" si="70"/>
        <v/>
      </c>
      <c r="N153" s="43" t="str">
        <f t="shared" si="70"/>
        <v/>
      </c>
      <c r="O153" s="43" t="str">
        <f t="shared" si="70"/>
        <v/>
      </c>
      <c r="P153" s="43" t="str">
        <f t="shared" si="70"/>
        <v/>
      </c>
      <c r="Q153" s="43" t="str">
        <f t="shared" si="70"/>
        <v/>
      </c>
      <c r="R153" s="43" t="str">
        <f t="shared" si="71"/>
        <v/>
      </c>
      <c r="S153" s="43" t="str">
        <f t="shared" si="71"/>
        <v/>
      </c>
      <c r="T153" s="43" t="str">
        <f t="shared" si="71"/>
        <v/>
      </c>
      <c r="U153" s="43" t="str">
        <f t="shared" si="71"/>
        <v/>
      </c>
      <c r="V153" s="43" t="str">
        <f t="shared" si="71"/>
        <v/>
      </c>
      <c r="W153" s="43" t="str">
        <f t="shared" si="71"/>
        <v/>
      </c>
      <c r="X153" s="43" t="str">
        <f t="shared" si="71"/>
        <v/>
      </c>
      <c r="Y153" s="43" t="str">
        <f t="shared" si="71"/>
        <v/>
      </c>
      <c r="Z153" s="43" t="str">
        <f t="shared" si="71"/>
        <v/>
      </c>
      <c r="AA153" s="43" t="str">
        <f t="shared" si="71"/>
        <v/>
      </c>
      <c r="AB153" s="43" t="str">
        <f t="shared" si="72"/>
        <v/>
      </c>
      <c r="AC153" s="43" t="str">
        <f t="shared" si="72"/>
        <v/>
      </c>
      <c r="AD153" s="43" t="str">
        <f t="shared" si="72"/>
        <v/>
      </c>
      <c r="AE153" s="43" t="str">
        <f t="shared" si="72"/>
        <v/>
      </c>
      <c r="AF153" s="43" t="str">
        <f t="shared" si="72"/>
        <v/>
      </c>
      <c r="AG153" s="43" t="str">
        <f t="shared" si="72"/>
        <v/>
      </c>
      <c r="AH153" s="43" t="str">
        <f t="shared" si="72"/>
        <v/>
      </c>
      <c r="AI153" s="43" t="str">
        <f t="shared" si="72"/>
        <v/>
      </c>
      <c r="AJ153" s="43" t="str">
        <f t="shared" si="72"/>
        <v/>
      </c>
      <c r="AK153" s="43" t="str">
        <f t="shared" si="72"/>
        <v/>
      </c>
      <c r="AL153" s="43" t="str">
        <f t="shared" si="73"/>
        <v/>
      </c>
      <c r="AM153" s="43" t="str">
        <f t="shared" si="73"/>
        <v/>
      </c>
      <c r="AN153" s="43" t="str">
        <f t="shared" si="73"/>
        <v/>
      </c>
      <c r="AO153" s="43" t="str">
        <f t="shared" si="73"/>
        <v/>
      </c>
      <c r="AP153" s="43" t="str">
        <f t="shared" si="73"/>
        <v/>
      </c>
      <c r="AQ153" s="43" t="str">
        <f t="shared" si="73"/>
        <v/>
      </c>
      <c r="AR153" s="43" t="str">
        <f t="shared" si="73"/>
        <v/>
      </c>
      <c r="AS153" s="43" t="str">
        <f t="shared" si="73"/>
        <v/>
      </c>
      <c r="AT153" s="43" t="str">
        <f t="shared" si="73"/>
        <v/>
      </c>
      <c r="AU153" s="43" t="str">
        <f t="shared" si="73"/>
        <v/>
      </c>
      <c r="AV153" s="43" t="str">
        <f t="shared" si="74"/>
        <v/>
      </c>
      <c r="AW153" s="43" t="str">
        <f t="shared" si="74"/>
        <v/>
      </c>
      <c r="AX153" s="43" t="str">
        <f t="shared" si="74"/>
        <v/>
      </c>
      <c r="AY153" s="43" t="str">
        <f t="shared" si="74"/>
        <v/>
      </c>
      <c r="AZ153" s="43" t="str">
        <f t="shared" si="74"/>
        <v/>
      </c>
      <c r="BA153" s="43" t="str">
        <f t="shared" si="74"/>
        <v/>
      </c>
      <c r="BB153" s="43"/>
      <c r="BC153" s="43"/>
      <c r="BD153" s="43"/>
      <c r="BE153" s="43"/>
      <c r="BF153" s="43"/>
      <c r="BG153" s="43"/>
      <c r="BW153" s="1250"/>
    </row>
    <row r="154" spans="1:75" x14ac:dyDescent="0.25">
      <c r="A154" s="1251"/>
      <c r="B154" s="462">
        <v>148</v>
      </c>
      <c r="C154" s="462"/>
      <c r="D154" s="1244"/>
      <c r="E154" s="1050"/>
      <c r="F154" s="1244"/>
      <c r="H154" s="43" t="str">
        <f t="shared" si="70"/>
        <v/>
      </c>
      <c r="I154" s="43" t="str">
        <f t="shared" si="70"/>
        <v/>
      </c>
      <c r="J154" s="43" t="str">
        <f t="shared" si="70"/>
        <v/>
      </c>
      <c r="K154" s="43" t="str">
        <f t="shared" si="70"/>
        <v/>
      </c>
      <c r="L154" s="43" t="str">
        <f t="shared" si="70"/>
        <v/>
      </c>
      <c r="M154" s="43" t="str">
        <f t="shared" si="70"/>
        <v/>
      </c>
      <c r="N154" s="43" t="str">
        <f t="shared" si="70"/>
        <v/>
      </c>
      <c r="O154" s="43" t="str">
        <f t="shared" si="70"/>
        <v/>
      </c>
      <c r="P154" s="43" t="str">
        <f t="shared" si="70"/>
        <v/>
      </c>
      <c r="Q154" s="43" t="str">
        <f t="shared" si="70"/>
        <v/>
      </c>
      <c r="R154" s="43" t="str">
        <f t="shared" si="71"/>
        <v/>
      </c>
      <c r="S154" s="43" t="str">
        <f t="shared" si="71"/>
        <v/>
      </c>
      <c r="T154" s="43" t="str">
        <f t="shared" si="71"/>
        <v/>
      </c>
      <c r="U154" s="43" t="str">
        <f t="shared" si="71"/>
        <v/>
      </c>
      <c r="V154" s="43" t="str">
        <f t="shared" si="71"/>
        <v/>
      </c>
      <c r="W154" s="43" t="str">
        <f t="shared" si="71"/>
        <v/>
      </c>
      <c r="X154" s="43" t="str">
        <f t="shared" si="71"/>
        <v/>
      </c>
      <c r="Y154" s="43" t="str">
        <f t="shared" si="71"/>
        <v/>
      </c>
      <c r="Z154" s="43" t="str">
        <f t="shared" si="71"/>
        <v/>
      </c>
      <c r="AA154" s="43" t="str">
        <f t="shared" si="71"/>
        <v/>
      </c>
      <c r="AB154" s="43" t="str">
        <f t="shared" si="72"/>
        <v/>
      </c>
      <c r="AC154" s="43" t="str">
        <f t="shared" si="72"/>
        <v/>
      </c>
      <c r="AD154" s="43" t="str">
        <f t="shared" si="72"/>
        <v/>
      </c>
      <c r="AE154" s="43" t="str">
        <f t="shared" si="72"/>
        <v/>
      </c>
      <c r="AF154" s="43" t="str">
        <f t="shared" si="72"/>
        <v/>
      </c>
      <c r="AG154" s="43" t="str">
        <f t="shared" si="72"/>
        <v/>
      </c>
      <c r="AH154" s="43" t="str">
        <f t="shared" si="72"/>
        <v/>
      </c>
      <c r="AI154" s="43" t="str">
        <f t="shared" si="72"/>
        <v/>
      </c>
      <c r="AJ154" s="43" t="str">
        <f t="shared" si="72"/>
        <v/>
      </c>
      <c r="AK154" s="43" t="str">
        <f t="shared" si="72"/>
        <v/>
      </c>
      <c r="AL154" s="43" t="str">
        <f t="shared" si="73"/>
        <v/>
      </c>
      <c r="AM154" s="43" t="str">
        <f t="shared" si="73"/>
        <v/>
      </c>
      <c r="AN154" s="43" t="str">
        <f t="shared" si="73"/>
        <v/>
      </c>
      <c r="AO154" s="43" t="str">
        <f t="shared" si="73"/>
        <v/>
      </c>
      <c r="AP154" s="43" t="str">
        <f t="shared" si="73"/>
        <v/>
      </c>
      <c r="AQ154" s="43" t="str">
        <f t="shared" si="73"/>
        <v/>
      </c>
      <c r="AR154" s="43" t="str">
        <f t="shared" si="73"/>
        <v/>
      </c>
      <c r="AS154" s="43" t="str">
        <f t="shared" si="73"/>
        <v/>
      </c>
      <c r="AT154" s="43" t="str">
        <f t="shared" si="73"/>
        <v/>
      </c>
      <c r="AU154" s="43" t="str">
        <f t="shared" si="73"/>
        <v/>
      </c>
      <c r="AV154" s="43" t="str">
        <f t="shared" si="74"/>
        <v/>
      </c>
      <c r="AW154" s="43" t="str">
        <f t="shared" si="74"/>
        <v/>
      </c>
      <c r="AX154" s="43" t="str">
        <f t="shared" si="74"/>
        <v/>
      </c>
      <c r="AY154" s="43" t="str">
        <f t="shared" si="74"/>
        <v/>
      </c>
      <c r="AZ154" s="43" t="str">
        <f t="shared" si="74"/>
        <v/>
      </c>
      <c r="BA154" s="43" t="str">
        <f t="shared" si="74"/>
        <v/>
      </c>
      <c r="BB154" s="43"/>
      <c r="BC154" s="43"/>
      <c r="BD154" s="43"/>
      <c r="BE154" s="43"/>
      <c r="BF154" s="43"/>
      <c r="BG154" s="43"/>
      <c r="BW154" s="1250"/>
    </row>
    <row r="155" spans="1:75" x14ac:dyDescent="0.25">
      <c r="A155" s="1251"/>
      <c r="B155" s="462">
        <v>149</v>
      </c>
      <c r="C155" s="462"/>
      <c r="D155" s="1244"/>
      <c r="E155" s="1050"/>
      <c r="F155" s="1244"/>
      <c r="H155" s="43" t="str">
        <f t="shared" si="70"/>
        <v/>
      </c>
      <c r="I155" s="43" t="str">
        <f t="shared" si="70"/>
        <v/>
      </c>
      <c r="J155" s="43" t="str">
        <f t="shared" si="70"/>
        <v/>
      </c>
      <c r="K155" s="43" t="str">
        <f t="shared" si="70"/>
        <v/>
      </c>
      <c r="L155" s="43" t="str">
        <f t="shared" si="70"/>
        <v/>
      </c>
      <c r="M155" s="43" t="str">
        <f t="shared" si="70"/>
        <v/>
      </c>
      <c r="N155" s="43" t="str">
        <f t="shared" si="70"/>
        <v/>
      </c>
      <c r="O155" s="43" t="str">
        <f t="shared" si="70"/>
        <v/>
      </c>
      <c r="P155" s="43" t="str">
        <f t="shared" si="70"/>
        <v/>
      </c>
      <c r="Q155" s="43" t="str">
        <f t="shared" si="70"/>
        <v/>
      </c>
      <c r="R155" s="43" t="str">
        <f t="shared" si="71"/>
        <v/>
      </c>
      <c r="S155" s="43" t="str">
        <f t="shared" si="71"/>
        <v/>
      </c>
      <c r="T155" s="43" t="str">
        <f t="shared" si="71"/>
        <v/>
      </c>
      <c r="U155" s="43" t="str">
        <f t="shared" si="71"/>
        <v/>
      </c>
      <c r="V155" s="43" t="str">
        <f t="shared" si="71"/>
        <v/>
      </c>
      <c r="W155" s="43" t="str">
        <f t="shared" si="71"/>
        <v/>
      </c>
      <c r="X155" s="43" t="str">
        <f t="shared" si="71"/>
        <v/>
      </c>
      <c r="Y155" s="43" t="str">
        <f t="shared" si="71"/>
        <v/>
      </c>
      <c r="Z155" s="43" t="str">
        <f t="shared" si="71"/>
        <v/>
      </c>
      <c r="AA155" s="43" t="str">
        <f t="shared" si="71"/>
        <v/>
      </c>
      <c r="AB155" s="43" t="str">
        <f t="shared" si="72"/>
        <v/>
      </c>
      <c r="AC155" s="43" t="str">
        <f t="shared" si="72"/>
        <v/>
      </c>
      <c r="AD155" s="43" t="str">
        <f t="shared" si="72"/>
        <v/>
      </c>
      <c r="AE155" s="43" t="str">
        <f t="shared" si="72"/>
        <v/>
      </c>
      <c r="AF155" s="43" t="str">
        <f t="shared" si="72"/>
        <v/>
      </c>
      <c r="AG155" s="43" t="str">
        <f t="shared" si="72"/>
        <v/>
      </c>
      <c r="AH155" s="43" t="str">
        <f t="shared" si="72"/>
        <v/>
      </c>
      <c r="AI155" s="43" t="str">
        <f t="shared" si="72"/>
        <v/>
      </c>
      <c r="AJ155" s="43" t="str">
        <f t="shared" si="72"/>
        <v/>
      </c>
      <c r="AK155" s="43" t="str">
        <f t="shared" si="72"/>
        <v/>
      </c>
      <c r="AL155" s="43" t="str">
        <f t="shared" si="73"/>
        <v/>
      </c>
      <c r="AM155" s="43" t="str">
        <f t="shared" si="73"/>
        <v/>
      </c>
      <c r="AN155" s="43" t="str">
        <f t="shared" si="73"/>
        <v/>
      </c>
      <c r="AO155" s="43" t="str">
        <f t="shared" si="73"/>
        <v/>
      </c>
      <c r="AP155" s="43" t="str">
        <f t="shared" si="73"/>
        <v/>
      </c>
      <c r="AQ155" s="43" t="str">
        <f t="shared" si="73"/>
        <v/>
      </c>
      <c r="AR155" s="43" t="str">
        <f t="shared" si="73"/>
        <v/>
      </c>
      <c r="AS155" s="43" t="str">
        <f t="shared" si="73"/>
        <v/>
      </c>
      <c r="AT155" s="43" t="str">
        <f t="shared" si="73"/>
        <v/>
      </c>
      <c r="AU155" s="43" t="str">
        <f t="shared" si="73"/>
        <v/>
      </c>
      <c r="AV155" s="43" t="str">
        <f t="shared" si="74"/>
        <v/>
      </c>
      <c r="AW155" s="43" t="str">
        <f t="shared" si="74"/>
        <v/>
      </c>
      <c r="AX155" s="43" t="str">
        <f t="shared" si="74"/>
        <v/>
      </c>
      <c r="AY155" s="43" t="str">
        <f t="shared" si="74"/>
        <v/>
      </c>
      <c r="AZ155" s="43" t="str">
        <f t="shared" si="74"/>
        <v/>
      </c>
      <c r="BA155" s="43" t="str">
        <f t="shared" si="74"/>
        <v/>
      </c>
      <c r="BB155" s="43"/>
      <c r="BC155" s="43"/>
      <c r="BD155" s="43"/>
      <c r="BE155" s="43"/>
      <c r="BF155" s="43"/>
      <c r="BG155" s="43"/>
      <c r="BW155" s="1250"/>
    </row>
    <row r="156" spans="1:75" x14ac:dyDescent="0.25">
      <c r="A156" s="1251"/>
      <c r="B156" s="462">
        <v>150</v>
      </c>
      <c r="C156" s="462"/>
      <c r="D156" s="1244"/>
      <c r="E156" s="1050"/>
      <c r="F156" s="1244"/>
      <c r="H156" s="43" t="str">
        <f t="shared" si="70"/>
        <v/>
      </c>
      <c r="I156" s="43" t="str">
        <f t="shared" si="70"/>
        <v/>
      </c>
      <c r="J156" s="43" t="str">
        <f t="shared" si="70"/>
        <v/>
      </c>
      <c r="K156" s="43" t="str">
        <f t="shared" si="70"/>
        <v/>
      </c>
      <c r="L156" s="43" t="str">
        <f t="shared" si="70"/>
        <v/>
      </c>
      <c r="M156" s="43" t="str">
        <f t="shared" si="70"/>
        <v/>
      </c>
      <c r="N156" s="43" t="str">
        <f t="shared" si="70"/>
        <v/>
      </c>
      <c r="O156" s="43" t="str">
        <f t="shared" si="70"/>
        <v/>
      </c>
      <c r="P156" s="43" t="str">
        <f t="shared" si="70"/>
        <v/>
      </c>
      <c r="Q156" s="43" t="str">
        <f t="shared" si="70"/>
        <v/>
      </c>
      <c r="R156" s="43" t="str">
        <f t="shared" si="71"/>
        <v/>
      </c>
      <c r="S156" s="43" t="str">
        <f t="shared" si="71"/>
        <v/>
      </c>
      <c r="T156" s="43" t="str">
        <f t="shared" si="71"/>
        <v/>
      </c>
      <c r="U156" s="43" t="str">
        <f t="shared" si="71"/>
        <v/>
      </c>
      <c r="V156" s="43" t="str">
        <f t="shared" si="71"/>
        <v/>
      </c>
      <c r="W156" s="43" t="str">
        <f t="shared" si="71"/>
        <v/>
      </c>
      <c r="X156" s="43" t="str">
        <f t="shared" si="71"/>
        <v/>
      </c>
      <c r="Y156" s="43" t="str">
        <f t="shared" si="71"/>
        <v/>
      </c>
      <c r="Z156" s="43" t="str">
        <f t="shared" si="71"/>
        <v/>
      </c>
      <c r="AA156" s="43" t="str">
        <f t="shared" si="71"/>
        <v/>
      </c>
      <c r="AB156" s="43" t="str">
        <f t="shared" si="72"/>
        <v/>
      </c>
      <c r="AC156" s="43" t="str">
        <f t="shared" si="72"/>
        <v/>
      </c>
      <c r="AD156" s="43" t="str">
        <f t="shared" si="72"/>
        <v/>
      </c>
      <c r="AE156" s="43" t="str">
        <f t="shared" si="72"/>
        <v/>
      </c>
      <c r="AF156" s="43" t="str">
        <f t="shared" si="72"/>
        <v/>
      </c>
      <c r="AG156" s="43" t="str">
        <f t="shared" si="72"/>
        <v/>
      </c>
      <c r="AH156" s="43" t="str">
        <f t="shared" si="72"/>
        <v/>
      </c>
      <c r="AI156" s="43" t="str">
        <f t="shared" si="72"/>
        <v/>
      </c>
      <c r="AJ156" s="43" t="str">
        <f t="shared" si="72"/>
        <v/>
      </c>
      <c r="AK156" s="43" t="str">
        <f t="shared" si="72"/>
        <v/>
      </c>
      <c r="AL156" s="43" t="str">
        <f t="shared" si="73"/>
        <v/>
      </c>
      <c r="AM156" s="43" t="str">
        <f t="shared" si="73"/>
        <v/>
      </c>
      <c r="AN156" s="43" t="str">
        <f t="shared" si="73"/>
        <v/>
      </c>
      <c r="AO156" s="43" t="str">
        <f t="shared" si="73"/>
        <v/>
      </c>
      <c r="AP156" s="43" t="str">
        <f t="shared" si="73"/>
        <v/>
      </c>
      <c r="AQ156" s="43" t="str">
        <f t="shared" si="73"/>
        <v/>
      </c>
      <c r="AR156" s="43" t="str">
        <f t="shared" si="73"/>
        <v/>
      </c>
      <c r="AS156" s="43" t="str">
        <f t="shared" si="73"/>
        <v/>
      </c>
      <c r="AT156" s="43" t="str">
        <f t="shared" si="73"/>
        <v/>
      </c>
      <c r="AU156" s="43" t="str">
        <f t="shared" si="73"/>
        <v/>
      </c>
      <c r="AV156" s="43" t="str">
        <f t="shared" si="74"/>
        <v/>
      </c>
      <c r="AW156" s="43" t="str">
        <f t="shared" si="74"/>
        <v/>
      </c>
      <c r="AX156" s="43" t="str">
        <f t="shared" si="74"/>
        <v/>
      </c>
      <c r="AY156" s="43" t="str">
        <f t="shared" si="74"/>
        <v/>
      </c>
      <c r="AZ156" s="43" t="str">
        <f t="shared" si="74"/>
        <v/>
      </c>
      <c r="BA156" s="43" t="str">
        <f t="shared" si="74"/>
        <v/>
      </c>
      <c r="BB156" s="43"/>
      <c r="BC156" s="43"/>
      <c r="BD156" s="43"/>
      <c r="BE156" s="43"/>
      <c r="BF156" s="43"/>
      <c r="BG156" s="43"/>
      <c r="BW156" s="1250"/>
    </row>
    <row r="157" spans="1:75" x14ac:dyDescent="0.25">
      <c r="A157" s="1251"/>
      <c r="B157" s="462">
        <v>151</v>
      </c>
      <c r="C157" s="462"/>
      <c r="D157" s="1244"/>
      <c r="E157" s="1050"/>
      <c r="F157" s="1244"/>
      <c r="H157" s="43" t="str">
        <f t="shared" ref="H157:Q166" si="75">IF($D157=H$6,$B157&amp;", ","")</f>
        <v/>
      </c>
      <c r="I157" s="43" t="str">
        <f t="shared" si="75"/>
        <v/>
      </c>
      <c r="J157" s="43" t="str">
        <f t="shared" si="75"/>
        <v/>
      </c>
      <c r="K157" s="43" t="str">
        <f t="shared" si="75"/>
        <v/>
      </c>
      <c r="L157" s="43" t="str">
        <f t="shared" si="75"/>
        <v/>
      </c>
      <c r="M157" s="43" t="str">
        <f t="shared" si="75"/>
        <v/>
      </c>
      <c r="N157" s="43" t="str">
        <f t="shared" si="75"/>
        <v/>
      </c>
      <c r="O157" s="43" t="str">
        <f t="shared" si="75"/>
        <v/>
      </c>
      <c r="P157" s="43" t="str">
        <f t="shared" si="75"/>
        <v/>
      </c>
      <c r="Q157" s="43" t="str">
        <f t="shared" si="75"/>
        <v/>
      </c>
      <c r="R157" s="43" t="str">
        <f t="shared" ref="R157:AA166" si="76">IF($D157=R$6,$B157&amp;", ","")</f>
        <v/>
      </c>
      <c r="S157" s="43" t="str">
        <f t="shared" si="76"/>
        <v/>
      </c>
      <c r="T157" s="43" t="str">
        <f t="shared" si="76"/>
        <v/>
      </c>
      <c r="U157" s="43" t="str">
        <f t="shared" si="76"/>
        <v/>
      </c>
      <c r="V157" s="43" t="str">
        <f t="shared" si="76"/>
        <v/>
      </c>
      <c r="W157" s="43" t="str">
        <f t="shared" si="76"/>
        <v/>
      </c>
      <c r="X157" s="43" t="str">
        <f t="shared" si="76"/>
        <v/>
      </c>
      <c r="Y157" s="43" t="str">
        <f t="shared" si="76"/>
        <v/>
      </c>
      <c r="Z157" s="43" t="str">
        <f t="shared" si="76"/>
        <v/>
      </c>
      <c r="AA157" s="43" t="str">
        <f t="shared" si="76"/>
        <v/>
      </c>
      <c r="AB157" s="43" t="str">
        <f t="shared" ref="AB157:AK166" si="77">IF($D157=AB$6,$B157&amp;", ","")</f>
        <v/>
      </c>
      <c r="AC157" s="43" t="str">
        <f t="shared" si="77"/>
        <v/>
      </c>
      <c r="AD157" s="43" t="str">
        <f t="shared" si="77"/>
        <v/>
      </c>
      <c r="AE157" s="43" t="str">
        <f t="shared" si="77"/>
        <v/>
      </c>
      <c r="AF157" s="43" t="str">
        <f t="shared" si="77"/>
        <v/>
      </c>
      <c r="AG157" s="43" t="str">
        <f t="shared" si="77"/>
        <v/>
      </c>
      <c r="AH157" s="43" t="str">
        <f t="shared" si="77"/>
        <v/>
      </c>
      <c r="AI157" s="43" t="str">
        <f t="shared" si="77"/>
        <v/>
      </c>
      <c r="AJ157" s="43" t="str">
        <f t="shared" si="77"/>
        <v/>
      </c>
      <c r="AK157" s="43" t="str">
        <f t="shared" si="77"/>
        <v/>
      </c>
      <c r="AL157" s="43" t="str">
        <f t="shared" ref="AL157:AU166" si="78">IF($D157=AL$6,$B157&amp;", ","")</f>
        <v/>
      </c>
      <c r="AM157" s="43" t="str">
        <f t="shared" si="78"/>
        <v/>
      </c>
      <c r="AN157" s="43" t="str">
        <f t="shared" si="78"/>
        <v/>
      </c>
      <c r="AO157" s="43" t="str">
        <f t="shared" si="78"/>
        <v/>
      </c>
      <c r="AP157" s="43" t="str">
        <f t="shared" si="78"/>
        <v/>
      </c>
      <c r="AQ157" s="43" t="str">
        <f t="shared" si="78"/>
        <v/>
      </c>
      <c r="AR157" s="43" t="str">
        <f t="shared" si="78"/>
        <v/>
      </c>
      <c r="AS157" s="43" t="str">
        <f t="shared" si="78"/>
        <v/>
      </c>
      <c r="AT157" s="43" t="str">
        <f t="shared" si="78"/>
        <v/>
      </c>
      <c r="AU157" s="43" t="str">
        <f t="shared" si="78"/>
        <v/>
      </c>
      <c r="AV157" s="43" t="str">
        <f t="shared" ref="AV157:BA166" si="79">IF($D157=AV$6,$B157&amp;", ","")</f>
        <v/>
      </c>
      <c r="AW157" s="43" t="str">
        <f t="shared" si="79"/>
        <v/>
      </c>
      <c r="AX157" s="43" t="str">
        <f t="shared" si="79"/>
        <v/>
      </c>
      <c r="AY157" s="43" t="str">
        <f t="shared" si="79"/>
        <v/>
      </c>
      <c r="AZ157" s="43" t="str">
        <f t="shared" si="79"/>
        <v/>
      </c>
      <c r="BA157" s="43" t="str">
        <f t="shared" si="79"/>
        <v/>
      </c>
      <c r="BB157" s="43"/>
      <c r="BC157" s="43"/>
      <c r="BD157" s="43"/>
      <c r="BE157" s="43"/>
      <c r="BF157" s="43"/>
      <c r="BG157" s="43"/>
      <c r="BW157" s="1250"/>
    </row>
    <row r="158" spans="1:75" x14ac:dyDescent="0.25">
      <c r="A158" s="1251"/>
      <c r="B158" s="462">
        <v>152</v>
      </c>
      <c r="C158" s="462"/>
      <c r="D158" s="1244"/>
      <c r="E158" s="1050"/>
      <c r="F158" s="1244"/>
      <c r="H158" s="43" t="str">
        <f t="shared" si="75"/>
        <v/>
      </c>
      <c r="I158" s="43" t="str">
        <f t="shared" si="75"/>
        <v/>
      </c>
      <c r="J158" s="43" t="str">
        <f t="shared" si="75"/>
        <v/>
      </c>
      <c r="K158" s="43" t="str">
        <f t="shared" si="75"/>
        <v/>
      </c>
      <c r="L158" s="43" t="str">
        <f t="shared" si="75"/>
        <v/>
      </c>
      <c r="M158" s="43" t="str">
        <f t="shared" si="75"/>
        <v/>
      </c>
      <c r="N158" s="43" t="str">
        <f t="shared" si="75"/>
        <v/>
      </c>
      <c r="O158" s="43" t="str">
        <f t="shared" si="75"/>
        <v/>
      </c>
      <c r="P158" s="43" t="str">
        <f t="shared" si="75"/>
        <v/>
      </c>
      <c r="Q158" s="43" t="str">
        <f t="shared" si="75"/>
        <v/>
      </c>
      <c r="R158" s="43" t="str">
        <f t="shared" si="76"/>
        <v/>
      </c>
      <c r="S158" s="43" t="str">
        <f t="shared" si="76"/>
        <v/>
      </c>
      <c r="T158" s="43" t="str">
        <f t="shared" si="76"/>
        <v/>
      </c>
      <c r="U158" s="43" t="str">
        <f t="shared" si="76"/>
        <v/>
      </c>
      <c r="V158" s="43" t="str">
        <f t="shared" si="76"/>
        <v/>
      </c>
      <c r="W158" s="43" t="str">
        <f t="shared" si="76"/>
        <v/>
      </c>
      <c r="X158" s="43" t="str">
        <f t="shared" si="76"/>
        <v/>
      </c>
      <c r="Y158" s="43" t="str">
        <f t="shared" si="76"/>
        <v/>
      </c>
      <c r="Z158" s="43" t="str">
        <f t="shared" si="76"/>
        <v/>
      </c>
      <c r="AA158" s="43" t="str">
        <f t="shared" si="76"/>
        <v/>
      </c>
      <c r="AB158" s="43" t="str">
        <f t="shared" si="77"/>
        <v/>
      </c>
      <c r="AC158" s="43" t="str">
        <f t="shared" si="77"/>
        <v/>
      </c>
      <c r="AD158" s="43" t="str">
        <f t="shared" si="77"/>
        <v/>
      </c>
      <c r="AE158" s="43" t="str">
        <f t="shared" si="77"/>
        <v/>
      </c>
      <c r="AF158" s="43" t="str">
        <f t="shared" si="77"/>
        <v/>
      </c>
      <c r="AG158" s="43" t="str">
        <f t="shared" si="77"/>
        <v/>
      </c>
      <c r="AH158" s="43" t="str">
        <f t="shared" si="77"/>
        <v/>
      </c>
      <c r="AI158" s="43" t="str">
        <f t="shared" si="77"/>
        <v/>
      </c>
      <c r="AJ158" s="43" t="str">
        <f t="shared" si="77"/>
        <v/>
      </c>
      <c r="AK158" s="43" t="str">
        <f t="shared" si="77"/>
        <v/>
      </c>
      <c r="AL158" s="43" t="str">
        <f t="shared" si="78"/>
        <v/>
      </c>
      <c r="AM158" s="43" t="str">
        <f t="shared" si="78"/>
        <v/>
      </c>
      <c r="AN158" s="43" t="str">
        <f t="shared" si="78"/>
        <v/>
      </c>
      <c r="AO158" s="43" t="str">
        <f t="shared" si="78"/>
        <v/>
      </c>
      <c r="AP158" s="43" t="str">
        <f t="shared" si="78"/>
        <v/>
      </c>
      <c r="AQ158" s="43" t="str">
        <f t="shared" si="78"/>
        <v/>
      </c>
      <c r="AR158" s="43" t="str">
        <f t="shared" si="78"/>
        <v/>
      </c>
      <c r="AS158" s="43" t="str">
        <f t="shared" si="78"/>
        <v/>
      </c>
      <c r="AT158" s="43" t="str">
        <f t="shared" si="78"/>
        <v/>
      </c>
      <c r="AU158" s="43" t="str">
        <f t="shared" si="78"/>
        <v/>
      </c>
      <c r="AV158" s="43" t="str">
        <f t="shared" si="79"/>
        <v/>
      </c>
      <c r="AW158" s="43" t="str">
        <f t="shared" si="79"/>
        <v/>
      </c>
      <c r="AX158" s="43" t="str">
        <f t="shared" si="79"/>
        <v/>
      </c>
      <c r="AY158" s="43" t="str">
        <f t="shared" si="79"/>
        <v/>
      </c>
      <c r="AZ158" s="43" t="str">
        <f t="shared" si="79"/>
        <v/>
      </c>
      <c r="BA158" s="43" t="str">
        <f t="shared" si="79"/>
        <v/>
      </c>
      <c r="BB158" s="43"/>
      <c r="BC158" s="43"/>
      <c r="BD158" s="43"/>
      <c r="BE158" s="43"/>
      <c r="BF158" s="43"/>
      <c r="BG158" s="43"/>
      <c r="BW158" s="1250"/>
    </row>
    <row r="159" spans="1:75" x14ac:dyDescent="0.25">
      <c r="A159" s="1251"/>
      <c r="B159" s="462">
        <v>153</v>
      </c>
      <c r="C159" s="462"/>
      <c r="D159" s="1244"/>
      <c r="E159" s="1050"/>
      <c r="F159" s="1244"/>
      <c r="H159" s="43" t="str">
        <f t="shared" si="75"/>
        <v/>
      </c>
      <c r="I159" s="43" t="str">
        <f t="shared" si="75"/>
        <v/>
      </c>
      <c r="J159" s="43" t="str">
        <f t="shared" si="75"/>
        <v/>
      </c>
      <c r="K159" s="43" t="str">
        <f t="shared" si="75"/>
        <v/>
      </c>
      <c r="L159" s="43" t="str">
        <f t="shared" si="75"/>
        <v/>
      </c>
      <c r="M159" s="43" t="str">
        <f t="shared" si="75"/>
        <v/>
      </c>
      <c r="N159" s="43" t="str">
        <f t="shared" si="75"/>
        <v/>
      </c>
      <c r="O159" s="43" t="str">
        <f t="shared" si="75"/>
        <v/>
      </c>
      <c r="P159" s="43" t="str">
        <f t="shared" si="75"/>
        <v/>
      </c>
      <c r="Q159" s="43" t="str">
        <f t="shared" si="75"/>
        <v/>
      </c>
      <c r="R159" s="43" t="str">
        <f t="shared" si="76"/>
        <v/>
      </c>
      <c r="S159" s="43" t="str">
        <f t="shared" si="76"/>
        <v/>
      </c>
      <c r="T159" s="43" t="str">
        <f t="shared" si="76"/>
        <v/>
      </c>
      <c r="U159" s="43" t="str">
        <f t="shared" si="76"/>
        <v/>
      </c>
      <c r="V159" s="43" t="str">
        <f t="shared" si="76"/>
        <v/>
      </c>
      <c r="W159" s="43" t="str">
        <f t="shared" si="76"/>
        <v/>
      </c>
      <c r="X159" s="43" t="str">
        <f t="shared" si="76"/>
        <v/>
      </c>
      <c r="Y159" s="43" t="str">
        <f t="shared" si="76"/>
        <v/>
      </c>
      <c r="Z159" s="43" t="str">
        <f t="shared" si="76"/>
        <v/>
      </c>
      <c r="AA159" s="43" t="str">
        <f t="shared" si="76"/>
        <v/>
      </c>
      <c r="AB159" s="43" t="str">
        <f t="shared" si="77"/>
        <v/>
      </c>
      <c r="AC159" s="43" t="str">
        <f t="shared" si="77"/>
        <v/>
      </c>
      <c r="AD159" s="43" t="str">
        <f t="shared" si="77"/>
        <v/>
      </c>
      <c r="AE159" s="43" t="str">
        <f t="shared" si="77"/>
        <v/>
      </c>
      <c r="AF159" s="43" t="str">
        <f t="shared" si="77"/>
        <v/>
      </c>
      <c r="AG159" s="43" t="str">
        <f t="shared" si="77"/>
        <v/>
      </c>
      <c r="AH159" s="43" t="str">
        <f t="shared" si="77"/>
        <v/>
      </c>
      <c r="AI159" s="43" t="str">
        <f t="shared" si="77"/>
        <v/>
      </c>
      <c r="AJ159" s="43" t="str">
        <f t="shared" si="77"/>
        <v/>
      </c>
      <c r="AK159" s="43" t="str">
        <f t="shared" si="77"/>
        <v/>
      </c>
      <c r="AL159" s="43" t="str">
        <f t="shared" si="78"/>
        <v/>
      </c>
      <c r="AM159" s="43" t="str">
        <f t="shared" si="78"/>
        <v/>
      </c>
      <c r="AN159" s="43" t="str">
        <f t="shared" si="78"/>
        <v/>
      </c>
      <c r="AO159" s="43" t="str">
        <f t="shared" si="78"/>
        <v/>
      </c>
      <c r="AP159" s="43" t="str">
        <f t="shared" si="78"/>
        <v/>
      </c>
      <c r="AQ159" s="43" t="str">
        <f t="shared" si="78"/>
        <v/>
      </c>
      <c r="AR159" s="43" t="str">
        <f t="shared" si="78"/>
        <v/>
      </c>
      <c r="AS159" s="43" t="str">
        <f t="shared" si="78"/>
        <v/>
      </c>
      <c r="AT159" s="43" t="str">
        <f t="shared" si="78"/>
        <v/>
      </c>
      <c r="AU159" s="43" t="str">
        <f t="shared" si="78"/>
        <v/>
      </c>
      <c r="AV159" s="43" t="str">
        <f t="shared" si="79"/>
        <v/>
      </c>
      <c r="AW159" s="43" t="str">
        <f t="shared" si="79"/>
        <v/>
      </c>
      <c r="AX159" s="43" t="str">
        <f t="shared" si="79"/>
        <v/>
      </c>
      <c r="AY159" s="43" t="str">
        <f t="shared" si="79"/>
        <v/>
      </c>
      <c r="AZ159" s="43" t="str">
        <f t="shared" si="79"/>
        <v/>
      </c>
      <c r="BA159" s="43" t="str">
        <f t="shared" si="79"/>
        <v/>
      </c>
      <c r="BB159" s="43"/>
      <c r="BC159" s="43"/>
      <c r="BD159" s="43"/>
      <c r="BE159" s="43"/>
      <c r="BF159" s="43"/>
      <c r="BG159" s="43"/>
      <c r="BW159" s="1250"/>
    </row>
    <row r="160" spans="1:75" x14ac:dyDescent="0.25">
      <c r="A160" s="1251"/>
      <c r="B160" s="462">
        <v>154</v>
      </c>
      <c r="C160" s="462"/>
      <c r="D160" s="1244"/>
      <c r="E160" s="1050"/>
      <c r="F160" s="1244"/>
      <c r="H160" s="43" t="str">
        <f t="shared" si="75"/>
        <v/>
      </c>
      <c r="I160" s="43" t="str">
        <f t="shared" si="75"/>
        <v/>
      </c>
      <c r="J160" s="43" t="str">
        <f t="shared" si="75"/>
        <v/>
      </c>
      <c r="K160" s="43" t="str">
        <f t="shared" si="75"/>
        <v/>
      </c>
      <c r="L160" s="43" t="str">
        <f t="shared" si="75"/>
        <v/>
      </c>
      <c r="M160" s="43" t="str">
        <f t="shared" si="75"/>
        <v/>
      </c>
      <c r="N160" s="43" t="str">
        <f t="shared" si="75"/>
        <v/>
      </c>
      <c r="O160" s="43" t="str">
        <f t="shared" si="75"/>
        <v/>
      </c>
      <c r="P160" s="43" t="str">
        <f t="shared" si="75"/>
        <v/>
      </c>
      <c r="Q160" s="43" t="str">
        <f t="shared" si="75"/>
        <v/>
      </c>
      <c r="R160" s="43" t="str">
        <f t="shared" si="76"/>
        <v/>
      </c>
      <c r="S160" s="43" t="str">
        <f t="shared" si="76"/>
        <v/>
      </c>
      <c r="T160" s="43" t="str">
        <f t="shared" si="76"/>
        <v/>
      </c>
      <c r="U160" s="43" t="str">
        <f t="shared" si="76"/>
        <v/>
      </c>
      <c r="V160" s="43" t="str">
        <f t="shared" si="76"/>
        <v/>
      </c>
      <c r="W160" s="43" t="str">
        <f t="shared" si="76"/>
        <v/>
      </c>
      <c r="X160" s="43" t="str">
        <f t="shared" si="76"/>
        <v/>
      </c>
      <c r="Y160" s="43" t="str">
        <f t="shared" si="76"/>
        <v/>
      </c>
      <c r="Z160" s="43" t="str">
        <f t="shared" si="76"/>
        <v/>
      </c>
      <c r="AA160" s="43" t="str">
        <f t="shared" si="76"/>
        <v/>
      </c>
      <c r="AB160" s="43" t="str">
        <f t="shared" si="77"/>
        <v/>
      </c>
      <c r="AC160" s="43" t="str">
        <f t="shared" si="77"/>
        <v/>
      </c>
      <c r="AD160" s="43" t="str">
        <f t="shared" si="77"/>
        <v/>
      </c>
      <c r="AE160" s="43" t="str">
        <f t="shared" si="77"/>
        <v/>
      </c>
      <c r="AF160" s="43" t="str">
        <f t="shared" si="77"/>
        <v/>
      </c>
      <c r="AG160" s="43" t="str">
        <f t="shared" si="77"/>
        <v/>
      </c>
      <c r="AH160" s="43" t="str">
        <f t="shared" si="77"/>
        <v/>
      </c>
      <c r="AI160" s="43" t="str">
        <f t="shared" si="77"/>
        <v/>
      </c>
      <c r="AJ160" s="43" t="str">
        <f t="shared" si="77"/>
        <v/>
      </c>
      <c r="AK160" s="43" t="str">
        <f t="shared" si="77"/>
        <v/>
      </c>
      <c r="AL160" s="43" t="str">
        <f t="shared" si="78"/>
        <v/>
      </c>
      <c r="AM160" s="43" t="str">
        <f t="shared" si="78"/>
        <v/>
      </c>
      <c r="AN160" s="43" t="str">
        <f t="shared" si="78"/>
        <v/>
      </c>
      <c r="AO160" s="43" t="str">
        <f t="shared" si="78"/>
        <v/>
      </c>
      <c r="AP160" s="43" t="str">
        <f t="shared" si="78"/>
        <v/>
      </c>
      <c r="AQ160" s="43" t="str">
        <f t="shared" si="78"/>
        <v/>
      </c>
      <c r="AR160" s="43" t="str">
        <f t="shared" si="78"/>
        <v/>
      </c>
      <c r="AS160" s="43" t="str">
        <f t="shared" si="78"/>
        <v/>
      </c>
      <c r="AT160" s="43" t="str">
        <f t="shared" si="78"/>
        <v/>
      </c>
      <c r="AU160" s="43" t="str">
        <f t="shared" si="78"/>
        <v/>
      </c>
      <c r="AV160" s="43" t="str">
        <f t="shared" si="79"/>
        <v/>
      </c>
      <c r="AW160" s="43" t="str">
        <f t="shared" si="79"/>
        <v/>
      </c>
      <c r="AX160" s="43" t="str">
        <f t="shared" si="79"/>
        <v/>
      </c>
      <c r="AY160" s="43" t="str">
        <f t="shared" si="79"/>
        <v/>
      </c>
      <c r="AZ160" s="43" t="str">
        <f t="shared" si="79"/>
        <v/>
      </c>
      <c r="BA160" s="43" t="str">
        <f t="shared" si="79"/>
        <v/>
      </c>
      <c r="BB160" s="43"/>
      <c r="BC160" s="43"/>
      <c r="BD160" s="43"/>
      <c r="BE160" s="43"/>
      <c r="BF160" s="43"/>
      <c r="BG160" s="43"/>
      <c r="BW160" s="1250"/>
    </row>
    <row r="161" spans="1:75" x14ac:dyDescent="0.25">
      <c r="A161" s="1251"/>
      <c r="B161" s="462">
        <v>155</v>
      </c>
      <c r="C161" s="462"/>
      <c r="D161" s="1244"/>
      <c r="E161" s="1050"/>
      <c r="F161" s="1244"/>
      <c r="H161" s="43" t="str">
        <f t="shared" si="75"/>
        <v/>
      </c>
      <c r="I161" s="43" t="str">
        <f t="shared" si="75"/>
        <v/>
      </c>
      <c r="J161" s="43" t="str">
        <f t="shared" si="75"/>
        <v/>
      </c>
      <c r="K161" s="43" t="str">
        <f t="shared" si="75"/>
        <v/>
      </c>
      <c r="L161" s="43" t="str">
        <f t="shared" si="75"/>
        <v/>
      </c>
      <c r="M161" s="43" t="str">
        <f t="shared" si="75"/>
        <v/>
      </c>
      <c r="N161" s="43" t="str">
        <f t="shared" si="75"/>
        <v/>
      </c>
      <c r="O161" s="43" t="str">
        <f t="shared" si="75"/>
        <v/>
      </c>
      <c r="P161" s="43" t="str">
        <f t="shared" si="75"/>
        <v/>
      </c>
      <c r="Q161" s="43" t="str">
        <f t="shared" si="75"/>
        <v/>
      </c>
      <c r="R161" s="43" t="str">
        <f t="shared" si="76"/>
        <v/>
      </c>
      <c r="S161" s="43" t="str">
        <f t="shared" si="76"/>
        <v/>
      </c>
      <c r="T161" s="43" t="str">
        <f t="shared" si="76"/>
        <v/>
      </c>
      <c r="U161" s="43" t="str">
        <f t="shared" si="76"/>
        <v/>
      </c>
      <c r="V161" s="43" t="str">
        <f t="shared" si="76"/>
        <v/>
      </c>
      <c r="W161" s="43" t="str">
        <f t="shared" si="76"/>
        <v/>
      </c>
      <c r="X161" s="43" t="str">
        <f t="shared" si="76"/>
        <v/>
      </c>
      <c r="Y161" s="43" t="str">
        <f t="shared" si="76"/>
        <v/>
      </c>
      <c r="Z161" s="43" t="str">
        <f t="shared" si="76"/>
        <v/>
      </c>
      <c r="AA161" s="43" t="str">
        <f t="shared" si="76"/>
        <v/>
      </c>
      <c r="AB161" s="43" t="str">
        <f t="shared" si="77"/>
        <v/>
      </c>
      <c r="AC161" s="43" t="str">
        <f t="shared" si="77"/>
        <v/>
      </c>
      <c r="AD161" s="43" t="str">
        <f t="shared" si="77"/>
        <v/>
      </c>
      <c r="AE161" s="43" t="str">
        <f t="shared" si="77"/>
        <v/>
      </c>
      <c r="AF161" s="43" t="str">
        <f t="shared" si="77"/>
        <v/>
      </c>
      <c r="AG161" s="43" t="str">
        <f t="shared" si="77"/>
        <v/>
      </c>
      <c r="AH161" s="43" t="str">
        <f t="shared" si="77"/>
        <v/>
      </c>
      <c r="AI161" s="43" t="str">
        <f t="shared" si="77"/>
        <v/>
      </c>
      <c r="AJ161" s="43" t="str">
        <f t="shared" si="77"/>
        <v/>
      </c>
      <c r="AK161" s="43" t="str">
        <f t="shared" si="77"/>
        <v/>
      </c>
      <c r="AL161" s="43" t="str">
        <f t="shared" si="78"/>
        <v/>
      </c>
      <c r="AM161" s="43" t="str">
        <f t="shared" si="78"/>
        <v/>
      </c>
      <c r="AN161" s="43" t="str">
        <f t="shared" si="78"/>
        <v/>
      </c>
      <c r="AO161" s="43" t="str">
        <f t="shared" si="78"/>
        <v/>
      </c>
      <c r="AP161" s="43" t="str">
        <f t="shared" si="78"/>
        <v/>
      </c>
      <c r="AQ161" s="43" t="str">
        <f t="shared" si="78"/>
        <v/>
      </c>
      <c r="AR161" s="43" t="str">
        <f t="shared" si="78"/>
        <v/>
      </c>
      <c r="AS161" s="43" t="str">
        <f t="shared" si="78"/>
        <v/>
      </c>
      <c r="AT161" s="43" t="str">
        <f t="shared" si="78"/>
        <v/>
      </c>
      <c r="AU161" s="43" t="str">
        <f t="shared" si="78"/>
        <v/>
      </c>
      <c r="AV161" s="43" t="str">
        <f t="shared" si="79"/>
        <v/>
      </c>
      <c r="AW161" s="43" t="str">
        <f t="shared" si="79"/>
        <v/>
      </c>
      <c r="AX161" s="43" t="str">
        <f t="shared" si="79"/>
        <v/>
      </c>
      <c r="AY161" s="43" t="str">
        <f t="shared" si="79"/>
        <v/>
      </c>
      <c r="AZ161" s="43" t="str">
        <f t="shared" si="79"/>
        <v/>
      </c>
      <c r="BA161" s="43" t="str">
        <f t="shared" si="79"/>
        <v/>
      </c>
      <c r="BB161" s="43"/>
      <c r="BC161" s="43"/>
      <c r="BD161" s="43"/>
      <c r="BE161" s="43"/>
      <c r="BF161" s="43"/>
      <c r="BG161" s="43"/>
      <c r="BW161" s="1250"/>
    </row>
    <row r="162" spans="1:75" x14ac:dyDescent="0.25">
      <c r="A162" s="1251"/>
      <c r="B162" s="462">
        <v>156</v>
      </c>
      <c r="C162" s="462"/>
      <c r="D162" s="1244"/>
      <c r="E162" s="1050"/>
      <c r="F162" s="1244"/>
      <c r="H162" s="43" t="str">
        <f t="shared" si="75"/>
        <v/>
      </c>
      <c r="I162" s="43" t="str">
        <f t="shared" si="75"/>
        <v/>
      </c>
      <c r="J162" s="43" t="str">
        <f t="shared" si="75"/>
        <v/>
      </c>
      <c r="K162" s="43" t="str">
        <f t="shared" si="75"/>
        <v/>
      </c>
      <c r="L162" s="43" t="str">
        <f t="shared" si="75"/>
        <v/>
      </c>
      <c r="M162" s="43" t="str">
        <f t="shared" si="75"/>
        <v/>
      </c>
      <c r="N162" s="43" t="str">
        <f t="shared" si="75"/>
        <v/>
      </c>
      <c r="O162" s="43" t="str">
        <f t="shared" si="75"/>
        <v/>
      </c>
      <c r="P162" s="43" t="str">
        <f t="shared" si="75"/>
        <v/>
      </c>
      <c r="Q162" s="43" t="str">
        <f t="shared" si="75"/>
        <v/>
      </c>
      <c r="R162" s="43" t="str">
        <f t="shared" si="76"/>
        <v/>
      </c>
      <c r="S162" s="43" t="str">
        <f t="shared" si="76"/>
        <v/>
      </c>
      <c r="T162" s="43" t="str">
        <f t="shared" si="76"/>
        <v/>
      </c>
      <c r="U162" s="43" t="str">
        <f t="shared" si="76"/>
        <v/>
      </c>
      <c r="V162" s="43" t="str">
        <f t="shared" si="76"/>
        <v/>
      </c>
      <c r="W162" s="43" t="str">
        <f t="shared" si="76"/>
        <v/>
      </c>
      <c r="X162" s="43" t="str">
        <f t="shared" si="76"/>
        <v/>
      </c>
      <c r="Y162" s="43" t="str">
        <f t="shared" si="76"/>
        <v/>
      </c>
      <c r="Z162" s="43" t="str">
        <f t="shared" si="76"/>
        <v/>
      </c>
      <c r="AA162" s="43" t="str">
        <f t="shared" si="76"/>
        <v/>
      </c>
      <c r="AB162" s="43" t="str">
        <f t="shared" si="77"/>
        <v/>
      </c>
      <c r="AC162" s="43" t="str">
        <f t="shared" si="77"/>
        <v/>
      </c>
      <c r="AD162" s="43" t="str">
        <f t="shared" si="77"/>
        <v/>
      </c>
      <c r="AE162" s="43" t="str">
        <f t="shared" si="77"/>
        <v/>
      </c>
      <c r="AF162" s="43" t="str">
        <f t="shared" si="77"/>
        <v/>
      </c>
      <c r="AG162" s="43" t="str">
        <f t="shared" si="77"/>
        <v/>
      </c>
      <c r="AH162" s="43" t="str">
        <f t="shared" si="77"/>
        <v/>
      </c>
      <c r="AI162" s="43" t="str">
        <f t="shared" si="77"/>
        <v/>
      </c>
      <c r="AJ162" s="43" t="str">
        <f t="shared" si="77"/>
        <v/>
      </c>
      <c r="AK162" s="43" t="str">
        <f t="shared" si="77"/>
        <v/>
      </c>
      <c r="AL162" s="43" t="str">
        <f t="shared" si="78"/>
        <v/>
      </c>
      <c r="AM162" s="43" t="str">
        <f t="shared" si="78"/>
        <v/>
      </c>
      <c r="AN162" s="43" t="str">
        <f t="shared" si="78"/>
        <v/>
      </c>
      <c r="AO162" s="43" t="str">
        <f t="shared" si="78"/>
        <v/>
      </c>
      <c r="AP162" s="43" t="str">
        <f t="shared" si="78"/>
        <v/>
      </c>
      <c r="AQ162" s="43" t="str">
        <f t="shared" si="78"/>
        <v/>
      </c>
      <c r="AR162" s="43" t="str">
        <f t="shared" si="78"/>
        <v/>
      </c>
      <c r="AS162" s="43" t="str">
        <f t="shared" si="78"/>
        <v/>
      </c>
      <c r="AT162" s="43" t="str">
        <f t="shared" si="78"/>
        <v/>
      </c>
      <c r="AU162" s="43" t="str">
        <f t="shared" si="78"/>
        <v/>
      </c>
      <c r="AV162" s="43" t="str">
        <f t="shared" si="79"/>
        <v/>
      </c>
      <c r="AW162" s="43" t="str">
        <f t="shared" si="79"/>
        <v/>
      </c>
      <c r="AX162" s="43" t="str">
        <f t="shared" si="79"/>
        <v/>
      </c>
      <c r="AY162" s="43" t="str">
        <f t="shared" si="79"/>
        <v/>
      </c>
      <c r="AZ162" s="43" t="str">
        <f t="shared" si="79"/>
        <v/>
      </c>
      <c r="BA162" s="43" t="str">
        <f t="shared" si="79"/>
        <v/>
      </c>
      <c r="BB162" s="43"/>
      <c r="BC162" s="43"/>
      <c r="BD162" s="43"/>
      <c r="BE162" s="43"/>
      <c r="BF162" s="43"/>
      <c r="BG162" s="43"/>
      <c r="BW162" s="1250"/>
    </row>
    <row r="163" spans="1:75" x14ac:dyDescent="0.25">
      <c r="A163" s="1251"/>
      <c r="B163" s="462">
        <v>157</v>
      </c>
      <c r="C163" s="462"/>
      <c r="D163" s="1244"/>
      <c r="E163" s="1050"/>
      <c r="F163" s="1244"/>
      <c r="H163" s="43" t="str">
        <f t="shared" si="75"/>
        <v/>
      </c>
      <c r="I163" s="43" t="str">
        <f t="shared" si="75"/>
        <v/>
      </c>
      <c r="J163" s="43" t="str">
        <f t="shared" si="75"/>
        <v/>
      </c>
      <c r="K163" s="43" t="str">
        <f t="shared" si="75"/>
        <v/>
      </c>
      <c r="L163" s="43" t="str">
        <f t="shared" si="75"/>
        <v/>
      </c>
      <c r="M163" s="43" t="str">
        <f t="shared" si="75"/>
        <v/>
      </c>
      <c r="N163" s="43" t="str">
        <f t="shared" si="75"/>
        <v/>
      </c>
      <c r="O163" s="43" t="str">
        <f t="shared" si="75"/>
        <v/>
      </c>
      <c r="P163" s="43" t="str">
        <f t="shared" si="75"/>
        <v/>
      </c>
      <c r="Q163" s="43" t="str">
        <f t="shared" si="75"/>
        <v/>
      </c>
      <c r="R163" s="43" t="str">
        <f t="shared" si="76"/>
        <v/>
      </c>
      <c r="S163" s="43" t="str">
        <f t="shared" si="76"/>
        <v/>
      </c>
      <c r="T163" s="43" t="str">
        <f t="shared" si="76"/>
        <v/>
      </c>
      <c r="U163" s="43" t="str">
        <f t="shared" si="76"/>
        <v/>
      </c>
      <c r="V163" s="43" t="str">
        <f t="shared" si="76"/>
        <v/>
      </c>
      <c r="W163" s="43" t="str">
        <f t="shared" si="76"/>
        <v/>
      </c>
      <c r="X163" s="43" t="str">
        <f t="shared" si="76"/>
        <v/>
      </c>
      <c r="Y163" s="43" t="str">
        <f t="shared" si="76"/>
        <v/>
      </c>
      <c r="Z163" s="43" t="str">
        <f t="shared" si="76"/>
        <v/>
      </c>
      <c r="AA163" s="43" t="str">
        <f t="shared" si="76"/>
        <v/>
      </c>
      <c r="AB163" s="43" t="str">
        <f t="shared" si="77"/>
        <v/>
      </c>
      <c r="AC163" s="43" t="str">
        <f t="shared" si="77"/>
        <v/>
      </c>
      <c r="AD163" s="43" t="str">
        <f t="shared" si="77"/>
        <v/>
      </c>
      <c r="AE163" s="43" t="str">
        <f t="shared" si="77"/>
        <v/>
      </c>
      <c r="AF163" s="43" t="str">
        <f t="shared" si="77"/>
        <v/>
      </c>
      <c r="AG163" s="43" t="str">
        <f t="shared" si="77"/>
        <v/>
      </c>
      <c r="AH163" s="43" t="str">
        <f t="shared" si="77"/>
        <v/>
      </c>
      <c r="AI163" s="43" t="str">
        <f t="shared" si="77"/>
        <v/>
      </c>
      <c r="AJ163" s="43" t="str">
        <f t="shared" si="77"/>
        <v/>
      </c>
      <c r="AK163" s="43" t="str">
        <f t="shared" si="77"/>
        <v/>
      </c>
      <c r="AL163" s="43" t="str">
        <f t="shared" si="78"/>
        <v/>
      </c>
      <c r="AM163" s="43" t="str">
        <f t="shared" si="78"/>
        <v/>
      </c>
      <c r="AN163" s="43" t="str">
        <f t="shared" si="78"/>
        <v/>
      </c>
      <c r="AO163" s="43" t="str">
        <f t="shared" si="78"/>
        <v/>
      </c>
      <c r="AP163" s="43" t="str">
        <f t="shared" si="78"/>
        <v/>
      </c>
      <c r="AQ163" s="43" t="str">
        <f t="shared" si="78"/>
        <v/>
      </c>
      <c r="AR163" s="43" t="str">
        <f t="shared" si="78"/>
        <v/>
      </c>
      <c r="AS163" s="43" t="str">
        <f t="shared" si="78"/>
        <v/>
      </c>
      <c r="AT163" s="43" t="str">
        <f t="shared" si="78"/>
        <v/>
      </c>
      <c r="AU163" s="43" t="str">
        <f t="shared" si="78"/>
        <v/>
      </c>
      <c r="AV163" s="43" t="str">
        <f t="shared" si="79"/>
        <v/>
      </c>
      <c r="AW163" s="43" t="str">
        <f t="shared" si="79"/>
        <v/>
      </c>
      <c r="AX163" s="43" t="str">
        <f t="shared" si="79"/>
        <v/>
      </c>
      <c r="AY163" s="43" t="str">
        <f t="shared" si="79"/>
        <v/>
      </c>
      <c r="AZ163" s="43" t="str">
        <f t="shared" si="79"/>
        <v/>
      </c>
      <c r="BA163" s="43" t="str">
        <f t="shared" si="79"/>
        <v/>
      </c>
      <c r="BB163" s="43"/>
      <c r="BC163" s="43"/>
      <c r="BD163" s="43"/>
      <c r="BE163" s="43"/>
      <c r="BF163" s="43"/>
      <c r="BG163" s="43"/>
      <c r="BW163" s="1250"/>
    </row>
    <row r="164" spans="1:75" x14ac:dyDescent="0.25">
      <c r="A164" s="1251"/>
      <c r="B164" s="462">
        <v>158</v>
      </c>
      <c r="C164" s="462"/>
      <c r="D164" s="1244"/>
      <c r="E164" s="1050"/>
      <c r="F164" s="1244"/>
      <c r="H164" s="43" t="str">
        <f t="shared" si="75"/>
        <v/>
      </c>
      <c r="I164" s="43" t="str">
        <f t="shared" si="75"/>
        <v/>
      </c>
      <c r="J164" s="43" t="str">
        <f t="shared" si="75"/>
        <v/>
      </c>
      <c r="K164" s="43" t="str">
        <f t="shared" si="75"/>
        <v/>
      </c>
      <c r="L164" s="43" t="str">
        <f t="shared" si="75"/>
        <v/>
      </c>
      <c r="M164" s="43" t="str">
        <f t="shared" si="75"/>
        <v/>
      </c>
      <c r="N164" s="43" t="str">
        <f t="shared" si="75"/>
        <v/>
      </c>
      <c r="O164" s="43" t="str">
        <f t="shared" si="75"/>
        <v/>
      </c>
      <c r="P164" s="43" t="str">
        <f t="shared" si="75"/>
        <v/>
      </c>
      <c r="Q164" s="43" t="str">
        <f t="shared" si="75"/>
        <v/>
      </c>
      <c r="R164" s="43" t="str">
        <f t="shared" si="76"/>
        <v/>
      </c>
      <c r="S164" s="43" t="str">
        <f t="shared" si="76"/>
        <v/>
      </c>
      <c r="T164" s="43" t="str">
        <f t="shared" si="76"/>
        <v/>
      </c>
      <c r="U164" s="43" t="str">
        <f t="shared" si="76"/>
        <v/>
      </c>
      <c r="V164" s="43" t="str">
        <f t="shared" si="76"/>
        <v/>
      </c>
      <c r="W164" s="43" t="str">
        <f t="shared" si="76"/>
        <v/>
      </c>
      <c r="X164" s="43" t="str">
        <f t="shared" si="76"/>
        <v/>
      </c>
      <c r="Y164" s="43" t="str">
        <f t="shared" si="76"/>
        <v/>
      </c>
      <c r="Z164" s="43" t="str">
        <f t="shared" si="76"/>
        <v/>
      </c>
      <c r="AA164" s="43" t="str">
        <f t="shared" si="76"/>
        <v/>
      </c>
      <c r="AB164" s="43" t="str">
        <f t="shared" si="77"/>
        <v/>
      </c>
      <c r="AC164" s="43" t="str">
        <f t="shared" si="77"/>
        <v/>
      </c>
      <c r="AD164" s="43" t="str">
        <f t="shared" si="77"/>
        <v/>
      </c>
      <c r="AE164" s="43" t="str">
        <f t="shared" si="77"/>
        <v/>
      </c>
      <c r="AF164" s="43" t="str">
        <f t="shared" si="77"/>
        <v/>
      </c>
      <c r="AG164" s="43" t="str">
        <f t="shared" si="77"/>
        <v/>
      </c>
      <c r="AH164" s="43" t="str">
        <f t="shared" si="77"/>
        <v/>
      </c>
      <c r="AI164" s="43" t="str">
        <f t="shared" si="77"/>
        <v/>
      </c>
      <c r="AJ164" s="43" t="str">
        <f t="shared" si="77"/>
        <v/>
      </c>
      <c r="AK164" s="43" t="str">
        <f t="shared" si="77"/>
        <v/>
      </c>
      <c r="AL164" s="43" t="str">
        <f t="shared" si="78"/>
        <v/>
      </c>
      <c r="AM164" s="43" t="str">
        <f t="shared" si="78"/>
        <v/>
      </c>
      <c r="AN164" s="43" t="str">
        <f t="shared" si="78"/>
        <v/>
      </c>
      <c r="AO164" s="43" t="str">
        <f t="shared" si="78"/>
        <v/>
      </c>
      <c r="AP164" s="43" t="str">
        <f t="shared" si="78"/>
        <v/>
      </c>
      <c r="AQ164" s="43" t="str">
        <f t="shared" si="78"/>
        <v/>
      </c>
      <c r="AR164" s="43" t="str">
        <f t="shared" si="78"/>
        <v/>
      </c>
      <c r="AS164" s="43" t="str">
        <f t="shared" si="78"/>
        <v/>
      </c>
      <c r="AT164" s="43" t="str">
        <f t="shared" si="78"/>
        <v/>
      </c>
      <c r="AU164" s="43" t="str">
        <f t="shared" si="78"/>
        <v/>
      </c>
      <c r="AV164" s="43" t="str">
        <f t="shared" si="79"/>
        <v/>
      </c>
      <c r="AW164" s="43" t="str">
        <f t="shared" si="79"/>
        <v/>
      </c>
      <c r="AX164" s="43" t="str">
        <f t="shared" si="79"/>
        <v/>
      </c>
      <c r="AY164" s="43" t="str">
        <f t="shared" si="79"/>
        <v/>
      </c>
      <c r="AZ164" s="43" t="str">
        <f t="shared" si="79"/>
        <v/>
      </c>
      <c r="BA164" s="43" t="str">
        <f t="shared" si="79"/>
        <v/>
      </c>
      <c r="BB164" s="43"/>
      <c r="BC164" s="43"/>
      <c r="BD164" s="43"/>
      <c r="BE164" s="43"/>
      <c r="BF164" s="43"/>
      <c r="BG164" s="43"/>
      <c r="BW164" s="1250"/>
    </row>
    <row r="165" spans="1:75" x14ac:dyDescent="0.25">
      <c r="A165" s="1251"/>
      <c r="B165" s="462">
        <v>159</v>
      </c>
      <c r="C165" s="462"/>
      <c r="D165" s="1244"/>
      <c r="E165" s="1050"/>
      <c r="F165" s="1244"/>
      <c r="H165" s="43" t="str">
        <f t="shared" si="75"/>
        <v/>
      </c>
      <c r="I165" s="43" t="str">
        <f t="shared" si="75"/>
        <v/>
      </c>
      <c r="J165" s="43" t="str">
        <f t="shared" si="75"/>
        <v/>
      </c>
      <c r="K165" s="43" t="str">
        <f t="shared" si="75"/>
        <v/>
      </c>
      <c r="L165" s="43" t="str">
        <f t="shared" si="75"/>
        <v/>
      </c>
      <c r="M165" s="43" t="str">
        <f t="shared" si="75"/>
        <v/>
      </c>
      <c r="N165" s="43" t="str">
        <f t="shared" si="75"/>
        <v/>
      </c>
      <c r="O165" s="43" t="str">
        <f t="shared" si="75"/>
        <v/>
      </c>
      <c r="P165" s="43" t="str">
        <f t="shared" si="75"/>
        <v/>
      </c>
      <c r="Q165" s="43" t="str">
        <f t="shared" si="75"/>
        <v/>
      </c>
      <c r="R165" s="43" t="str">
        <f t="shared" si="76"/>
        <v/>
      </c>
      <c r="S165" s="43" t="str">
        <f t="shared" si="76"/>
        <v/>
      </c>
      <c r="T165" s="43" t="str">
        <f t="shared" si="76"/>
        <v/>
      </c>
      <c r="U165" s="43" t="str">
        <f t="shared" si="76"/>
        <v/>
      </c>
      <c r="V165" s="43" t="str">
        <f t="shared" si="76"/>
        <v/>
      </c>
      <c r="W165" s="43" t="str">
        <f t="shared" si="76"/>
        <v/>
      </c>
      <c r="X165" s="43" t="str">
        <f t="shared" si="76"/>
        <v/>
      </c>
      <c r="Y165" s="43" t="str">
        <f t="shared" si="76"/>
        <v/>
      </c>
      <c r="Z165" s="43" t="str">
        <f t="shared" si="76"/>
        <v/>
      </c>
      <c r="AA165" s="43" t="str">
        <f t="shared" si="76"/>
        <v/>
      </c>
      <c r="AB165" s="43" t="str">
        <f t="shared" si="77"/>
        <v/>
      </c>
      <c r="AC165" s="43" t="str">
        <f t="shared" si="77"/>
        <v/>
      </c>
      <c r="AD165" s="43" t="str">
        <f t="shared" si="77"/>
        <v/>
      </c>
      <c r="AE165" s="43" t="str">
        <f t="shared" si="77"/>
        <v/>
      </c>
      <c r="AF165" s="43" t="str">
        <f t="shared" si="77"/>
        <v/>
      </c>
      <c r="AG165" s="43" t="str">
        <f t="shared" si="77"/>
        <v/>
      </c>
      <c r="AH165" s="43" t="str">
        <f t="shared" si="77"/>
        <v/>
      </c>
      <c r="AI165" s="43" t="str">
        <f t="shared" si="77"/>
        <v/>
      </c>
      <c r="AJ165" s="43" t="str">
        <f t="shared" si="77"/>
        <v/>
      </c>
      <c r="AK165" s="43" t="str">
        <f t="shared" si="77"/>
        <v/>
      </c>
      <c r="AL165" s="43" t="str">
        <f t="shared" si="78"/>
        <v/>
      </c>
      <c r="AM165" s="43" t="str">
        <f t="shared" si="78"/>
        <v/>
      </c>
      <c r="AN165" s="43" t="str">
        <f t="shared" si="78"/>
        <v/>
      </c>
      <c r="AO165" s="43" t="str">
        <f t="shared" si="78"/>
        <v/>
      </c>
      <c r="AP165" s="43" t="str">
        <f t="shared" si="78"/>
        <v/>
      </c>
      <c r="AQ165" s="43" t="str">
        <f t="shared" si="78"/>
        <v/>
      </c>
      <c r="AR165" s="43" t="str">
        <f t="shared" si="78"/>
        <v/>
      </c>
      <c r="AS165" s="43" t="str">
        <f t="shared" si="78"/>
        <v/>
      </c>
      <c r="AT165" s="43" t="str">
        <f t="shared" si="78"/>
        <v/>
      </c>
      <c r="AU165" s="43" t="str">
        <f t="shared" si="78"/>
        <v/>
      </c>
      <c r="AV165" s="43" t="str">
        <f t="shared" si="79"/>
        <v/>
      </c>
      <c r="AW165" s="43" t="str">
        <f t="shared" si="79"/>
        <v/>
      </c>
      <c r="AX165" s="43" t="str">
        <f t="shared" si="79"/>
        <v/>
      </c>
      <c r="AY165" s="43" t="str">
        <f t="shared" si="79"/>
        <v/>
      </c>
      <c r="AZ165" s="43" t="str">
        <f t="shared" si="79"/>
        <v/>
      </c>
      <c r="BA165" s="43" t="str">
        <f t="shared" si="79"/>
        <v/>
      </c>
      <c r="BB165" s="43"/>
      <c r="BC165" s="43"/>
      <c r="BD165" s="43"/>
      <c r="BE165" s="43"/>
      <c r="BF165" s="43"/>
      <c r="BG165" s="43"/>
      <c r="BW165" s="1250"/>
    </row>
    <row r="166" spans="1:75" x14ac:dyDescent="0.25">
      <c r="A166" s="1251"/>
      <c r="B166" s="462">
        <v>160</v>
      </c>
      <c r="C166" s="462"/>
      <c r="D166" s="1244"/>
      <c r="E166" s="1050"/>
      <c r="F166" s="1244"/>
      <c r="H166" s="43" t="str">
        <f t="shared" si="75"/>
        <v/>
      </c>
      <c r="I166" s="43" t="str">
        <f t="shared" si="75"/>
        <v/>
      </c>
      <c r="J166" s="43" t="str">
        <f t="shared" si="75"/>
        <v/>
      </c>
      <c r="K166" s="43" t="str">
        <f t="shared" si="75"/>
        <v/>
      </c>
      <c r="L166" s="43" t="str">
        <f t="shared" si="75"/>
        <v/>
      </c>
      <c r="M166" s="43" t="str">
        <f t="shared" si="75"/>
        <v/>
      </c>
      <c r="N166" s="43" t="str">
        <f t="shared" si="75"/>
        <v/>
      </c>
      <c r="O166" s="43" t="str">
        <f t="shared" si="75"/>
        <v/>
      </c>
      <c r="P166" s="43" t="str">
        <f t="shared" si="75"/>
        <v/>
      </c>
      <c r="Q166" s="43" t="str">
        <f t="shared" si="75"/>
        <v/>
      </c>
      <c r="R166" s="43" t="str">
        <f t="shared" si="76"/>
        <v/>
      </c>
      <c r="S166" s="43" t="str">
        <f t="shared" si="76"/>
        <v/>
      </c>
      <c r="T166" s="43" t="str">
        <f t="shared" si="76"/>
        <v/>
      </c>
      <c r="U166" s="43" t="str">
        <f t="shared" si="76"/>
        <v/>
      </c>
      <c r="V166" s="43" t="str">
        <f t="shared" si="76"/>
        <v/>
      </c>
      <c r="W166" s="43" t="str">
        <f t="shared" si="76"/>
        <v/>
      </c>
      <c r="X166" s="43" t="str">
        <f t="shared" si="76"/>
        <v/>
      </c>
      <c r="Y166" s="43" t="str">
        <f t="shared" si="76"/>
        <v/>
      </c>
      <c r="Z166" s="43" t="str">
        <f t="shared" si="76"/>
        <v/>
      </c>
      <c r="AA166" s="43" t="str">
        <f t="shared" si="76"/>
        <v/>
      </c>
      <c r="AB166" s="43" t="str">
        <f t="shared" si="77"/>
        <v/>
      </c>
      <c r="AC166" s="43" t="str">
        <f t="shared" si="77"/>
        <v/>
      </c>
      <c r="AD166" s="43" t="str">
        <f t="shared" si="77"/>
        <v/>
      </c>
      <c r="AE166" s="43" t="str">
        <f t="shared" si="77"/>
        <v/>
      </c>
      <c r="AF166" s="43" t="str">
        <f t="shared" si="77"/>
        <v/>
      </c>
      <c r="AG166" s="43" t="str">
        <f t="shared" si="77"/>
        <v/>
      </c>
      <c r="AH166" s="43" t="str">
        <f t="shared" si="77"/>
        <v/>
      </c>
      <c r="AI166" s="43" t="str">
        <f t="shared" si="77"/>
        <v/>
      </c>
      <c r="AJ166" s="43" t="str">
        <f t="shared" si="77"/>
        <v/>
      </c>
      <c r="AK166" s="43" t="str">
        <f t="shared" si="77"/>
        <v/>
      </c>
      <c r="AL166" s="43" t="str">
        <f t="shared" si="78"/>
        <v/>
      </c>
      <c r="AM166" s="43" t="str">
        <f t="shared" si="78"/>
        <v/>
      </c>
      <c r="AN166" s="43" t="str">
        <f t="shared" si="78"/>
        <v/>
      </c>
      <c r="AO166" s="43" t="str">
        <f t="shared" si="78"/>
        <v/>
      </c>
      <c r="AP166" s="43" t="str">
        <f t="shared" si="78"/>
        <v/>
      </c>
      <c r="AQ166" s="43" t="str">
        <f t="shared" si="78"/>
        <v/>
      </c>
      <c r="AR166" s="43" t="str">
        <f t="shared" si="78"/>
        <v/>
      </c>
      <c r="AS166" s="43" t="str">
        <f t="shared" si="78"/>
        <v/>
      </c>
      <c r="AT166" s="43" t="str">
        <f t="shared" si="78"/>
        <v/>
      </c>
      <c r="AU166" s="43" t="str">
        <f t="shared" si="78"/>
        <v/>
      </c>
      <c r="AV166" s="43" t="str">
        <f t="shared" si="79"/>
        <v/>
      </c>
      <c r="AW166" s="43" t="str">
        <f t="shared" si="79"/>
        <v/>
      </c>
      <c r="AX166" s="43" t="str">
        <f t="shared" si="79"/>
        <v/>
      </c>
      <c r="AY166" s="43" t="str">
        <f t="shared" si="79"/>
        <v/>
      </c>
      <c r="AZ166" s="43" t="str">
        <f t="shared" si="79"/>
        <v/>
      </c>
      <c r="BA166" s="43" t="str">
        <f t="shared" si="79"/>
        <v/>
      </c>
      <c r="BB166" s="43"/>
      <c r="BC166" s="43"/>
      <c r="BD166" s="43"/>
      <c r="BE166" s="43"/>
      <c r="BF166" s="43"/>
      <c r="BG166" s="43"/>
      <c r="BW166" s="1250"/>
    </row>
    <row r="167" spans="1:75" x14ac:dyDescent="0.25">
      <c r="A167" s="1251"/>
      <c r="B167" s="462">
        <v>161</v>
      </c>
      <c r="C167" s="462"/>
      <c r="D167" s="1244"/>
      <c r="E167" s="1050"/>
      <c r="F167" s="1244"/>
      <c r="H167" s="43" t="str">
        <f t="shared" ref="H167:Q176" si="80">IF($D167=H$6,$B167&amp;", ","")</f>
        <v/>
      </c>
      <c r="I167" s="43" t="str">
        <f t="shared" si="80"/>
        <v/>
      </c>
      <c r="J167" s="43" t="str">
        <f t="shared" si="80"/>
        <v/>
      </c>
      <c r="K167" s="43" t="str">
        <f t="shared" si="80"/>
        <v/>
      </c>
      <c r="L167" s="43" t="str">
        <f t="shared" si="80"/>
        <v/>
      </c>
      <c r="M167" s="43" t="str">
        <f t="shared" si="80"/>
        <v/>
      </c>
      <c r="N167" s="43" t="str">
        <f t="shared" si="80"/>
        <v/>
      </c>
      <c r="O167" s="43" t="str">
        <f t="shared" si="80"/>
        <v/>
      </c>
      <c r="P167" s="43" t="str">
        <f t="shared" si="80"/>
        <v/>
      </c>
      <c r="Q167" s="43" t="str">
        <f t="shared" si="80"/>
        <v/>
      </c>
      <c r="R167" s="43" t="str">
        <f t="shared" ref="R167:AA176" si="81">IF($D167=R$6,$B167&amp;", ","")</f>
        <v/>
      </c>
      <c r="S167" s="43" t="str">
        <f t="shared" si="81"/>
        <v/>
      </c>
      <c r="T167" s="43" t="str">
        <f t="shared" si="81"/>
        <v/>
      </c>
      <c r="U167" s="43" t="str">
        <f t="shared" si="81"/>
        <v/>
      </c>
      <c r="V167" s="43" t="str">
        <f t="shared" si="81"/>
        <v/>
      </c>
      <c r="W167" s="43" t="str">
        <f t="shared" si="81"/>
        <v/>
      </c>
      <c r="X167" s="43" t="str">
        <f t="shared" si="81"/>
        <v/>
      </c>
      <c r="Y167" s="43" t="str">
        <f t="shared" si="81"/>
        <v/>
      </c>
      <c r="Z167" s="43" t="str">
        <f t="shared" si="81"/>
        <v/>
      </c>
      <c r="AA167" s="43" t="str">
        <f t="shared" si="81"/>
        <v/>
      </c>
      <c r="AB167" s="43" t="str">
        <f t="shared" ref="AB167:AK176" si="82">IF($D167=AB$6,$B167&amp;", ","")</f>
        <v/>
      </c>
      <c r="AC167" s="43" t="str">
        <f t="shared" si="82"/>
        <v/>
      </c>
      <c r="AD167" s="43" t="str">
        <f t="shared" si="82"/>
        <v/>
      </c>
      <c r="AE167" s="43" t="str">
        <f t="shared" si="82"/>
        <v/>
      </c>
      <c r="AF167" s="43" t="str">
        <f t="shared" si="82"/>
        <v/>
      </c>
      <c r="AG167" s="43" t="str">
        <f t="shared" si="82"/>
        <v/>
      </c>
      <c r="AH167" s="43" t="str">
        <f t="shared" si="82"/>
        <v/>
      </c>
      <c r="AI167" s="43" t="str">
        <f t="shared" si="82"/>
        <v/>
      </c>
      <c r="AJ167" s="43" t="str">
        <f t="shared" si="82"/>
        <v/>
      </c>
      <c r="AK167" s="43" t="str">
        <f t="shared" si="82"/>
        <v/>
      </c>
      <c r="AL167" s="43" t="str">
        <f t="shared" ref="AL167:AU176" si="83">IF($D167=AL$6,$B167&amp;", ","")</f>
        <v/>
      </c>
      <c r="AM167" s="43" t="str">
        <f t="shared" si="83"/>
        <v/>
      </c>
      <c r="AN167" s="43" t="str">
        <f t="shared" si="83"/>
        <v/>
      </c>
      <c r="AO167" s="43" t="str">
        <f t="shared" si="83"/>
        <v/>
      </c>
      <c r="AP167" s="43" t="str">
        <f t="shared" si="83"/>
        <v/>
      </c>
      <c r="AQ167" s="43" t="str">
        <f t="shared" si="83"/>
        <v/>
      </c>
      <c r="AR167" s="43" t="str">
        <f t="shared" si="83"/>
        <v/>
      </c>
      <c r="AS167" s="43" t="str">
        <f t="shared" si="83"/>
        <v/>
      </c>
      <c r="AT167" s="43" t="str">
        <f t="shared" si="83"/>
        <v/>
      </c>
      <c r="AU167" s="43" t="str">
        <f t="shared" si="83"/>
        <v/>
      </c>
      <c r="AV167" s="43" t="str">
        <f t="shared" ref="AV167:BA176" si="84">IF($D167=AV$6,$B167&amp;", ","")</f>
        <v/>
      </c>
      <c r="AW167" s="43" t="str">
        <f t="shared" si="84"/>
        <v/>
      </c>
      <c r="AX167" s="43" t="str">
        <f t="shared" si="84"/>
        <v/>
      </c>
      <c r="AY167" s="43" t="str">
        <f t="shared" si="84"/>
        <v/>
      </c>
      <c r="AZ167" s="43" t="str">
        <f t="shared" si="84"/>
        <v/>
      </c>
      <c r="BA167" s="43" t="str">
        <f t="shared" si="84"/>
        <v/>
      </c>
      <c r="BB167" s="43"/>
      <c r="BC167" s="43"/>
      <c r="BD167" s="43"/>
      <c r="BE167" s="43"/>
      <c r="BF167" s="43"/>
      <c r="BG167" s="43"/>
      <c r="BW167" s="1250"/>
    </row>
    <row r="168" spans="1:75" x14ac:dyDescent="0.25">
      <c r="A168" s="1251"/>
      <c r="B168" s="462">
        <v>162</v>
      </c>
      <c r="C168" s="462"/>
      <c r="D168" s="1244"/>
      <c r="E168" s="1050"/>
      <c r="F168" s="1244"/>
      <c r="H168" s="43" t="str">
        <f t="shared" si="80"/>
        <v/>
      </c>
      <c r="I168" s="43" t="str">
        <f t="shared" si="80"/>
        <v/>
      </c>
      <c r="J168" s="43" t="str">
        <f t="shared" si="80"/>
        <v/>
      </c>
      <c r="K168" s="43" t="str">
        <f t="shared" si="80"/>
        <v/>
      </c>
      <c r="L168" s="43" t="str">
        <f t="shared" si="80"/>
        <v/>
      </c>
      <c r="M168" s="43" t="str">
        <f t="shared" si="80"/>
        <v/>
      </c>
      <c r="N168" s="43" t="str">
        <f t="shared" si="80"/>
        <v/>
      </c>
      <c r="O168" s="43" t="str">
        <f t="shared" si="80"/>
        <v/>
      </c>
      <c r="P168" s="43" t="str">
        <f t="shared" si="80"/>
        <v/>
      </c>
      <c r="Q168" s="43" t="str">
        <f t="shared" si="80"/>
        <v/>
      </c>
      <c r="R168" s="43" t="str">
        <f t="shared" si="81"/>
        <v/>
      </c>
      <c r="S168" s="43" t="str">
        <f t="shared" si="81"/>
        <v/>
      </c>
      <c r="T168" s="43" t="str">
        <f t="shared" si="81"/>
        <v/>
      </c>
      <c r="U168" s="43" t="str">
        <f t="shared" si="81"/>
        <v/>
      </c>
      <c r="V168" s="43" t="str">
        <f t="shared" si="81"/>
        <v/>
      </c>
      <c r="W168" s="43" t="str">
        <f t="shared" si="81"/>
        <v/>
      </c>
      <c r="X168" s="43" t="str">
        <f t="shared" si="81"/>
        <v/>
      </c>
      <c r="Y168" s="43" t="str">
        <f t="shared" si="81"/>
        <v/>
      </c>
      <c r="Z168" s="43" t="str">
        <f t="shared" si="81"/>
        <v/>
      </c>
      <c r="AA168" s="43" t="str">
        <f t="shared" si="81"/>
        <v/>
      </c>
      <c r="AB168" s="43" t="str">
        <f t="shared" si="82"/>
        <v/>
      </c>
      <c r="AC168" s="43" t="str">
        <f t="shared" si="82"/>
        <v/>
      </c>
      <c r="AD168" s="43" t="str">
        <f t="shared" si="82"/>
        <v/>
      </c>
      <c r="AE168" s="43" t="str">
        <f t="shared" si="82"/>
        <v/>
      </c>
      <c r="AF168" s="43" t="str">
        <f t="shared" si="82"/>
        <v/>
      </c>
      <c r="AG168" s="43" t="str">
        <f t="shared" si="82"/>
        <v/>
      </c>
      <c r="AH168" s="43" t="str">
        <f t="shared" si="82"/>
        <v/>
      </c>
      <c r="AI168" s="43" t="str">
        <f t="shared" si="82"/>
        <v/>
      </c>
      <c r="AJ168" s="43" t="str">
        <f t="shared" si="82"/>
        <v/>
      </c>
      <c r="AK168" s="43" t="str">
        <f t="shared" si="82"/>
        <v/>
      </c>
      <c r="AL168" s="43" t="str">
        <f t="shared" si="83"/>
        <v/>
      </c>
      <c r="AM168" s="43" t="str">
        <f t="shared" si="83"/>
        <v/>
      </c>
      <c r="AN168" s="43" t="str">
        <f t="shared" si="83"/>
        <v/>
      </c>
      <c r="AO168" s="43" t="str">
        <f t="shared" si="83"/>
        <v/>
      </c>
      <c r="AP168" s="43" t="str">
        <f t="shared" si="83"/>
        <v/>
      </c>
      <c r="AQ168" s="43" t="str">
        <f t="shared" si="83"/>
        <v/>
      </c>
      <c r="AR168" s="43" t="str">
        <f t="shared" si="83"/>
        <v/>
      </c>
      <c r="AS168" s="43" t="str">
        <f t="shared" si="83"/>
        <v/>
      </c>
      <c r="AT168" s="43" t="str">
        <f t="shared" si="83"/>
        <v/>
      </c>
      <c r="AU168" s="43" t="str">
        <f t="shared" si="83"/>
        <v/>
      </c>
      <c r="AV168" s="43" t="str">
        <f t="shared" si="84"/>
        <v/>
      </c>
      <c r="AW168" s="43" t="str">
        <f t="shared" si="84"/>
        <v/>
      </c>
      <c r="AX168" s="43" t="str">
        <f t="shared" si="84"/>
        <v/>
      </c>
      <c r="AY168" s="43" t="str">
        <f t="shared" si="84"/>
        <v/>
      </c>
      <c r="AZ168" s="43" t="str">
        <f t="shared" si="84"/>
        <v/>
      </c>
      <c r="BA168" s="43" t="str">
        <f t="shared" si="84"/>
        <v/>
      </c>
      <c r="BB168" s="43"/>
      <c r="BC168" s="43"/>
      <c r="BD168" s="43"/>
      <c r="BE168" s="43"/>
      <c r="BF168" s="43"/>
      <c r="BG168" s="43"/>
      <c r="BW168" s="1250"/>
    </row>
    <row r="169" spans="1:75" x14ac:dyDescent="0.25">
      <c r="A169" s="1251"/>
      <c r="B169" s="462">
        <v>163</v>
      </c>
      <c r="C169" s="462"/>
      <c r="D169" s="1244"/>
      <c r="E169" s="1050"/>
      <c r="F169" s="1244"/>
      <c r="H169" s="43" t="str">
        <f t="shared" si="80"/>
        <v/>
      </c>
      <c r="I169" s="43" t="str">
        <f t="shared" si="80"/>
        <v/>
      </c>
      <c r="J169" s="43" t="str">
        <f t="shared" si="80"/>
        <v/>
      </c>
      <c r="K169" s="43" t="str">
        <f t="shared" si="80"/>
        <v/>
      </c>
      <c r="L169" s="43" t="str">
        <f t="shared" si="80"/>
        <v/>
      </c>
      <c r="M169" s="43" t="str">
        <f t="shared" si="80"/>
        <v/>
      </c>
      <c r="N169" s="43" t="str">
        <f t="shared" si="80"/>
        <v/>
      </c>
      <c r="O169" s="43" t="str">
        <f t="shared" si="80"/>
        <v/>
      </c>
      <c r="P169" s="43" t="str">
        <f t="shared" si="80"/>
        <v/>
      </c>
      <c r="Q169" s="43" t="str">
        <f t="shared" si="80"/>
        <v/>
      </c>
      <c r="R169" s="43" t="str">
        <f t="shared" si="81"/>
        <v/>
      </c>
      <c r="S169" s="43" t="str">
        <f t="shared" si="81"/>
        <v/>
      </c>
      <c r="T169" s="43" t="str">
        <f t="shared" si="81"/>
        <v/>
      </c>
      <c r="U169" s="43" t="str">
        <f t="shared" si="81"/>
        <v/>
      </c>
      <c r="V169" s="43" t="str">
        <f t="shared" si="81"/>
        <v/>
      </c>
      <c r="W169" s="43" t="str">
        <f t="shared" si="81"/>
        <v/>
      </c>
      <c r="X169" s="43" t="str">
        <f t="shared" si="81"/>
        <v/>
      </c>
      <c r="Y169" s="43" t="str">
        <f t="shared" si="81"/>
        <v/>
      </c>
      <c r="Z169" s="43" t="str">
        <f t="shared" si="81"/>
        <v/>
      </c>
      <c r="AA169" s="43" t="str">
        <f t="shared" si="81"/>
        <v/>
      </c>
      <c r="AB169" s="43" t="str">
        <f t="shared" si="82"/>
        <v/>
      </c>
      <c r="AC169" s="43" t="str">
        <f t="shared" si="82"/>
        <v/>
      </c>
      <c r="AD169" s="43" t="str">
        <f t="shared" si="82"/>
        <v/>
      </c>
      <c r="AE169" s="43" t="str">
        <f t="shared" si="82"/>
        <v/>
      </c>
      <c r="AF169" s="43" t="str">
        <f t="shared" si="82"/>
        <v/>
      </c>
      <c r="AG169" s="43" t="str">
        <f t="shared" si="82"/>
        <v/>
      </c>
      <c r="AH169" s="43" t="str">
        <f t="shared" si="82"/>
        <v/>
      </c>
      <c r="AI169" s="43" t="str">
        <f t="shared" si="82"/>
        <v/>
      </c>
      <c r="AJ169" s="43" t="str">
        <f t="shared" si="82"/>
        <v/>
      </c>
      <c r="AK169" s="43" t="str">
        <f t="shared" si="82"/>
        <v/>
      </c>
      <c r="AL169" s="43" t="str">
        <f t="shared" si="83"/>
        <v/>
      </c>
      <c r="AM169" s="43" t="str">
        <f t="shared" si="83"/>
        <v/>
      </c>
      <c r="AN169" s="43" t="str">
        <f t="shared" si="83"/>
        <v/>
      </c>
      <c r="AO169" s="43" t="str">
        <f t="shared" si="83"/>
        <v/>
      </c>
      <c r="AP169" s="43" t="str">
        <f t="shared" si="83"/>
        <v/>
      </c>
      <c r="AQ169" s="43" t="str">
        <f t="shared" si="83"/>
        <v/>
      </c>
      <c r="AR169" s="43" t="str">
        <f t="shared" si="83"/>
        <v/>
      </c>
      <c r="AS169" s="43" t="str">
        <f t="shared" si="83"/>
        <v/>
      </c>
      <c r="AT169" s="43" t="str">
        <f t="shared" si="83"/>
        <v/>
      </c>
      <c r="AU169" s="43" t="str">
        <f t="shared" si="83"/>
        <v/>
      </c>
      <c r="AV169" s="43" t="str">
        <f t="shared" si="84"/>
        <v/>
      </c>
      <c r="AW169" s="43" t="str">
        <f t="shared" si="84"/>
        <v/>
      </c>
      <c r="AX169" s="43" t="str">
        <f t="shared" si="84"/>
        <v/>
      </c>
      <c r="AY169" s="43" t="str">
        <f t="shared" si="84"/>
        <v/>
      </c>
      <c r="AZ169" s="43" t="str">
        <f t="shared" si="84"/>
        <v/>
      </c>
      <c r="BA169" s="43" t="str">
        <f t="shared" si="84"/>
        <v/>
      </c>
      <c r="BB169" s="43"/>
      <c r="BC169" s="43"/>
      <c r="BD169" s="43"/>
      <c r="BE169" s="43"/>
      <c r="BF169" s="43"/>
      <c r="BG169" s="43"/>
      <c r="BW169" s="1250"/>
    </row>
    <row r="170" spans="1:75" x14ac:dyDescent="0.25">
      <c r="A170" s="1251"/>
      <c r="B170" s="462">
        <v>164</v>
      </c>
      <c r="C170" s="462"/>
      <c r="D170" s="1244"/>
      <c r="E170" s="1050"/>
      <c r="F170" s="1244"/>
      <c r="H170" s="43" t="str">
        <f t="shared" si="80"/>
        <v/>
      </c>
      <c r="I170" s="43" t="str">
        <f t="shared" si="80"/>
        <v/>
      </c>
      <c r="J170" s="43" t="str">
        <f t="shared" si="80"/>
        <v/>
      </c>
      <c r="K170" s="43" t="str">
        <f t="shared" si="80"/>
        <v/>
      </c>
      <c r="L170" s="43" t="str">
        <f t="shared" si="80"/>
        <v/>
      </c>
      <c r="M170" s="43" t="str">
        <f t="shared" si="80"/>
        <v/>
      </c>
      <c r="N170" s="43" t="str">
        <f t="shared" si="80"/>
        <v/>
      </c>
      <c r="O170" s="43" t="str">
        <f t="shared" si="80"/>
        <v/>
      </c>
      <c r="P170" s="43" t="str">
        <f t="shared" si="80"/>
        <v/>
      </c>
      <c r="Q170" s="43" t="str">
        <f t="shared" si="80"/>
        <v/>
      </c>
      <c r="R170" s="43" t="str">
        <f t="shared" si="81"/>
        <v/>
      </c>
      <c r="S170" s="43" t="str">
        <f t="shared" si="81"/>
        <v/>
      </c>
      <c r="T170" s="43" t="str">
        <f t="shared" si="81"/>
        <v/>
      </c>
      <c r="U170" s="43" t="str">
        <f t="shared" si="81"/>
        <v/>
      </c>
      <c r="V170" s="43" t="str">
        <f t="shared" si="81"/>
        <v/>
      </c>
      <c r="W170" s="43" t="str">
        <f t="shared" si="81"/>
        <v/>
      </c>
      <c r="X170" s="43" t="str">
        <f t="shared" si="81"/>
        <v/>
      </c>
      <c r="Y170" s="43" t="str">
        <f t="shared" si="81"/>
        <v/>
      </c>
      <c r="Z170" s="43" t="str">
        <f t="shared" si="81"/>
        <v/>
      </c>
      <c r="AA170" s="43" t="str">
        <f t="shared" si="81"/>
        <v/>
      </c>
      <c r="AB170" s="43" t="str">
        <f t="shared" si="82"/>
        <v/>
      </c>
      <c r="AC170" s="43" t="str">
        <f t="shared" si="82"/>
        <v/>
      </c>
      <c r="AD170" s="43" t="str">
        <f t="shared" si="82"/>
        <v/>
      </c>
      <c r="AE170" s="43" t="str">
        <f t="shared" si="82"/>
        <v/>
      </c>
      <c r="AF170" s="43" t="str">
        <f t="shared" si="82"/>
        <v/>
      </c>
      <c r="AG170" s="43" t="str">
        <f t="shared" si="82"/>
        <v/>
      </c>
      <c r="AH170" s="43" t="str">
        <f t="shared" si="82"/>
        <v/>
      </c>
      <c r="AI170" s="43" t="str">
        <f t="shared" si="82"/>
        <v/>
      </c>
      <c r="AJ170" s="43" t="str">
        <f t="shared" si="82"/>
        <v/>
      </c>
      <c r="AK170" s="43" t="str">
        <f t="shared" si="82"/>
        <v/>
      </c>
      <c r="AL170" s="43" t="str">
        <f t="shared" si="83"/>
        <v/>
      </c>
      <c r="AM170" s="43" t="str">
        <f t="shared" si="83"/>
        <v/>
      </c>
      <c r="AN170" s="43" t="str">
        <f t="shared" si="83"/>
        <v/>
      </c>
      <c r="AO170" s="43" t="str">
        <f t="shared" si="83"/>
        <v/>
      </c>
      <c r="AP170" s="43" t="str">
        <f t="shared" si="83"/>
        <v/>
      </c>
      <c r="AQ170" s="43" t="str">
        <f t="shared" si="83"/>
        <v/>
      </c>
      <c r="AR170" s="43" t="str">
        <f t="shared" si="83"/>
        <v/>
      </c>
      <c r="AS170" s="43" t="str">
        <f t="shared" si="83"/>
        <v/>
      </c>
      <c r="AT170" s="43" t="str">
        <f t="shared" si="83"/>
        <v/>
      </c>
      <c r="AU170" s="43" t="str">
        <f t="shared" si="83"/>
        <v/>
      </c>
      <c r="AV170" s="43" t="str">
        <f t="shared" si="84"/>
        <v/>
      </c>
      <c r="AW170" s="43" t="str">
        <f t="shared" si="84"/>
        <v/>
      </c>
      <c r="AX170" s="43" t="str">
        <f t="shared" si="84"/>
        <v/>
      </c>
      <c r="AY170" s="43" t="str">
        <f t="shared" si="84"/>
        <v/>
      </c>
      <c r="AZ170" s="43" t="str">
        <f t="shared" si="84"/>
        <v/>
      </c>
      <c r="BA170" s="43" t="str">
        <f t="shared" si="84"/>
        <v/>
      </c>
      <c r="BB170" s="43"/>
      <c r="BC170" s="43"/>
      <c r="BD170" s="43"/>
      <c r="BE170" s="43"/>
      <c r="BF170" s="43"/>
      <c r="BG170" s="43"/>
      <c r="BW170" s="1250"/>
    </row>
    <row r="171" spans="1:75" x14ac:dyDescent="0.25">
      <c r="A171" s="1251"/>
      <c r="B171" s="462">
        <v>165</v>
      </c>
      <c r="C171" s="462"/>
      <c r="D171" s="1244"/>
      <c r="E171" s="1050"/>
      <c r="F171" s="1244"/>
      <c r="H171" s="43" t="str">
        <f t="shared" si="80"/>
        <v/>
      </c>
      <c r="I171" s="43" t="str">
        <f t="shared" si="80"/>
        <v/>
      </c>
      <c r="J171" s="43" t="str">
        <f t="shared" si="80"/>
        <v/>
      </c>
      <c r="K171" s="43" t="str">
        <f t="shared" si="80"/>
        <v/>
      </c>
      <c r="L171" s="43" t="str">
        <f t="shared" si="80"/>
        <v/>
      </c>
      <c r="M171" s="43" t="str">
        <f t="shared" si="80"/>
        <v/>
      </c>
      <c r="N171" s="43" t="str">
        <f t="shared" si="80"/>
        <v/>
      </c>
      <c r="O171" s="43" t="str">
        <f t="shared" si="80"/>
        <v/>
      </c>
      <c r="P171" s="43" t="str">
        <f t="shared" si="80"/>
        <v/>
      </c>
      <c r="Q171" s="43" t="str">
        <f t="shared" si="80"/>
        <v/>
      </c>
      <c r="R171" s="43" t="str">
        <f t="shared" si="81"/>
        <v/>
      </c>
      <c r="S171" s="43" t="str">
        <f t="shared" si="81"/>
        <v/>
      </c>
      <c r="T171" s="43" t="str">
        <f t="shared" si="81"/>
        <v/>
      </c>
      <c r="U171" s="43" t="str">
        <f t="shared" si="81"/>
        <v/>
      </c>
      <c r="V171" s="43" t="str">
        <f t="shared" si="81"/>
        <v/>
      </c>
      <c r="W171" s="43" t="str">
        <f t="shared" si="81"/>
        <v/>
      </c>
      <c r="X171" s="43" t="str">
        <f t="shared" si="81"/>
        <v/>
      </c>
      <c r="Y171" s="43" t="str">
        <f t="shared" si="81"/>
        <v/>
      </c>
      <c r="Z171" s="43" t="str">
        <f t="shared" si="81"/>
        <v/>
      </c>
      <c r="AA171" s="43" t="str">
        <f t="shared" si="81"/>
        <v/>
      </c>
      <c r="AB171" s="43" t="str">
        <f t="shared" si="82"/>
        <v/>
      </c>
      <c r="AC171" s="43" t="str">
        <f t="shared" si="82"/>
        <v/>
      </c>
      <c r="AD171" s="43" t="str">
        <f t="shared" si="82"/>
        <v/>
      </c>
      <c r="AE171" s="43" t="str">
        <f t="shared" si="82"/>
        <v/>
      </c>
      <c r="AF171" s="43" t="str">
        <f t="shared" si="82"/>
        <v/>
      </c>
      <c r="AG171" s="43" t="str">
        <f t="shared" si="82"/>
        <v/>
      </c>
      <c r="AH171" s="43" t="str">
        <f t="shared" si="82"/>
        <v/>
      </c>
      <c r="AI171" s="43" t="str">
        <f t="shared" si="82"/>
        <v/>
      </c>
      <c r="AJ171" s="43" t="str">
        <f t="shared" si="82"/>
        <v/>
      </c>
      <c r="AK171" s="43" t="str">
        <f t="shared" si="82"/>
        <v/>
      </c>
      <c r="AL171" s="43" t="str">
        <f t="shared" si="83"/>
        <v/>
      </c>
      <c r="AM171" s="43" t="str">
        <f t="shared" si="83"/>
        <v/>
      </c>
      <c r="AN171" s="43" t="str">
        <f t="shared" si="83"/>
        <v/>
      </c>
      <c r="AO171" s="43" t="str">
        <f t="shared" si="83"/>
        <v/>
      </c>
      <c r="AP171" s="43" t="str">
        <f t="shared" si="83"/>
        <v/>
      </c>
      <c r="AQ171" s="43" t="str">
        <f t="shared" si="83"/>
        <v/>
      </c>
      <c r="AR171" s="43" t="str">
        <f t="shared" si="83"/>
        <v/>
      </c>
      <c r="AS171" s="43" t="str">
        <f t="shared" si="83"/>
        <v/>
      </c>
      <c r="AT171" s="43" t="str">
        <f t="shared" si="83"/>
        <v/>
      </c>
      <c r="AU171" s="43" t="str">
        <f t="shared" si="83"/>
        <v/>
      </c>
      <c r="AV171" s="43" t="str">
        <f t="shared" si="84"/>
        <v/>
      </c>
      <c r="AW171" s="43" t="str">
        <f t="shared" si="84"/>
        <v/>
      </c>
      <c r="AX171" s="43" t="str">
        <f t="shared" si="84"/>
        <v/>
      </c>
      <c r="AY171" s="43" t="str">
        <f t="shared" si="84"/>
        <v/>
      </c>
      <c r="AZ171" s="43" t="str">
        <f t="shared" si="84"/>
        <v/>
      </c>
      <c r="BA171" s="43" t="str">
        <f t="shared" si="84"/>
        <v/>
      </c>
      <c r="BB171" s="43"/>
      <c r="BC171" s="43"/>
      <c r="BD171" s="43"/>
      <c r="BE171" s="43"/>
      <c r="BF171" s="43"/>
      <c r="BG171" s="43"/>
      <c r="BW171" s="1250"/>
    </row>
    <row r="172" spans="1:75" x14ac:dyDescent="0.25">
      <c r="A172" s="1251"/>
      <c r="B172" s="462">
        <v>166</v>
      </c>
      <c r="C172" s="462"/>
      <c r="D172" s="1244"/>
      <c r="E172" s="1050"/>
      <c r="F172" s="1244"/>
      <c r="H172" s="43" t="str">
        <f t="shared" si="80"/>
        <v/>
      </c>
      <c r="I172" s="43" t="str">
        <f t="shared" si="80"/>
        <v/>
      </c>
      <c r="J172" s="43" t="str">
        <f t="shared" si="80"/>
        <v/>
      </c>
      <c r="K172" s="43" t="str">
        <f t="shared" si="80"/>
        <v/>
      </c>
      <c r="L172" s="43" t="str">
        <f t="shared" si="80"/>
        <v/>
      </c>
      <c r="M172" s="43" t="str">
        <f t="shared" si="80"/>
        <v/>
      </c>
      <c r="N172" s="43" t="str">
        <f t="shared" si="80"/>
        <v/>
      </c>
      <c r="O172" s="43" t="str">
        <f t="shared" si="80"/>
        <v/>
      </c>
      <c r="P172" s="43" t="str">
        <f t="shared" si="80"/>
        <v/>
      </c>
      <c r="Q172" s="43" t="str">
        <f t="shared" si="80"/>
        <v/>
      </c>
      <c r="R172" s="43" t="str">
        <f t="shared" si="81"/>
        <v/>
      </c>
      <c r="S172" s="43" t="str">
        <f t="shared" si="81"/>
        <v/>
      </c>
      <c r="T172" s="43" t="str">
        <f t="shared" si="81"/>
        <v/>
      </c>
      <c r="U172" s="43" t="str">
        <f t="shared" si="81"/>
        <v/>
      </c>
      <c r="V172" s="43" t="str">
        <f t="shared" si="81"/>
        <v/>
      </c>
      <c r="W172" s="43" t="str">
        <f t="shared" si="81"/>
        <v/>
      </c>
      <c r="X172" s="43" t="str">
        <f t="shared" si="81"/>
        <v/>
      </c>
      <c r="Y172" s="43" t="str">
        <f t="shared" si="81"/>
        <v/>
      </c>
      <c r="Z172" s="43" t="str">
        <f t="shared" si="81"/>
        <v/>
      </c>
      <c r="AA172" s="43" t="str">
        <f t="shared" si="81"/>
        <v/>
      </c>
      <c r="AB172" s="43" t="str">
        <f t="shared" si="82"/>
        <v/>
      </c>
      <c r="AC172" s="43" t="str">
        <f t="shared" si="82"/>
        <v/>
      </c>
      <c r="AD172" s="43" t="str">
        <f t="shared" si="82"/>
        <v/>
      </c>
      <c r="AE172" s="43" t="str">
        <f t="shared" si="82"/>
        <v/>
      </c>
      <c r="AF172" s="43" t="str">
        <f t="shared" si="82"/>
        <v/>
      </c>
      <c r="AG172" s="43" t="str">
        <f t="shared" si="82"/>
        <v/>
      </c>
      <c r="AH172" s="43" t="str">
        <f t="shared" si="82"/>
        <v/>
      </c>
      <c r="AI172" s="43" t="str">
        <f t="shared" si="82"/>
        <v/>
      </c>
      <c r="AJ172" s="43" t="str">
        <f t="shared" si="82"/>
        <v/>
      </c>
      <c r="AK172" s="43" t="str">
        <f t="shared" si="82"/>
        <v/>
      </c>
      <c r="AL172" s="43" t="str">
        <f t="shared" si="83"/>
        <v/>
      </c>
      <c r="AM172" s="43" t="str">
        <f t="shared" si="83"/>
        <v/>
      </c>
      <c r="AN172" s="43" t="str">
        <f t="shared" si="83"/>
        <v/>
      </c>
      <c r="AO172" s="43" t="str">
        <f t="shared" si="83"/>
        <v/>
      </c>
      <c r="AP172" s="43" t="str">
        <f t="shared" si="83"/>
        <v/>
      </c>
      <c r="AQ172" s="43" t="str">
        <f t="shared" si="83"/>
        <v/>
      </c>
      <c r="AR172" s="43" t="str">
        <f t="shared" si="83"/>
        <v/>
      </c>
      <c r="AS172" s="43" t="str">
        <f t="shared" si="83"/>
        <v/>
      </c>
      <c r="AT172" s="43" t="str">
        <f t="shared" si="83"/>
        <v/>
      </c>
      <c r="AU172" s="43" t="str">
        <f t="shared" si="83"/>
        <v/>
      </c>
      <c r="AV172" s="43" t="str">
        <f t="shared" si="84"/>
        <v/>
      </c>
      <c r="AW172" s="43" t="str">
        <f t="shared" si="84"/>
        <v/>
      </c>
      <c r="AX172" s="43" t="str">
        <f t="shared" si="84"/>
        <v/>
      </c>
      <c r="AY172" s="43" t="str">
        <f t="shared" si="84"/>
        <v/>
      </c>
      <c r="AZ172" s="43" t="str">
        <f t="shared" si="84"/>
        <v/>
      </c>
      <c r="BA172" s="43" t="str">
        <f t="shared" si="84"/>
        <v/>
      </c>
      <c r="BB172" s="43"/>
      <c r="BC172" s="43"/>
      <c r="BD172" s="43"/>
      <c r="BE172" s="43"/>
      <c r="BF172" s="43"/>
      <c r="BG172" s="43"/>
      <c r="BW172" s="1250"/>
    </row>
    <row r="173" spans="1:75" x14ac:dyDescent="0.25">
      <c r="A173" s="1251"/>
      <c r="B173" s="462">
        <v>167</v>
      </c>
      <c r="C173" s="462"/>
      <c r="D173" s="1244"/>
      <c r="E173" s="1050"/>
      <c r="F173" s="1244"/>
      <c r="H173" s="43" t="str">
        <f t="shared" si="80"/>
        <v/>
      </c>
      <c r="I173" s="43" t="str">
        <f t="shared" si="80"/>
        <v/>
      </c>
      <c r="J173" s="43" t="str">
        <f t="shared" si="80"/>
        <v/>
      </c>
      <c r="K173" s="43" t="str">
        <f t="shared" si="80"/>
        <v/>
      </c>
      <c r="L173" s="43" t="str">
        <f t="shared" si="80"/>
        <v/>
      </c>
      <c r="M173" s="43" t="str">
        <f t="shared" si="80"/>
        <v/>
      </c>
      <c r="N173" s="43" t="str">
        <f t="shared" si="80"/>
        <v/>
      </c>
      <c r="O173" s="43" t="str">
        <f t="shared" si="80"/>
        <v/>
      </c>
      <c r="P173" s="43" t="str">
        <f t="shared" si="80"/>
        <v/>
      </c>
      <c r="Q173" s="43" t="str">
        <f t="shared" si="80"/>
        <v/>
      </c>
      <c r="R173" s="43" t="str">
        <f t="shared" si="81"/>
        <v/>
      </c>
      <c r="S173" s="43" t="str">
        <f t="shared" si="81"/>
        <v/>
      </c>
      <c r="T173" s="43" t="str">
        <f t="shared" si="81"/>
        <v/>
      </c>
      <c r="U173" s="43" t="str">
        <f t="shared" si="81"/>
        <v/>
      </c>
      <c r="V173" s="43" t="str">
        <f t="shared" si="81"/>
        <v/>
      </c>
      <c r="W173" s="43" t="str">
        <f t="shared" si="81"/>
        <v/>
      </c>
      <c r="X173" s="43" t="str">
        <f t="shared" si="81"/>
        <v/>
      </c>
      <c r="Y173" s="43" t="str">
        <f t="shared" si="81"/>
        <v/>
      </c>
      <c r="Z173" s="43" t="str">
        <f t="shared" si="81"/>
        <v/>
      </c>
      <c r="AA173" s="43" t="str">
        <f t="shared" si="81"/>
        <v/>
      </c>
      <c r="AB173" s="43" t="str">
        <f t="shared" si="82"/>
        <v/>
      </c>
      <c r="AC173" s="43" t="str">
        <f t="shared" si="82"/>
        <v/>
      </c>
      <c r="AD173" s="43" t="str">
        <f t="shared" si="82"/>
        <v/>
      </c>
      <c r="AE173" s="43" t="str">
        <f t="shared" si="82"/>
        <v/>
      </c>
      <c r="AF173" s="43" t="str">
        <f t="shared" si="82"/>
        <v/>
      </c>
      <c r="AG173" s="43" t="str">
        <f t="shared" si="82"/>
        <v/>
      </c>
      <c r="AH173" s="43" t="str">
        <f t="shared" si="82"/>
        <v/>
      </c>
      <c r="AI173" s="43" t="str">
        <f t="shared" si="82"/>
        <v/>
      </c>
      <c r="AJ173" s="43" t="str">
        <f t="shared" si="82"/>
        <v/>
      </c>
      <c r="AK173" s="43" t="str">
        <f t="shared" si="82"/>
        <v/>
      </c>
      <c r="AL173" s="43" t="str">
        <f t="shared" si="83"/>
        <v/>
      </c>
      <c r="AM173" s="43" t="str">
        <f t="shared" si="83"/>
        <v/>
      </c>
      <c r="AN173" s="43" t="str">
        <f t="shared" si="83"/>
        <v/>
      </c>
      <c r="AO173" s="43" t="str">
        <f t="shared" si="83"/>
        <v/>
      </c>
      <c r="AP173" s="43" t="str">
        <f t="shared" si="83"/>
        <v/>
      </c>
      <c r="AQ173" s="43" t="str">
        <f t="shared" si="83"/>
        <v/>
      </c>
      <c r="AR173" s="43" t="str">
        <f t="shared" si="83"/>
        <v/>
      </c>
      <c r="AS173" s="43" t="str">
        <f t="shared" si="83"/>
        <v/>
      </c>
      <c r="AT173" s="43" t="str">
        <f t="shared" si="83"/>
        <v/>
      </c>
      <c r="AU173" s="43" t="str">
        <f t="shared" si="83"/>
        <v/>
      </c>
      <c r="AV173" s="43" t="str">
        <f t="shared" si="84"/>
        <v/>
      </c>
      <c r="AW173" s="43" t="str">
        <f t="shared" si="84"/>
        <v/>
      </c>
      <c r="AX173" s="43" t="str">
        <f t="shared" si="84"/>
        <v/>
      </c>
      <c r="AY173" s="43" t="str">
        <f t="shared" si="84"/>
        <v/>
      </c>
      <c r="AZ173" s="43" t="str">
        <f t="shared" si="84"/>
        <v/>
      </c>
      <c r="BA173" s="43" t="str">
        <f t="shared" si="84"/>
        <v/>
      </c>
      <c r="BB173" s="43"/>
      <c r="BC173" s="43"/>
      <c r="BD173" s="43"/>
      <c r="BE173" s="43"/>
      <c r="BF173" s="43"/>
      <c r="BG173" s="43"/>
      <c r="BW173" s="1250"/>
    </row>
    <row r="174" spans="1:75" x14ac:dyDescent="0.25">
      <c r="A174" s="1251"/>
      <c r="B174" s="462">
        <v>168</v>
      </c>
      <c r="C174" s="462"/>
      <c r="D174" s="1244"/>
      <c r="E174" s="1050"/>
      <c r="F174" s="1244"/>
      <c r="H174" s="43" t="str">
        <f t="shared" si="80"/>
        <v/>
      </c>
      <c r="I174" s="43" t="str">
        <f t="shared" si="80"/>
        <v/>
      </c>
      <c r="J174" s="43" t="str">
        <f t="shared" si="80"/>
        <v/>
      </c>
      <c r="K174" s="43" t="str">
        <f t="shared" si="80"/>
        <v/>
      </c>
      <c r="L174" s="43" t="str">
        <f t="shared" si="80"/>
        <v/>
      </c>
      <c r="M174" s="43" t="str">
        <f t="shared" si="80"/>
        <v/>
      </c>
      <c r="N174" s="43" t="str">
        <f t="shared" si="80"/>
        <v/>
      </c>
      <c r="O174" s="43" t="str">
        <f t="shared" si="80"/>
        <v/>
      </c>
      <c r="P174" s="43" t="str">
        <f t="shared" si="80"/>
        <v/>
      </c>
      <c r="Q174" s="43" t="str">
        <f t="shared" si="80"/>
        <v/>
      </c>
      <c r="R174" s="43" t="str">
        <f t="shared" si="81"/>
        <v/>
      </c>
      <c r="S174" s="43" t="str">
        <f t="shared" si="81"/>
        <v/>
      </c>
      <c r="T174" s="43" t="str">
        <f t="shared" si="81"/>
        <v/>
      </c>
      <c r="U174" s="43" t="str">
        <f t="shared" si="81"/>
        <v/>
      </c>
      <c r="V174" s="43" t="str">
        <f t="shared" si="81"/>
        <v/>
      </c>
      <c r="W174" s="43" t="str">
        <f t="shared" si="81"/>
        <v/>
      </c>
      <c r="X174" s="43" t="str">
        <f t="shared" si="81"/>
        <v/>
      </c>
      <c r="Y174" s="43" t="str">
        <f t="shared" si="81"/>
        <v/>
      </c>
      <c r="Z174" s="43" t="str">
        <f t="shared" si="81"/>
        <v/>
      </c>
      <c r="AA174" s="43" t="str">
        <f t="shared" si="81"/>
        <v/>
      </c>
      <c r="AB174" s="43" t="str">
        <f t="shared" si="82"/>
        <v/>
      </c>
      <c r="AC174" s="43" t="str">
        <f t="shared" si="82"/>
        <v/>
      </c>
      <c r="AD174" s="43" t="str">
        <f t="shared" si="82"/>
        <v/>
      </c>
      <c r="AE174" s="43" t="str">
        <f t="shared" si="82"/>
        <v/>
      </c>
      <c r="AF174" s="43" t="str">
        <f t="shared" si="82"/>
        <v/>
      </c>
      <c r="AG174" s="43" t="str">
        <f t="shared" si="82"/>
        <v/>
      </c>
      <c r="AH174" s="43" t="str">
        <f t="shared" si="82"/>
        <v/>
      </c>
      <c r="AI174" s="43" t="str">
        <f t="shared" si="82"/>
        <v/>
      </c>
      <c r="AJ174" s="43" t="str">
        <f t="shared" si="82"/>
        <v/>
      </c>
      <c r="AK174" s="43" t="str">
        <f t="shared" si="82"/>
        <v/>
      </c>
      <c r="AL174" s="43" t="str">
        <f t="shared" si="83"/>
        <v/>
      </c>
      <c r="AM174" s="43" t="str">
        <f t="shared" si="83"/>
        <v/>
      </c>
      <c r="AN174" s="43" t="str">
        <f t="shared" si="83"/>
        <v/>
      </c>
      <c r="AO174" s="43" t="str">
        <f t="shared" si="83"/>
        <v/>
      </c>
      <c r="AP174" s="43" t="str">
        <f t="shared" si="83"/>
        <v/>
      </c>
      <c r="AQ174" s="43" t="str">
        <f t="shared" si="83"/>
        <v/>
      </c>
      <c r="AR174" s="43" t="str">
        <f t="shared" si="83"/>
        <v/>
      </c>
      <c r="AS174" s="43" t="str">
        <f t="shared" si="83"/>
        <v/>
      </c>
      <c r="AT174" s="43" t="str">
        <f t="shared" si="83"/>
        <v/>
      </c>
      <c r="AU174" s="43" t="str">
        <f t="shared" si="83"/>
        <v/>
      </c>
      <c r="AV174" s="43" t="str">
        <f t="shared" si="84"/>
        <v/>
      </c>
      <c r="AW174" s="43" t="str">
        <f t="shared" si="84"/>
        <v/>
      </c>
      <c r="AX174" s="43" t="str">
        <f t="shared" si="84"/>
        <v/>
      </c>
      <c r="AY174" s="43" t="str">
        <f t="shared" si="84"/>
        <v/>
      </c>
      <c r="AZ174" s="43" t="str">
        <f t="shared" si="84"/>
        <v/>
      </c>
      <c r="BA174" s="43" t="str">
        <f t="shared" si="84"/>
        <v/>
      </c>
      <c r="BB174" s="43"/>
      <c r="BC174" s="43"/>
      <c r="BD174" s="43"/>
      <c r="BE174" s="43"/>
      <c r="BF174" s="43"/>
      <c r="BG174" s="43"/>
      <c r="BW174" s="1250"/>
    </row>
    <row r="175" spans="1:75" x14ac:dyDescent="0.25">
      <c r="A175" s="1251"/>
      <c r="B175" s="462">
        <v>169</v>
      </c>
      <c r="C175" s="462"/>
      <c r="D175" s="1244"/>
      <c r="E175" s="1050"/>
      <c r="F175" s="1244"/>
      <c r="H175" s="43" t="str">
        <f t="shared" si="80"/>
        <v/>
      </c>
      <c r="I175" s="43" t="str">
        <f t="shared" si="80"/>
        <v/>
      </c>
      <c r="J175" s="43" t="str">
        <f t="shared" si="80"/>
        <v/>
      </c>
      <c r="K175" s="43" t="str">
        <f t="shared" si="80"/>
        <v/>
      </c>
      <c r="L175" s="43" t="str">
        <f t="shared" si="80"/>
        <v/>
      </c>
      <c r="M175" s="43" t="str">
        <f t="shared" si="80"/>
        <v/>
      </c>
      <c r="N175" s="43" t="str">
        <f t="shared" si="80"/>
        <v/>
      </c>
      <c r="O175" s="43" t="str">
        <f t="shared" si="80"/>
        <v/>
      </c>
      <c r="P175" s="43" t="str">
        <f t="shared" si="80"/>
        <v/>
      </c>
      <c r="Q175" s="43" t="str">
        <f t="shared" si="80"/>
        <v/>
      </c>
      <c r="R175" s="43" t="str">
        <f t="shared" si="81"/>
        <v/>
      </c>
      <c r="S175" s="43" t="str">
        <f t="shared" si="81"/>
        <v/>
      </c>
      <c r="T175" s="43" t="str">
        <f t="shared" si="81"/>
        <v/>
      </c>
      <c r="U175" s="43" t="str">
        <f t="shared" si="81"/>
        <v/>
      </c>
      <c r="V175" s="43" t="str">
        <f t="shared" si="81"/>
        <v/>
      </c>
      <c r="W175" s="43" t="str">
        <f t="shared" si="81"/>
        <v/>
      </c>
      <c r="X175" s="43" t="str">
        <f t="shared" si="81"/>
        <v/>
      </c>
      <c r="Y175" s="43" t="str">
        <f t="shared" si="81"/>
        <v/>
      </c>
      <c r="Z175" s="43" t="str">
        <f t="shared" si="81"/>
        <v/>
      </c>
      <c r="AA175" s="43" t="str">
        <f t="shared" si="81"/>
        <v/>
      </c>
      <c r="AB175" s="43" t="str">
        <f t="shared" si="82"/>
        <v/>
      </c>
      <c r="AC175" s="43" t="str">
        <f t="shared" si="82"/>
        <v/>
      </c>
      <c r="AD175" s="43" t="str">
        <f t="shared" si="82"/>
        <v/>
      </c>
      <c r="AE175" s="43" t="str">
        <f t="shared" si="82"/>
        <v/>
      </c>
      <c r="AF175" s="43" t="str">
        <f t="shared" si="82"/>
        <v/>
      </c>
      <c r="AG175" s="43" t="str">
        <f t="shared" si="82"/>
        <v/>
      </c>
      <c r="AH175" s="43" t="str">
        <f t="shared" si="82"/>
        <v/>
      </c>
      <c r="AI175" s="43" t="str">
        <f t="shared" si="82"/>
        <v/>
      </c>
      <c r="AJ175" s="43" t="str">
        <f t="shared" si="82"/>
        <v/>
      </c>
      <c r="AK175" s="43" t="str">
        <f t="shared" si="82"/>
        <v/>
      </c>
      <c r="AL175" s="43" t="str">
        <f t="shared" si="83"/>
        <v/>
      </c>
      <c r="AM175" s="43" t="str">
        <f t="shared" si="83"/>
        <v/>
      </c>
      <c r="AN175" s="43" t="str">
        <f t="shared" si="83"/>
        <v/>
      </c>
      <c r="AO175" s="43" t="str">
        <f t="shared" si="83"/>
        <v/>
      </c>
      <c r="AP175" s="43" t="str">
        <f t="shared" si="83"/>
        <v/>
      </c>
      <c r="AQ175" s="43" t="str">
        <f t="shared" si="83"/>
        <v/>
      </c>
      <c r="AR175" s="43" t="str">
        <f t="shared" si="83"/>
        <v/>
      </c>
      <c r="AS175" s="43" t="str">
        <f t="shared" si="83"/>
        <v/>
      </c>
      <c r="AT175" s="43" t="str">
        <f t="shared" si="83"/>
        <v/>
      </c>
      <c r="AU175" s="43" t="str">
        <f t="shared" si="83"/>
        <v/>
      </c>
      <c r="AV175" s="43" t="str">
        <f t="shared" si="84"/>
        <v/>
      </c>
      <c r="AW175" s="43" t="str">
        <f t="shared" si="84"/>
        <v/>
      </c>
      <c r="AX175" s="43" t="str">
        <f t="shared" si="84"/>
        <v/>
      </c>
      <c r="AY175" s="43" t="str">
        <f t="shared" si="84"/>
        <v/>
      </c>
      <c r="AZ175" s="43" t="str">
        <f t="shared" si="84"/>
        <v/>
      </c>
      <c r="BA175" s="43" t="str">
        <f t="shared" si="84"/>
        <v/>
      </c>
      <c r="BB175" s="43"/>
      <c r="BC175" s="43"/>
      <c r="BD175" s="43"/>
      <c r="BE175" s="43"/>
      <c r="BF175" s="43"/>
      <c r="BG175" s="43"/>
      <c r="BW175" s="1250"/>
    </row>
    <row r="176" spans="1:75" x14ac:dyDescent="0.25">
      <c r="A176" s="1251"/>
      <c r="B176" s="462">
        <v>170</v>
      </c>
      <c r="C176" s="462"/>
      <c r="D176" s="1244"/>
      <c r="E176" s="1050"/>
      <c r="F176" s="1244"/>
      <c r="H176" s="43" t="str">
        <f t="shared" si="80"/>
        <v/>
      </c>
      <c r="I176" s="43" t="str">
        <f t="shared" si="80"/>
        <v/>
      </c>
      <c r="J176" s="43" t="str">
        <f t="shared" si="80"/>
        <v/>
      </c>
      <c r="K176" s="43" t="str">
        <f t="shared" si="80"/>
        <v/>
      </c>
      <c r="L176" s="43" t="str">
        <f t="shared" si="80"/>
        <v/>
      </c>
      <c r="M176" s="43" t="str">
        <f t="shared" si="80"/>
        <v/>
      </c>
      <c r="N176" s="43" t="str">
        <f t="shared" si="80"/>
        <v/>
      </c>
      <c r="O176" s="43" t="str">
        <f t="shared" si="80"/>
        <v/>
      </c>
      <c r="P176" s="43" t="str">
        <f t="shared" si="80"/>
        <v/>
      </c>
      <c r="Q176" s="43" t="str">
        <f t="shared" si="80"/>
        <v/>
      </c>
      <c r="R176" s="43" t="str">
        <f t="shared" si="81"/>
        <v/>
      </c>
      <c r="S176" s="43" t="str">
        <f t="shared" si="81"/>
        <v/>
      </c>
      <c r="T176" s="43" t="str">
        <f t="shared" si="81"/>
        <v/>
      </c>
      <c r="U176" s="43" t="str">
        <f t="shared" si="81"/>
        <v/>
      </c>
      <c r="V176" s="43" t="str">
        <f t="shared" si="81"/>
        <v/>
      </c>
      <c r="W176" s="43" t="str">
        <f t="shared" si="81"/>
        <v/>
      </c>
      <c r="X176" s="43" t="str">
        <f t="shared" si="81"/>
        <v/>
      </c>
      <c r="Y176" s="43" t="str">
        <f t="shared" si="81"/>
        <v/>
      </c>
      <c r="Z176" s="43" t="str">
        <f t="shared" si="81"/>
        <v/>
      </c>
      <c r="AA176" s="43" t="str">
        <f t="shared" si="81"/>
        <v/>
      </c>
      <c r="AB176" s="43" t="str">
        <f t="shared" si="82"/>
        <v/>
      </c>
      <c r="AC176" s="43" t="str">
        <f t="shared" si="82"/>
        <v/>
      </c>
      <c r="AD176" s="43" t="str">
        <f t="shared" si="82"/>
        <v/>
      </c>
      <c r="AE176" s="43" t="str">
        <f t="shared" si="82"/>
        <v/>
      </c>
      <c r="AF176" s="43" t="str">
        <f t="shared" si="82"/>
        <v/>
      </c>
      <c r="AG176" s="43" t="str">
        <f t="shared" si="82"/>
        <v/>
      </c>
      <c r="AH176" s="43" t="str">
        <f t="shared" si="82"/>
        <v/>
      </c>
      <c r="AI176" s="43" t="str">
        <f t="shared" si="82"/>
        <v/>
      </c>
      <c r="AJ176" s="43" t="str">
        <f t="shared" si="82"/>
        <v/>
      </c>
      <c r="AK176" s="43" t="str">
        <f t="shared" si="82"/>
        <v/>
      </c>
      <c r="AL176" s="43" t="str">
        <f t="shared" si="83"/>
        <v/>
      </c>
      <c r="AM176" s="43" t="str">
        <f t="shared" si="83"/>
        <v/>
      </c>
      <c r="AN176" s="43" t="str">
        <f t="shared" si="83"/>
        <v/>
      </c>
      <c r="AO176" s="43" t="str">
        <f t="shared" si="83"/>
        <v/>
      </c>
      <c r="AP176" s="43" t="str">
        <f t="shared" si="83"/>
        <v/>
      </c>
      <c r="AQ176" s="43" t="str">
        <f t="shared" si="83"/>
        <v/>
      </c>
      <c r="AR176" s="43" t="str">
        <f t="shared" si="83"/>
        <v/>
      </c>
      <c r="AS176" s="43" t="str">
        <f t="shared" si="83"/>
        <v/>
      </c>
      <c r="AT176" s="43" t="str">
        <f t="shared" si="83"/>
        <v/>
      </c>
      <c r="AU176" s="43" t="str">
        <f t="shared" si="83"/>
        <v/>
      </c>
      <c r="AV176" s="43" t="str">
        <f t="shared" si="84"/>
        <v/>
      </c>
      <c r="AW176" s="43" t="str">
        <f t="shared" si="84"/>
        <v/>
      </c>
      <c r="AX176" s="43" t="str">
        <f t="shared" si="84"/>
        <v/>
      </c>
      <c r="AY176" s="43" t="str">
        <f t="shared" si="84"/>
        <v/>
      </c>
      <c r="AZ176" s="43" t="str">
        <f t="shared" si="84"/>
        <v/>
      </c>
      <c r="BA176" s="43" t="str">
        <f t="shared" si="84"/>
        <v/>
      </c>
      <c r="BB176" s="43"/>
      <c r="BC176" s="43"/>
      <c r="BD176" s="43"/>
      <c r="BE176" s="43"/>
      <c r="BF176" s="43"/>
      <c r="BG176" s="43"/>
      <c r="BW176" s="1250"/>
    </row>
    <row r="177" spans="1:75" x14ac:dyDescent="0.25">
      <c r="A177" s="1251"/>
      <c r="B177" s="462">
        <v>171</v>
      </c>
      <c r="C177" s="462"/>
      <c r="D177" s="1244"/>
      <c r="E177" s="1050"/>
      <c r="F177" s="1244"/>
      <c r="H177" s="43" t="str">
        <f t="shared" ref="H177:Q186" si="85">IF($D177=H$6,$B177&amp;", ","")</f>
        <v/>
      </c>
      <c r="I177" s="43" t="str">
        <f t="shared" si="85"/>
        <v/>
      </c>
      <c r="J177" s="43" t="str">
        <f t="shared" si="85"/>
        <v/>
      </c>
      <c r="K177" s="43" t="str">
        <f t="shared" si="85"/>
        <v/>
      </c>
      <c r="L177" s="43" t="str">
        <f t="shared" si="85"/>
        <v/>
      </c>
      <c r="M177" s="43" t="str">
        <f t="shared" si="85"/>
        <v/>
      </c>
      <c r="N177" s="43" t="str">
        <f t="shared" si="85"/>
        <v/>
      </c>
      <c r="O177" s="43" t="str">
        <f t="shared" si="85"/>
        <v/>
      </c>
      <c r="P177" s="43" t="str">
        <f t="shared" si="85"/>
        <v/>
      </c>
      <c r="Q177" s="43" t="str">
        <f t="shared" si="85"/>
        <v/>
      </c>
      <c r="R177" s="43" t="str">
        <f t="shared" ref="R177:AA186" si="86">IF($D177=R$6,$B177&amp;", ","")</f>
        <v/>
      </c>
      <c r="S177" s="43" t="str">
        <f t="shared" si="86"/>
        <v/>
      </c>
      <c r="T177" s="43" t="str">
        <f t="shared" si="86"/>
        <v/>
      </c>
      <c r="U177" s="43" t="str">
        <f t="shared" si="86"/>
        <v/>
      </c>
      <c r="V177" s="43" t="str">
        <f t="shared" si="86"/>
        <v/>
      </c>
      <c r="W177" s="43" t="str">
        <f t="shared" si="86"/>
        <v/>
      </c>
      <c r="X177" s="43" t="str">
        <f t="shared" si="86"/>
        <v/>
      </c>
      <c r="Y177" s="43" t="str">
        <f t="shared" si="86"/>
        <v/>
      </c>
      <c r="Z177" s="43" t="str">
        <f t="shared" si="86"/>
        <v/>
      </c>
      <c r="AA177" s="43" t="str">
        <f t="shared" si="86"/>
        <v/>
      </c>
      <c r="AB177" s="43" t="str">
        <f t="shared" ref="AB177:AK186" si="87">IF($D177=AB$6,$B177&amp;", ","")</f>
        <v/>
      </c>
      <c r="AC177" s="43" t="str">
        <f t="shared" si="87"/>
        <v/>
      </c>
      <c r="AD177" s="43" t="str">
        <f t="shared" si="87"/>
        <v/>
      </c>
      <c r="AE177" s="43" t="str">
        <f t="shared" si="87"/>
        <v/>
      </c>
      <c r="AF177" s="43" t="str">
        <f t="shared" si="87"/>
        <v/>
      </c>
      <c r="AG177" s="43" t="str">
        <f t="shared" si="87"/>
        <v/>
      </c>
      <c r="AH177" s="43" t="str">
        <f t="shared" si="87"/>
        <v/>
      </c>
      <c r="AI177" s="43" t="str">
        <f t="shared" si="87"/>
        <v/>
      </c>
      <c r="AJ177" s="43" t="str">
        <f t="shared" si="87"/>
        <v/>
      </c>
      <c r="AK177" s="43" t="str">
        <f t="shared" si="87"/>
        <v/>
      </c>
      <c r="AL177" s="43" t="str">
        <f t="shared" ref="AL177:AU186" si="88">IF($D177=AL$6,$B177&amp;", ","")</f>
        <v/>
      </c>
      <c r="AM177" s="43" t="str">
        <f t="shared" si="88"/>
        <v/>
      </c>
      <c r="AN177" s="43" t="str">
        <f t="shared" si="88"/>
        <v/>
      </c>
      <c r="AO177" s="43" t="str">
        <f t="shared" si="88"/>
        <v/>
      </c>
      <c r="AP177" s="43" t="str">
        <f t="shared" si="88"/>
        <v/>
      </c>
      <c r="AQ177" s="43" t="str">
        <f t="shared" si="88"/>
        <v/>
      </c>
      <c r="AR177" s="43" t="str">
        <f t="shared" si="88"/>
        <v/>
      </c>
      <c r="AS177" s="43" t="str">
        <f t="shared" si="88"/>
        <v/>
      </c>
      <c r="AT177" s="43" t="str">
        <f t="shared" si="88"/>
        <v/>
      </c>
      <c r="AU177" s="43" t="str">
        <f t="shared" si="88"/>
        <v/>
      </c>
      <c r="AV177" s="43" t="str">
        <f t="shared" ref="AV177:BA186" si="89">IF($D177=AV$6,$B177&amp;", ","")</f>
        <v/>
      </c>
      <c r="AW177" s="43" t="str">
        <f t="shared" si="89"/>
        <v/>
      </c>
      <c r="AX177" s="43" t="str">
        <f t="shared" si="89"/>
        <v/>
      </c>
      <c r="AY177" s="43" t="str">
        <f t="shared" si="89"/>
        <v/>
      </c>
      <c r="AZ177" s="43" t="str">
        <f t="shared" si="89"/>
        <v/>
      </c>
      <c r="BA177" s="43" t="str">
        <f t="shared" si="89"/>
        <v/>
      </c>
      <c r="BB177" s="43"/>
      <c r="BC177" s="43"/>
      <c r="BD177" s="43"/>
      <c r="BE177" s="43"/>
      <c r="BF177" s="43"/>
      <c r="BG177" s="43"/>
      <c r="BW177" s="1250"/>
    </row>
    <row r="178" spans="1:75" x14ac:dyDescent="0.25">
      <c r="A178" s="1251"/>
      <c r="B178" s="462">
        <v>172</v>
      </c>
      <c r="C178" s="462"/>
      <c r="D178" s="1244"/>
      <c r="E178" s="1050"/>
      <c r="F178" s="1244"/>
      <c r="H178" s="43" t="str">
        <f t="shared" si="85"/>
        <v/>
      </c>
      <c r="I178" s="43" t="str">
        <f t="shared" si="85"/>
        <v/>
      </c>
      <c r="J178" s="43" t="str">
        <f t="shared" si="85"/>
        <v/>
      </c>
      <c r="K178" s="43" t="str">
        <f t="shared" si="85"/>
        <v/>
      </c>
      <c r="L178" s="43" t="str">
        <f t="shared" si="85"/>
        <v/>
      </c>
      <c r="M178" s="43" t="str">
        <f t="shared" si="85"/>
        <v/>
      </c>
      <c r="N178" s="43" t="str">
        <f t="shared" si="85"/>
        <v/>
      </c>
      <c r="O178" s="43" t="str">
        <f t="shared" si="85"/>
        <v/>
      </c>
      <c r="P178" s="43" t="str">
        <f t="shared" si="85"/>
        <v/>
      </c>
      <c r="Q178" s="43" t="str">
        <f t="shared" si="85"/>
        <v/>
      </c>
      <c r="R178" s="43" t="str">
        <f t="shared" si="86"/>
        <v/>
      </c>
      <c r="S178" s="43" t="str">
        <f t="shared" si="86"/>
        <v/>
      </c>
      <c r="T178" s="43" t="str">
        <f t="shared" si="86"/>
        <v/>
      </c>
      <c r="U178" s="43" t="str">
        <f t="shared" si="86"/>
        <v/>
      </c>
      <c r="V178" s="43" t="str">
        <f t="shared" si="86"/>
        <v/>
      </c>
      <c r="W178" s="43" t="str">
        <f t="shared" si="86"/>
        <v/>
      </c>
      <c r="X178" s="43" t="str">
        <f t="shared" si="86"/>
        <v/>
      </c>
      <c r="Y178" s="43" t="str">
        <f t="shared" si="86"/>
        <v/>
      </c>
      <c r="Z178" s="43" t="str">
        <f t="shared" si="86"/>
        <v/>
      </c>
      <c r="AA178" s="43" t="str">
        <f t="shared" si="86"/>
        <v/>
      </c>
      <c r="AB178" s="43" t="str">
        <f t="shared" si="87"/>
        <v/>
      </c>
      <c r="AC178" s="43" t="str">
        <f t="shared" si="87"/>
        <v/>
      </c>
      <c r="AD178" s="43" t="str">
        <f t="shared" si="87"/>
        <v/>
      </c>
      <c r="AE178" s="43" t="str">
        <f t="shared" si="87"/>
        <v/>
      </c>
      <c r="AF178" s="43" t="str">
        <f t="shared" si="87"/>
        <v/>
      </c>
      <c r="AG178" s="43" t="str">
        <f t="shared" si="87"/>
        <v/>
      </c>
      <c r="AH178" s="43" t="str">
        <f t="shared" si="87"/>
        <v/>
      </c>
      <c r="AI178" s="43" t="str">
        <f t="shared" si="87"/>
        <v/>
      </c>
      <c r="AJ178" s="43" t="str">
        <f t="shared" si="87"/>
        <v/>
      </c>
      <c r="AK178" s="43" t="str">
        <f t="shared" si="87"/>
        <v/>
      </c>
      <c r="AL178" s="43" t="str">
        <f t="shared" si="88"/>
        <v/>
      </c>
      <c r="AM178" s="43" t="str">
        <f t="shared" si="88"/>
        <v/>
      </c>
      <c r="AN178" s="43" t="str">
        <f t="shared" si="88"/>
        <v/>
      </c>
      <c r="AO178" s="43" t="str">
        <f t="shared" si="88"/>
        <v/>
      </c>
      <c r="AP178" s="43" t="str">
        <f t="shared" si="88"/>
        <v/>
      </c>
      <c r="AQ178" s="43" t="str">
        <f t="shared" si="88"/>
        <v/>
      </c>
      <c r="AR178" s="43" t="str">
        <f t="shared" si="88"/>
        <v/>
      </c>
      <c r="AS178" s="43" t="str">
        <f t="shared" si="88"/>
        <v/>
      </c>
      <c r="AT178" s="43" t="str">
        <f t="shared" si="88"/>
        <v/>
      </c>
      <c r="AU178" s="43" t="str">
        <f t="shared" si="88"/>
        <v/>
      </c>
      <c r="AV178" s="43" t="str">
        <f t="shared" si="89"/>
        <v/>
      </c>
      <c r="AW178" s="43" t="str">
        <f t="shared" si="89"/>
        <v/>
      </c>
      <c r="AX178" s="43" t="str">
        <f t="shared" si="89"/>
        <v/>
      </c>
      <c r="AY178" s="43" t="str">
        <f t="shared" si="89"/>
        <v/>
      </c>
      <c r="AZ178" s="43" t="str">
        <f t="shared" si="89"/>
        <v/>
      </c>
      <c r="BA178" s="43" t="str">
        <f t="shared" si="89"/>
        <v/>
      </c>
      <c r="BB178" s="43"/>
      <c r="BC178" s="43"/>
      <c r="BD178" s="43"/>
      <c r="BE178" s="43"/>
      <c r="BF178" s="43"/>
      <c r="BG178" s="43"/>
      <c r="BW178" s="1250"/>
    </row>
    <row r="179" spans="1:75" x14ac:dyDescent="0.25">
      <c r="A179" s="1251"/>
      <c r="B179" s="462">
        <v>173</v>
      </c>
      <c r="C179" s="462"/>
      <c r="D179" s="1244"/>
      <c r="E179" s="1050"/>
      <c r="F179" s="1244"/>
      <c r="H179" s="43" t="str">
        <f t="shared" si="85"/>
        <v/>
      </c>
      <c r="I179" s="43" t="str">
        <f t="shared" si="85"/>
        <v/>
      </c>
      <c r="J179" s="43" t="str">
        <f t="shared" si="85"/>
        <v/>
      </c>
      <c r="K179" s="43" t="str">
        <f t="shared" si="85"/>
        <v/>
      </c>
      <c r="L179" s="43" t="str">
        <f t="shared" si="85"/>
        <v/>
      </c>
      <c r="M179" s="43" t="str">
        <f t="shared" si="85"/>
        <v/>
      </c>
      <c r="N179" s="43" t="str">
        <f t="shared" si="85"/>
        <v/>
      </c>
      <c r="O179" s="43" t="str">
        <f t="shared" si="85"/>
        <v/>
      </c>
      <c r="P179" s="43" t="str">
        <f t="shared" si="85"/>
        <v/>
      </c>
      <c r="Q179" s="43" t="str">
        <f t="shared" si="85"/>
        <v/>
      </c>
      <c r="R179" s="43" t="str">
        <f t="shared" si="86"/>
        <v/>
      </c>
      <c r="S179" s="43" t="str">
        <f t="shared" si="86"/>
        <v/>
      </c>
      <c r="T179" s="43" t="str">
        <f t="shared" si="86"/>
        <v/>
      </c>
      <c r="U179" s="43" t="str">
        <f t="shared" si="86"/>
        <v/>
      </c>
      <c r="V179" s="43" t="str">
        <f t="shared" si="86"/>
        <v/>
      </c>
      <c r="W179" s="43" t="str">
        <f t="shared" si="86"/>
        <v/>
      </c>
      <c r="X179" s="43" t="str">
        <f t="shared" si="86"/>
        <v/>
      </c>
      <c r="Y179" s="43" t="str">
        <f t="shared" si="86"/>
        <v/>
      </c>
      <c r="Z179" s="43" t="str">
        <f t="shared" si="86"/>
        <v/>
      </c>
      <c r="AA179" s="43" t="str">
        <f t="shared" si="86"/>
        <v/>
      </c>
      <c r="AB179" s="43" t="str">
        <f t="shared" si="87"/>
        <v/>
      </c>
      <c r="AC179" s="43" t="str">
        <f t="shared" si="87"/>
        <v/>
      </c>
      <c r="AD179" s="43" t="str">
        <f t="shared" si="87"/>
        <v/>
      </c>
      <c r="AE179" s="43" t="str">
        <f t="shared" si="87"/>
        <v/>
      </c>
      <c r="AF179" s="43" t="str">
        <f t="shared" si="87"/>
        <v/>
      </c>
      <c r="AG179" s="43" t="str">
        <f t="shared" si="87"/>
        <v/>
      </c>
      <c r="AH179" s="43" t="str">
        <f t="shared" si="87"/>
        <v/>
      </c>
      <c r="AI179" s="43" t="str">
        <f t="shared" si="87"/>
        <v/>
      </c>
      <c r="AJ179" s="43" t="str">
        <f t="shared" si="87"/>
        <v/>
      </c>
      <c r="AK179" s="43" t="str">
        <f t="shared" si="87"/>
        <v/>
      </c>
      <c r="AL179" s="43" t="str">
        <f t="shared" si="88"/>
        <v/>
      </c>
      <c r="AM179" s="43" t="str">
        <f t="shared" si="88"/>
        <v/>
      </c>
      <c r="AN179" s="43" t="str">
        <f t="shared" si="88"/>
        <v/>
      </c>
      <c r="AO179" s="43" t="str">
        <f t="shared" si="88"/>
        <v/>
      </c>
      <c r="AP179" s="43" t="str">
        <f t="shared" si="88"/>
        <v/>
      </c>
      <c r="AQ179" s="43" t="str">
        <f t="shared" si="88"/>
        <v/>
      </c>
      <c r="AR179" s="43" t="str">
        <f t="shared" si="88"/>
        <v/>
      </c>
      <c r="AS179" s="43" t="str">
        <f t="shared" si="88"/>
        <v/>
      </c>
      <c r="AT179" s="43" t="str">
        <f t="shared" si="88"/>
        <v/>
      </c>
      <c r="AU179" s="43" t="str">
        <f t="shared" si="88"/>
        <v/>
      </c>
      <c r="AV179" s="43" t="str">
        <f t="shared" si="89"/>
        <v/>
      </c>
      <c r="AW179" s="43" t="str">
        <f t="shared" si="89"/>
        <v/>
      </c>
      <c r="AX179" s="43" t="str">
        <f t="shared" si="89"/>
        <v/>
      </c>
      <c r="AY179" s="43" t="str">
        <f t="shared" si="89"/>
        <v/>
      </c>
      <c r="AZ179" s="43" t="str">
        <f t="shared" si="89"/>
        <v/>
      </c>
      <c r="BA179" s="43" t="str">
        <f t="shared" si="89"/>
        <v/>
      </c>
      <c r="BB179" s="43"/>
      <c r="BC179" s="43"/>
      <c r="BD179" s="43"/>
      <c r="BE179" s="43"/>
      <c r="BF179" s="43"/>
      <c r="BG179" s="43"/>
      <c r="BW179" s="1250"/>
    </row>
    <row r="180" spans="1:75" x14ac:dyDescent="0.25">
      <c r="A180" s="1251"/>
      <c r="B180" s="462">
        <v>174</v>
      </c>
      <c r="C180" s="462"/>
      <c r="D180" s="1244"/>
      <c r="E180" s="1050"/>
      <c r="F180" s="1244"/>
      <c r="H180" s="43" t="str">
        <f t="shared" si="85"/>
        <v/>
      </c>
      <c r="I180" s="43" t="str">
        <f t="shared" si="85"/>
        <v/>
      </c>
      <c r="J180" s="43" t="str">
        <f t="shared" si="85"/>
        <v/>
      </c>
      <c r="K180" s="43" t="str">
        <f t="shared" si="85"/>
        <v/>
      </c>
      <c r="L180" s="43" t="str">
        <f t="shared" si="85"/>
        <v/>
      </c>
      <c r="M180" s="43" t="str">
        <f t="shared" si="85"/>
        <v/>
      </c>
      <c r="N180" s="43" t="str">
        <f t="shared" si="85"/>
        <v/>
      </c>
      <c r="O180" s="43" t="str">
        <f t="shared" si="85"/>
        <v/>
      </c>
      <c r="P180" s="43" t="str">
        <f t="shared" si="85"/>
        <v/>
      </c>
      <c r="Q180" s="43" t="str">
        <f t="shared" si="85"/>
        <v/>
      </c>
      <c r="R180" s="43" t="str">
        <f t="shared" si="86"/>
        <v/>
      </c>
      <c r="S180" s="43" t="str">
        <f t="shared" si="86"/>
        <v/>
      </c>
      <c r="T180" s="43" t="str">
        <f t="shared" si="86"/>
        <v/>
      </c>
      <c r="U180" s="43" t="str">
        <f t="shared" si="86"/>
        <v/>
      </c>
      <c r="V180" s="43" t="str">
        <f t="shared" si="86"/>
        <v/>
      </c>
      <c r="W180" s="43" t="str">
        <f t="shared" si="86"/>
        <v/>
      </c>
      <c r="X180" s="43" t="str">
        <f t="shared" si="86"/>
        <v/>
      </c>
      <c r="Y180" s="43" t="str">
        <f t="shared" si="86"/>
        <v/>
      </c>
      <c r="Z180" s="43" t="str">
        <f t="shared" si="86"/>
        <v/>
      </c>
      <c r="AA180" s="43" t="str">
        <f t="shared" si="86"/>
        <v/>
      </c>
      <c r="AB180" s="43" t="str">
        <f t="shared" si="87"/>
        <v/>
      </c>
      <c r="AC180" s="43" t="str">
        <f t="shared" si="87"/>
        <v/>
      </c>
      <c r="AD180" s="43" t="str">
        <f t="shared" si="87"/>
        <v/>
      </c>
      <c r="AE180" s="43" t="str">
        <f t="shared" si="87"/>
        <v/>
      </c>
      <c r="AF180" s="43" t="str">
        <f t="shared" si="87"/>
        <v/>
      </c>
      <c r="AG180" s="43" t="str">
        <f t="shared" si="87"/>
        <v/>
      </c>
      <c r="AH180" s="43" t="str">
        <f t="shared" si="87"/>
        <v/>
      </c>
      <c r="AI180" s="43" t="str">
        <f t="shared" si="87"/>
        <v/>
      </c>
      <c r="AJ180" s="43" t="str">
        <f t="shared" si="87"/>
        <v/>
      </c>
      <c r="AK180" s="43" t="str">
        <f t="shared" si="87"/>
        <v/>
      </c>
      <c r="AL180" s="43" t="str">
        <f t="shared" si="88"/>
        <v/>
      </c>
      <c r="AM180" s="43" t="str">
        <f t="shared" si="88"/>
        <v/>
      </c>
      <c r="AN180" s="43" t="str">
        <f t="shared" si="88"/>
        <v/>
      </c>
      <c r="AO180" s="43" t="str">
        <f t="shared" si="88"/>
        <v/>
      </c>
      <c r="AP180" s="43" t="str">
        <f t="shared" si="88"/>
        <v/>
      </c>
      <c r="AQ180" s="43" t="str">
        <f t="shared" si="88"/>
        <v/>
      </c>
      <c r="AR180" s="43" t="str">
        <f t="shared" si="88"/>
        <v/>
      </c>
      <c r="AS180" s="43" t="str">
        <f t="shared" si="88"/>
        <v/>
      </c>
      <c r="AT180" s="43" t="str">
        <f t="shared" si="88"/>
        <v/>
      </c>
      <c r="AU180" s="43" t="str">
        <f t="shared" si="88"/>
        <v/>
      </c>
      <c r="AV180" s="43" t="str">
        <f t="shared" si="89"/>
        <v/>
      </c>
      <c r="AW180" s="43" t="str">
        <f t="shared" si="89"/>
        <v/>
      </c>
      <c r="AX180" s="43" t="str">
        <f t="shared" si="89"/>
        <v/>
      </c>
      <c r="AY180" s="43" t="str">
        <f t="shared" si="89"/>
        <v/>
      </c>
      <c r="AZ180" s="43" t="str">
        <f t="shared" si="89"/>
        <v/>
      </c>
      <c r="BA180" s="43" t="str">
        <f t="shared" si="89"/>
        <v/>
      </c>
      <c r="BB180" s="43"/>
      <c r="BC180" s="43"/>
      <c r="BD180" s="43"/>
      <c r="BE180" s="43"/>
      <c r="BF180" s="43"/>
      <c r="BG180" s="43"/>
      <c r="BW180" s="1250"/>
    </row>
    <row r="181" spans="1:75" x14ac:dyDescent="0.25">
      <c r="A181" s="1251"/>
      <c r="B181" s="462">
        <v>175</v>
      </c>
      <c r="C181" s="462"/>
      <c r="D181" s="1244"/>
      <c r="E181" s="1050"/>
      <c r="F181" s="1244"/>
      <c r="H181" s="43" t="str">
        <f t="shared" si="85"/>
        <v/>
      </c>
      <c r="I181" s="43" t="str">
        <f t="shared" si="85"/>
        <v/>
      </c>
      <c r="J181" s="43" t="str">
        <f t="shared" si="85"/>
        <v/>
      </c>
      <c r="K181" s="43" t="str">
        <f t="shared" si="85"/>
        <v/>
      </c>
      <c r="L181" s="43" t="str">
        <f t="shared" si="85"/>
        <v/>
      </c>
      <c r="M181" s="43" t="str">
        <f t="shared" si="85"/>
        <v/>
      </c>
      <c r="N181" s="43" t="str">
        <f t="shared" si="85"/>
        <v/>
      </c>
      <c r="O181" s="43" t="str">
        <f t="shared" si="85"/>
        <v/>
      </c>
      <c r="P181" s="43" t="str">
        <f t="shared" si="85"/>
        <v/>
      </c>
      <c r="Q181" s="43" t="str">
        <f t="shared" si="85"/>
        <v/>
      </c>
      <c r="R181" s="43" t="str">
        <f t="shared" si="86"/>
        <v/>
      </c>
      <c r="S181" s="43" t="str">
        <f t="shared" si="86"/>
        <v/>
      </c>
      <c r="T181" s="43" t="str">
        <f t="shared" si="86"/>
        <v/>
      </c>
      <c r="U181" s="43" t="str">
        <f t="shared" si="86"/>
        <v/>
      </c>
      <c r="V181" s="43" t="str">
        <f t="shared" si="86"/>
        <v/>
      </c>
      <c r="W181" s="43" t="str">
        <f t="shared" si="86"/>
        <v/>
      </c>
      <c r="X181" s="43" t="str">
        <f t="shared" si="86"/>
        <v/>
      </c>
      <c r="Y181" s="43" t="str">
        <f t="shared" si="86"/>
        <v/>
      </c>
      <c r="Z181" s="43" t="str">
        <f t="shared" si="86"/>
        <v/>
      </c>
      <c r="AA181" s="43" t="str">
        <f t="shared" si="86"/>
        <v/>
      </c>
      <c r="AB181" s="43" t="str">
        <f t="shared" si="87"/>
        <v/>
      </c>
      <c r="AC181" s="43" t="str">
        <f t="shared" si="87"/>
        <v/>
      </c>
      <c r="AD181" s="43" t="str">
        <f t="shared" si="87"/>
        <v/>
      </c>
      <c r="AE181" s="43" t="str">
        <f t="shared" si="87"/>
        <v/>
      </c>
      <c r="AF181" s="43" t="str">
        <f t="shared" si="87"/>
        <v/>
      </c>
      <c r="AG181" s="43" t="str">
        <f t="shared" si="87"/>
        <v/>
      </c>
      <c r="AH181" s="43" t="str">
        <f t="shared" si="87"/>
        <v/>
      </c>
      <c r="AI181" s="43" t="str">
        <f t="shared" si="87"/>
        <v/>
      </c>
      <c r="AJ181" s="43" t="str">
        <f t="shared" si="87"/>
        <v/>
      </c>
      <c r="AK181" s="43" t="str">
        <f t="shared" si="87"/>
        <v/>
      </c>
      <c r="AL181" s="43" t="str">
        <f t="shared" si="88"/>
        <v/>
      </c>
      <c r="AM181" s="43" t="str">
        <f t="shared" si="88"/>
        <v/>
      </c>
      <c r="AN181" s="43" t="str">
        <f t="shared" si="88"/>
        <v/>
      </c>
      <c r="AO181" s="43" t="str">
        <f t="shared" si="88"/>
        <v/>
      </c>
      <c r="AP181" s="43" t="str">
        <f t="shared" si="88"/>
        <v/>
      </c>
      <c r="AQ181" s="43" t="str">
        <f t="shared" si="88"/>
        <v/>
      </c>
      <c r="AR181" s="43" t="str">
        <f t="shared" si="88"/>
        <v/>
      </c>
      <c r="AS181" s="43" t="str">
        <f t="shared" si="88"/>
        <v/>
      </c>
      <c r="AT181" s="43" t="str">
        <f t="shared" si="88"/>
        <v/>
      </c>
      <c r="AU181" s="43" t="str">
        <f t="shared" si="88"/>
        <v/>
      </c>
      <c r="AV181" s="43" t="str">
        <f t="shared" si="89"/>
        <v/>
      </c>
      <c r="AW181" s="43" t="str">
        <f t="shared" si="89"/>
        <v/>
      </c>
      <c r="AX181" s="43" t="str">
        <f t="shared" si="89"/>
        <v/>
      </c>
      <c r="AY181" s="43" t="str">
        <f t="shared" si="89"/>
        <v/>
      </c>
      <c r="AZ181" s="43" t="str">
        <f t="shared" si="89"/>
        <v/>
      </c>
      <c r="BA181" s="43" t="str">
        <f t="shared" si="89"/>
        <v/>
      </c>
      <c r="BB181" s="43"/>
      <c r="BC181" s="43"/>
      <c r="BD181" s="43"/>
      <c r="BE181" s="43"/>
      <c r="BF181" s="43"/>
      <c r="BG181" s="43"/>
      <c r="BW181" s="1250"/>
    </row>
    <row r="182" spans="1:75" x14ac:dyDescent="0.25">
      <c r="A182" s="1251"/>
      <c r="B182" s="462">
        <v>176</v>
      </c>
      <c r="C182" s="462"/>
      <c r="D182" s="1244"/>
      <c r="E182" s="1050"/>
      <c r="F182" s="1244"/>
      <c r="H182" s="43" t="str">
        <f t="shared" si="85"/>
        <v/>
      </c>
      <c r="I182" s="43" t="str">
        <f t="shared" si="85"/>
        <v/>
      </c>
      <c r="J182" s="43" t="str">
        <f t="shared" si="85"/>
        <v/>
      </c>
      <c r="K182" s="43" t="str">
        <f t="shared" si="85"/>
        <v/>
      </c>
      <c r="L182" s="43" t="str">
        <f t="shared" si="85"/>
        <v/>
      </c>
      <c r="M182" s="43" t="str">
        <f t="shared" si="85"/>
        <v/>
      </c>
      <c r="N182" s="43" t="str">
        <f t="shared" si="85"/>
        <v/>
      </c>
      <c r="O182" s="43" t="str">
        <f t="shared" si="85"/>
        <v/>
      </c>
      <c r="P182" s="43" t="str">
        <f t="shared" si="85"/>
        <v/>
      </c>
      <c r="Q182" s="43" t="str">
        <f t="shared" si="85"/>
        <v/>
      </c>
      <c r="R182" s="43" t="str">
        <f t="shared" si="86"/>
        <v/>
      </c>
      <c r="S182" s="43" t="str">
        <f t="shared" si="86"/>
        <v/>
      </c>
      <c r="T182" s="43" t="str">
        <f t="shared" si="86"/>
        <v/>
      </c>
      <c r="U182" s="43" t="str">
        <f t="shared" si="86"/>
        <v/>
      </c>
      <c r="V182" s="43" t="str">
        <f t="shared" si="86"/>
        <v/>
      </c>
      <c r="W182" s="43" t="str">
        <f t="shared" si="86"/>
        <v/>
      </c>
      <c r="X182" s="43" t="str">
        <f t="shared" si="86"/>
        <v/>
      </c>
      <c r="Y182" s="43" t="str">
        <f t="shared" si="86"/>
        <v/>
      </c>
      <c r="Z182" s="43" t="str">
        <f t="shared" si="86"/>
        <v/>
      </c>
      <c r="AA182" s="43" t="str">
        <f t="shared" si="86"/>
        <v/>
      </c>
      <c r="AB182" s="43" t="str">
        <f t="shared" si="87"/>
        <v/>
      </c>
      <c r="AC182" s="43" t="str">
        <f t="shared" si="87"/>
        <v/>
      </c>
      <c r="AD182" s="43" t="str">
        <f t="shared" si="87"/>
        <v/>
      </c>
      <c r="AE182" s="43" t="str">
        <f t="shared" si="87"/>
        <v/>
      </c>
      <c r="AF182" s="43" t="str">
        <f t="shared" si="87"/>
        <v/>
      </c>
      <c r="AG182" s="43" t="str">
        <f t="shared" si="87"/>
        <v/>
      </c>
      <c r="AH182" s="43" t="str">
        <f t="shared" si="87"/>
        <v/>
      </c>
      <c r="AI182" s="43" t="str">
        <f t="shared" si="87"/>
        <v/>
      </c>
      <c r="AJ182" s="43" t="str">
        <f t="shared" si="87"/>
        <v/>
      </c>
      <c r="AK182" s="43" t="str">
        <f t="shared" si="87"/>
        <v/>
      </c>
      <c r="AL182" s="43" t="str">
        <f t="shared" si="88"/>
        <v/>
      </c>
      <c r="AM182" s="43" t="str">
        <f t="shared" si="88"/>
        <v/>
      </c>
      <c r="AN182" s="43" t="str">
        <f t="shared" si="88"/>
        <v/>
      </c>
      <c r="AO182" s="43" t="str">
        <f t="shared" si="88"/>
        <v/>
      </c>
      <c r="AP182" s="43" t="str">
        <f t="shared" si="88"/>
        <v/>
      </c>
      <c r="AQ182" s="43" t="str">
        <f t="shared" si="88"/>
        <v/>
      </c>
      <c r="AR182" s="43" t="str">
        <f t="shared" si="88"/>
        <v/>
      </c>
      <c r="AS182" s="43" t="str">
        <f t="shared" si="88"/>
        <v/>
      </c>
      <c r="AT182" s="43" t="str">
        <f t="shared" si="88"/>
        <v/>
      </c>
      <c r="AU182" s="43" t="str">
        <f t="shared" si="88"/>
        <v/>
      </c>
      <c r="AV182" s="43" t="str">
        <f t="shared" si="89"/>
        <v/>
      </c>
      <c r="AW182" s="43" t="str">
        <f t="shared" si="89"/>
        <v/>
      </c>
      <c r="AX182" s="43" t="str">
        <f t="shared" si="89"/>
        <v/>
      </c>
      <c r="AY182" s="43" t="str">
        <f t="shared" si="89"/>
        <v/>
      </c>
      <c r="AZ182" s="43" t="str">
        <f t="shared" si="89"/>
        <v/>
      </c>
      <c r="BA182" s="43" t="str">
        <f t="shared" si="89"/>
        <v/>
      </c>
      <c r="BB182" s="43"/>
      <c r="BC182" s="43"/>
      <c r="BD182" s="43"/>
      <c r="BE182" s="43"/>
      <c r="BF182" s="43"/>
      <c r="BG182" s="43"/>
      <c r="BW182" s="1250"/>
    </row>
    <row r="183" spans="1:75" x14ac:dyDescent="0.25">
      <c r="A183" s="1251"/>
      <c r="B183" s="462">
        <v>177</v>
      </c>
      <c r="C183" s="462"/>
      <c r="D183" s="1244"/>
      <c r="E183" s="1050"/>
      <c r="F183" s="1244"/>
      <c r="H183" s="43" t="str">
        <f t="shared" si="85"/>
        <v/>
      </c>
      <c r="I183" s="43" t="str">
        <f t="shared" si="85"/>
        <v/>
      </c>
      <c r="J183" s="43" t="str">
        <f t="shared" si="85"/>
        <v/>
      </c>
      <c r="K183" s="43" t="str">
        <f t="shared" si="85"/>
        <v/>
      </c>
      <c r="L183" s="43" t="str">
        <f t="shared" si="85"/>
        <v/>
      </c>
      <c r="M183" s="43" t="str">
        <f t="shared" si="85"/>
        <v/>
      </c>
      <c r="N183" s="43" t="str">
        <f t="shared" si="85"/>
        <v/>
      </c>
      <c r="O183" s="43" t="str">
        <f t="shared" si="85"/>
        <v/>
      </c>
      <c r="P183" s="43" t="str">
        <f t="shared" si="85"/>
        <v/>
      </c>
      <c r="Q183" s="43" t="str">
        <f t="shared" si="85"/>
        <v/>
      </c>
      <c r="R183" s="43" t="str">
        <f t="shared" si="86"/>
        <v/>
      </c>
      <c r="S183" s="43" t="str">
        <f t="shared" si="86"/>
        <v/>
      </c>
      <c r="T183" s="43" t="str">
        <f t="shared" si="86"/>
        <v/>
      </c>
      <c r="U183" s="43" t="str">
        <f t="shared" si="86"/>
        <v/>
      </c>
      <c r="V183" s="43" t="str">
        <f t="shared" si="86"/>
        <v/>
      </c>
      <c r="W183" s="43" t="str">
        <f t="shared" si="86"/>
        <v/>
      </c>
      <c r="X183" s="43" t="str">
        <f t="shared" si="86"/>
        <v/>
      </c>
      <c r="Y183" s="43" t="str">
        <f t="shared" si="86"/>
        <v/>
      </c>
      <c r="Z183" s="43" t="str">
        <f t="shared" si="86"/>
        <v/>
      </c>
      <c r="AA183" s="43" t="str">
        <f t="shared" si="86"/>
        <v/>
      </c>
      <c r="AB183" s="43" t="str">
        <f t="shared" si="87"/>
        <v/>
      </c>
      <c r="AC183" s="43" t="str">
        <f t="shared" si="87"/>
        <v/>
      </c>
      <c r="AD183" s="43" t="str">
        <f t="shared" si="87"/>
        <v/>
      </c>
      <c r="AE183" s="43" t="str">
        <f t="shared" si="87"/>
        <v/>
      </c>
      <c r="AF183" s="43" t="str">
        <f t="shared" si="87"/>
        <v/>
      </c>
      <c r="AG183" s="43" t="str">
        <f t="shared" si="87"/>
        <v/>
      </c>
      <c r="AH183" s="43" t="str">
        <f t="shared" si="87"/>
        <v/>
      </c>
      <c r="AI183" s="43" t="str">
        <f t="shared" si="87"/>
        <v/>
      </c>
      <c r="AJ183" s="43" t="str">
        <f t="shared" si="87"/>
        <v/>
      </c>
      <c r="AK183" s="43" t="str">
        <f t="shared" si="87"/>
        <v/>
      </c>
      <c r="AL183" s="43" t="str">
        <f t="shared" si="88"/>
        <v/>
      </c>
      <c r="AM183" s="43" t="str">
        <f t="shared" si="88"/>
        <v/>
      </c>
      <c r="AN183" s="43" t="str">
        <f t="shared" si="88"/>
        <v/>
      </c>
      <c r="AO183" s="43" t="str">
        <f t="shared" si="88"/>
        <v/>
      </c>
      <c r="AP183" s="43" t="str">
        <f t="shared" si="88"/>
        <v/>
      </c>
      <c r="AQ183" s="43" t="str">
        <f t="shared" si="88"/>
        <v/>
      </c>
      <c r="AR183" s="43" t="str">
        <f t="shared" si="88"/>
        <v/>
      </c>
      <c r="AS183" s="43" t="str">
        <f t="shared" si="88"/>
        <v/>
      </c>
      <c r="AT183" s="43" t="str">
        <f t="shared" si="88"/>
        <v/>
      </c>
      <c r="AU183" s="43" t="str">
        <f t="shared" si="88"/>
        <v/>
      </c>
      <c r="AV183" s="43" t="str">
        <f t="shared" si="89"/>
        <v/>
      </c>
      <c r="AW183" s="43" t="str">
        <f t="shared" si="89"/>
        <v/>
      </c>
      <c r="AX183" s="43" t="str">
        <f t="shared" si="89"/>
        <v/>
      </c>
      <c r="AY183" s="43" t="str">
        <f t="shared" si="89"/>
        <v/>
      </c>
      <c r="AZ183" s="43" t="str">
        <f t="shared" si="89"/>
        <v/>
      </c>
      <c r="BA183" s="43" t="str">
        <f t="shared" si="89"/>
        <v/>
      </c>
      <c r="BB183" s="43"/>
      <c r="BC183" s="43"/>
      <c r="BD183" s="43"/>
      <c r="BE183" s="43"/>
      <c r="BF183" s="43"/>
      <c r="BG183" s="43"/>
      <c r="BW183" s="1250"/>
    </row>
    <row r="184" spans="1:75" x14ac:dyDescent="0.25">
      <c r="A184" s="1251"/>
      <c r="B184" s="462">
        <v>178</v>
      </c>
      <c r="C184" s="462"/>
      <c r="D184" s="1244"/>
      <c r="E184" s="1050"/>
      <c r="F184" s="1244"/>
      <c r="H184" s="43" t="str">
        <f t="shared" si="85"/>
        <v/>
      </c>
      <c r="I184" s="43" t="str">
        <f t="shared" si="85"/>
        <v/>
      </c>
      <c r="J184" s="43" t="str">
        <f t="shared" si="85"/>
        <v/>
      </c>
      <c r="K184" s="43" t="str">
        <f t="shared" si="85"/>
        <v/>
      </c>
      <c r="L184" s="43" t="str">
        <f t="shared" si="85"/>
        <v/>
      </c>
      <c r="M184" s="43" t="str">
        <f t="shared" si="85"/>
        <v/>
      </c>
      <c r="N184" s="43" t="str">
        <f t="shared" si="85"/>
        <v/>
      </c>
      <c r="O184" s="43" t="str">
        <f t="shared" si="85"/>
        <v/>
      </c>
      <c r="P184" s="43" t="str">
        <f t="shared" si="85"/>
        <v/>
      </c>
      <c r="Q184" s="43" t="str">
        <f t="shared" si="85"/>
        <v/>
      </c>
      <c r="R184" s="43" t="str">
        <f t="shared" si="86"/>
        <v/>
      </c>
      <c r="S184" s="43" t="str">
        <f t="shared" si="86"/>
        <v/>
      </c>
      <c r="T184" s="43" t="str">
        <f t="shared" si="86"/>
        <v/>
      </c>
      <c r="U184" s="43" t="str">
        <f t="shared" si="86"/>
        <v/>
      </c>
      <c r="V184" s="43" t="str">
        <f t="shared" si="86"/>
        <v/>
      </c>
      <c r="W184" s="43" t="str">
        <f t="shared" si="86"/>
        <v/>
      </c>
      <c r="X184" s="43" t="str">
        <f t="shared" si="86"/>
        <v/>
      </c>
      <c r="Y184" s="43" t="str">
        <f t="shared" si="86"/>
        <v/>
      </c>
      <c r="Z184" s="43" t="str">
        <f t="shared" si="86"/>
        <v/>
      </c>
      <c r="AA184" s="43" t="str">
        <f t="shared" si="86"/>
        <v/>
      </c>
      <c r="AB184" s="43" t="str">
        <f t="shared" si="87"/>
        <v/>
      </c>
      <c r="AC184" s="43" t="str">
        <f t="shared" si="87"/>
        <v/>
      </c>
      <c r="AD184" s="43" t="str">
        <f t="shared" si="87"/>
        <v/>
      </c>
      <c r="AE184" s="43" t="str">
        <f t="shared" si="87"/>
        <v/>
      </c>
      <c r="AF184" s="43" t="str">
        <f t="shared" si="87"/>
        <v/>
      </c>
      <c r="AG184" s="43" t="str">
        <f t="shared" si="87"/>
        <v/>
      </c>
      <c r="AH184" s="43" t="str">
        <f t="shared" si="87"/>
        <v/>
      </c>
      <c r="AI184" s="43" t="str">
        <f t="shared" si="87"/>
        <v/>
      </c>
      <c r="AJ184" s="43" t="str">
        <f t="shared" si="87"/>
        <v/>
      </c>
      <c r="AK184" s="43" t="str">
        <f t="shared" si="87"/>
        <v/>
      </c>
      <c r="AL184" s="43" t="str">
        <f t="shared" si="88"/>
        <v/>
      </c>
      <c r="AM184" s="43" t="str">
        <f t="shared" si="88"/>
        <v/>
      </c>
      <c r="AN184" s="43" t="str">
        <f t="shared" si="88"/>
        <v/>
      </c>
      <c r="AO184" s="43" t="str">
        <f t="shared" si="88"/>
        <v/>
      </c>
      <c r="AP184" s="43" t="str">
        <f t="shared" si="88"/>
        <v/>
      </c>
      <c r="AQ184" s="43" t="str">
        <f t="shared" si="88"/>
        <v/>
      </c>
      <c r="AR184" s="43" t="str">
        <f t="shared" si="88"/>
        <v/>
      </c>
      <c r="AS184" s="43" t="str">
        <f t="shared" si="88"/>
        <v/>
      </c>
      <c r="AT184" s="43" t="str">
        <f t="shared" si="88"/>
        <v/>
      </c>
      <c r="AU184" s="43" t="str">
        <f t="shared" si="88"/>
        <v/>
      </c>
      <c r="AV184" s="43" t="str">
        <f t="shared" si="89"/>
        <v/>
      </c>
      <c r="AW184" s="43" t="str">
        <f t="shared" si="89"/>
        <v/>
      </c>
      <c r="AX184" s="43" t="str">
        <f t="shared" si="89"/>
        <v/>
      </c>
      <c r="AY184" s="43" t="str">
        <f t="shared" si="89"/>
        <v/>
      </c>
      <c r="AZ184" s="43" t="str">
        <f t="shared" si="89"/>
        <v/>
      </c>
      <c r="BA184" s="43" t="str">
        <f t="shared" si="89"/>
        <v/>
      </c>
      <c r="BB184" s="43"/>
      <c r="BC184" s="43"/>
      <c r="BD184" s="43"/>
      <c r="BE184" s="43"/>
      <c r="BF184" s="43"/>
      <c r="BG184" s="43"/>
      <c r="BW184" s="1250"/>
    </row>
    <row r="185" spans="1:75" x14ac:dyDescent="0.25">
      <c r="A185" s="1251"/>
      <c r="B185" s="462">
        <v>179</v>
      </c>
      <c r="C185" s="462"/>
      <c r="D185" s="1244"/>
      <c r="E185" s="1050"/>
      <c r="F185" s="1244"/>
      <c r="H185" s="43" t="str">
        <f t="shared" si="85"/>
        <v/>
      </c>
      <c r="I185" s="43" t="str">
        <f t="shared" si="85"/>
        <v/>
      </c>
      <c r="J185" s="43" t="str">
        <f t="shared" si="85"/>
        <v/>
      </c>
      <c r="K185" s="43" t="str">
        <f t="shared" si="85"/>
        <v/>
      </c>
      <c r="L185" s="43" t="str">
        <f t="shared" si="85"/>
        <v/>
      </c>
      <c r="M185" s="43" t="str">
        <f t="shared" si="85"/>
        <v/>
      </c>
      <c r="N185" s="43" t="str">
        <f t="shared" si="85"/>
        <v/>
      </c>
      <c r="O185" s="43" t="str">
        <f t="shared" si="85"/>
        <v/>
      </c>
      <c r="P185" s="43" t="str">
        <f t="shared" si="85"/>
        <v/>
      </c>
      <c r="Q185" s="43" t="str">
        <f t="shared" si="85"/>
        <v/>
      </c>
      <c r="R185" s="43" t="str">
        <f t="shared" si="86"/>
        <v/>
      </c>
      <c r="S185" s="43" t="str">
        <f t="shared" si="86"/>
        <v/>
      </c>
      <c r="T185" s="43" t="str">
        <f t="shared" si="86"/>
        <v/>
      </c>
      <c r="U185" s="43" t="str">
        <f t="shared" si="86"/>
        <v/>
      </c>
      <c r="V185" s="43" t="str">
        <f t="shared" si="86"/>
        <v/>
      </c>
      <c r="W185" s="43" t="str">
        <f t="shared" si="86"/>
        <v/>
      </c>
      <c r="X185" s="43" t="str">
        <f t="shared" si="86"/>
        <v/>
      </c>
      <c r="Y185" s="43" t="str">
        <f t="shared" si="86"/>
        <v/>
      </c>
      <c r="Z185" s="43" t="str">
        <f t="shared" si="86"/>
        <v/>
      </c>
      <c r="AA185" s="43" t="str">
        <f t="shared" si="86"/>
        <v/>
      </c>
      <c r="AB185" s="43" t="str">
        <f t="shared" si="87"/>
        <v/>
      </c>
      <c r="AC185" s="43" t="str">
        <f t="shared" si="87"/>
        <v/>
      </c>
      <c r="AD185" s="43" t="str">
        <f t="shared" si="87"/>
        <v/>
      </c>
      <c r="AE185" s="43" t="str">
        <f t="shared" si="87"/>
        <v/>
      </c>
      <c r="AF185" s="43" t="str">
        <f t="shared" si="87"/>
        <v/>
      </c>
      <c r="AG185" s="43" t="str">
        <f t="shared" si="87"/>
        <v/>
      </c>
      <c r="AH185" s="43" t="str">
        <f t="shared" si="87"/>
        <v/>
      </c>
      <c r="AI185" s="43" t="str">
        <f t="shared" si="87"/>
        <v/>
      </c>
      <c r="AJ185" s="43" t="str">
        <f t="shared" si="87"/>
        <v/>
      </c>
      <c r="AK185" s="43" t="str">
        <f t="shared" si="87"/>
        <v/>
      </c>
      <c r="AL185" s="43" t="str">
        <f t="shared" si="88"/>
        <v/>
      </c>
      <c r="AM185" s="43" t="str">
        <f t="shared" si="88"/>
        <v/>
      </c>
      <c r="AN185" s="43" t="str">
        <f t="shared" si="88"/>
        <v/>
      </c>
      <c r="AO185" s="43" t="str">
        <f t="shared" si="88"/>
        <v/>
      </c>
      <c r="AP185" s="43" t="str">
        <f t="shared" si="88"/>
        <v/>
      </c>
      <c r="AQ185" s="43" t="str">
        <f t="shared" si="88"/>
        <v/>
      </c>
      <c r="AR185" s="43" t="str">
        <f t="shared" si="88"/>
        <v/>
      </c>
      <c r="AS185" s="43" t="str">
        <f t="shared" si="88"/>
        <v/>
      </c>
      <c r="AT185" s="43" t="str">
        <f t="shared" si="88"/>
        <v/>
      </c>
      <c r="AU185" s="43" t="str">
        <f t="shared" si="88"/>
        <v/>
      </c>
      <c r="AV185" s="43" t="str">
        <f t="shared" si="89"/>
        <v/>
      </c>
      <c r="AW185" s="43" t="str">
        <f t="shared" si="89"/>
        <v/>
      </c>
      <c r="AX185" s="43" t="str">
        <f t="shared" si="89"/>
        <v/>
      </c>
      <c r="AY185" s="43" t="str">
        <f t="shared" si="89"/>
        <v/>
      </c>
      <c r="AZ185" s="43" t="str">
        <f t="shared" si="89"/>
        <v/>
      </c>
      <c r="BA185" s="43" t="str">
        <f t="shared" si="89"/>
        <v/>
      </c>
      <c r="BB185" s="43"/>
      <c r="BC185" s="43"/>
      <c r="BD185" s="43"/>
      <c r="BE185" s="43"/>
      <c r="BF185" s="43"/>
      <c r="BG185" s="43"/>
      <c r="BW185" s="1250"/>
    </row>
    <row r="186" spans="1:75" x14ac:dyDescent="0.25">
      <c r="A186" s="1251"/>
      <c r="B186" s="462">
        <v>180</v>
      </c>
      <c r="C186" s="462"/>
      <c r="D186" s="1244"/>
      <c r="E186" s="1050"/>
      <c r="F186" s="1244"/>
      <c r="H186" s="43" t="str">
        <f t="shared" si="85"/>
        <v/>
      </c>
      <c r="I186" s="43" t="str">
        <f t="shared" si="85"/>
        <v/>
      </c>
      <c r="J186" s="43" t="str">
        <f t="shared" si="85"/>
        <v/>
      </c>
      <c r="K186" s="43" t="str">
        <f t="shared" si="85"/>
        <v/>
      </c>
      <c r="L186" s="43" t="str">
        <f t="shared" si="85"/>
        <v/>
      </c>
      <c r="M186" s="43" t="str">
        <f t="shared" si="85"/>
        <v/>
      </c>
      <c r="N186" s="43" t="str">
        <f t="shared" si="85"/>
        <v/>
      </c>
      <c r="O186" s="43" t="str">
        <f t="shared" si="85"/>
        <v/>
      </c>
      <c r="P186" s="43" t="str">
        <f t="shared" si="85"/>
        <v/>
      </c>
      <c r="Q186" s="43" t="str">
        <f t="shared" si="85"/>
        <v/>
      </c>
      <c r="R186" s="43" t="str">
        <f t="shared" si="86"/>
        <v/>
      </c>
      <c r="S186" s="43" t="str">
        <f t="shared" si="86"/>
        <v/>
      </c>
      <c r="T186" s="43" t="str">
        <f t="shared" si="86"/>
        <v/>
      </c>
      <c r="U186" s="43" t="str">
        <f t="shared" si="86"/>
        <v/>
      </c>
      <c r="V186" s="43" t="str">
        <f t="shared" si="86"/>
        <v/>
      </c>
      <c r="W186" s="43" t="str">
        <f t="shared" si="86"/>
        <v/>
      </c>
      <c r="X186" s="43" t="str">
        <f t="shared" si="86"/>
        <v/>
      </c>
      <c r="Y186" s="43" t="str">
        <f t="shared" si="86"/>
        <v/>
      </c>
      <c r="Z186" s="43" t="str">
        <f t="shared" si="86"/>
        <v/>
      </c>
      <c r="AA186" s="43" t="str">
        <f t="shared" si="86"/>
        <v/>
      </c>
      <c r="AB186" s="43" t="str">
        <f t="shared" si="87"/>
        <v/>
      </c>
      <c r="AC186" s="43" t="str">
        <f t="shared" si="87"/>
        <v/>
      </c>
      <c r="AD186" s="43" t="str">
        <f t="shared" si="87"/>
        <v/>
      </c>
      <c r="AE186" s="43" t="str">
        <f t="shared" si="87"/>
        <v/>
      </c>
      <c r="AF186" s="43" t="str">
        <f t="shared" si="87"/>
        <v/>
      </c>
      <c r="AG186" s="43" t="str">
        <f t="shared" si="87"/>
        <v/>
      </c>
      <c r="AH186" s="43" t="str">
        <f t="shared" si="87"/>
        <v/>
      </c>
      <c r="AI186" s="43" t="str">
        <f t="shared" si="87"/>
        <v/>
      </c>
      <c r="AJ186" s="43" t="str">
        <f t="shared" si="87"/>
        <v/>
      </c>
      <c r="AK186" s="43" t="str">
        <f t="shared" si="87"/>
        <v/>
      </c>
      <c r="AL186" s="43" t="str">
        <f t="shared" si="88"/>
        <v/>
      </c>
      <c r="AM186" s="43" t="str">
        <f t="shared" si="88"/>
        <v/>
      </c>
      <c r="AN186" s="43" t="str">
        <f t="shared" si="88"/>
        <v/>
      </c>
      <c r="AO186" s="43" t="str">
        <f t="shared" si="88"/>
        <v/>
      </c>
      <c r="AP186" s="43" t="str">
        <f t="shared" si="88"/>
        <v/>
      </c>
      <c r="AQ186" s="43" t="str">
        <f t="shared" si="88"/>
        <v/>
      </c>
      <c r="AR186" s="43" t="str">
        <f t="shared" si="88"/>
        <v/>
      </c>
      <c r="AS186" s="43" t="str">
        <f t="shared" si="88"/>
        <v/>
      </c>
      <c r="AT186" s="43" t="str">
        <f t="shared" si="88"/>
        <v/>
      </c>
      <c r="AU186" s="43" t="str">
        <f t="shared" si="88"/>
        <v/>
      </c>
      <c r="AV186" s="43" t="str">
        <f t="shared" si="89"/>
        <v/>
      </c>
      <c r="AW186" s="43" t="str">
        <f t="shared" si="89"/>
        <v/>
      </c>
      <c r="AX186" s="43" t="str">
        <f t="shared" si="89"/>
        <v/>
      </c>
      <c r="AY186" s="43" t="str">
        <f t="shared" si="89"/>
        <v/>
      </c>
      <c r="AZ186" s="43" t="str">
        <f t="shared" si="89"/>
        <v/>
      </c>
      <c r="BA186" s="43" t="str">
        <f t="shared" si="89"/>
        <v/>
      </c>
      <c r="BB186" s="43"/>
      <c r="BC186" s="43"/>
      <c r="BD186" s="43"/>
      <c r="BE186" s="43"/>
      <c r="BF186" s="43"/>
      <c r="BG186" s="43"/>
      <c r="BW186" s="1250"/>
    </row>
    <row r="187" spans="1:75" x14ac:dyDescent="0.25">
      <c r="A187" s="1251"/>
      <c r="B187" s="462">
        <v>181</v>
      </c>
      <c r="C187" s="462"/>
      <c r="D187" s="1244"/>
      <c r="E187" s="1050"/>
      <c r="F187" s="1244"/>
      <c r="H187" s="43" t="str">
        <f t="shared" ref="H187:Q196" si="90">IF($D187=H$6,$B187&amp;", ","")</f>
        <v/>
      </c>
      <c r="I187" s="43" t="str">
        <f t="shared" si="90"/>
        <v/>
      </c>
      <c r="J187" s="43" t="str">
        <f t="shared" si="90"/>
        <v/>
      </c>
      <c r="K187" s="43" t="str">
        <f t="shared" si="90"/>
        <v/>
      </c>
      <c r="L187" s="43" t="str">
        <f t="shared" si="90"/>
        <v/>
      </c>
      <c r="M187" s="43" t="str">
        <f t="shared" si="90"/>
        <v/>
      </c>
      <c r="N187" s="43" t="str">
        <f t="shared" si="90"/>
        <v/>
      </c>
      <c r="O187" s="43" t="str">
        <f t="shared" si="90"/>
        <v/>
      </c>
      <c r="P187" s="43" t="str">
        <f t="shared" si="90"/>
        <v/>
      </c>
      <c r="Q187" s="43" t="str">
        <f t="shared" si="90"/>
        <v/>
      </c>
      <c r="R187" s="43" t="str">
        <f t="shared" ref="R187:AA196" si="91">IF($D187=R$6,$B187&amp;", ","")</f>
        <v/>
      </c>
      <c r="S187" s="43" t="str">
        <f t="shared" si="91"/>
        <v/>
      </c>
      <c r="T187" s="43" t="str">
        <f t="shared" si="91"/>
        <v/>
      </c>
      <c r="U187" s="43" t="str">
        <f t="shared" si="91"/>
        <v/>
      </c>
      <c r="V187" s="43" t="str">
        <f t="shared" si="91"/>
        <v/>
      </c>
      <c r="W187" s="43" t="str">
        <f t="shared" si="91"/>
        <v/>
      </c>
      <c r="X187" s="43" t="str">
        <f t="shared" si="91"/>
        <v/>
      </c>
      <c r="Y187" s="43" t="str">
        <f t="shared" si="91"/>
        <v/>
      </c>
      <c r="Z187" s="43" t="str">
        <f t="shared" si="91"/>
        <v/>
      </c>
      <c r="AA187" s="43" t="str">
        <f t="shared" si="91"/>
        <v/>
      </c>
      <c r="AB187" s="43" t="str">
        <f t="shared" ref="AB187:AK196" si="92">IF($D187=AB$6,$B187&amp;", ","")</f>
        <v/>
      </c>
      <c r="AC187" s="43" t="str">
        <f t="shared" si="92"/>
        <v/>
      </c>
      <c r="AD187" s="43" t="str">
        <f t="shared" si="92"/>
        <v/>
      </c>
      <c r="AE187" s="43" t="str">
        <f t="shared" si="92"/>
        <v/>
      </c>
      <c r="AF187" s="43" t="str">
        <f t="shared" si="92"/>
        <v/>
      </c>
      <c r="AG187" s="43" t="str">
        <f t="shared" si="92"/>
        <v/>
      </c>
      <c r="AH187" s="43" t="str">
        <f t="shared" si="92"/>
        <v/>
      </c>
      <c r="AI187" s="43" t="str">
        <f t="shared" si="92"/>
        <v/>
      </c>
      <c r="AJ187" s="43" t="str">
        <f t="shared" si="92"/>
        <v/>
      </c>
      <c r="AK187" s="43" t="str">
        <f t="shared" si="92"/>
        <v/>
      </c>
      <c r="AL187" s="43" t="str">
        <f t="shared" ref="AL187:AU196" si="93">IF($D187=AL$6,$B187&amp;", ","")</f>
        <v/>
      </c>
      <c r="AM187" s="43" t="str">
        <f t="shared" si="93"/>
        <v/>
      </c>
      <c r="AN187" s="43" t="str">
        <f t="shared" si="93"/>
        <v/>
      </c>
      <c r="AO187" s="43" t="str">
        <f t="shared" si="93"/>
        <v/>
      </c>
      <c r="AP187" s="43" t="str">
        <f t="shared" si="93"/>
        <v/>
      </c>
      <c r="AQ187" s="43" t="str">
        <f t="shared" si="93"/>
        <v/>
      </c>
      <c r="AR187" s="43" t="str">
        <f t="shared" si="93"/>
        <v/>
      </c>
      <c r="AS187" s="43" t="str">
        <f t="shared" si="93"/>
        <v/>
      </c>
      <c r="AT187" s="43" t="str">
        <f t="shared" si="93"/>
        <v/>
      </c>
      <c r="AU187" s="43" t="str">
        <f t="shared" si="93"/>
        <v/>
      </c>
      <c r="AV187" s="43" t="str">
        <f t="shared" ref="AV187:BA196" si="94">IF($D187=AV$6,$B187&amp;", ","")</f>
        <v/>
      </c>
      <c r="AW187" s="43" t="str">
        <f t="shared" si="94"/>
        <v/>
      </c>
      <c r="AX187" s="43" t="str">
        <f t="shared" si="94"/>
        <v/>
      </c>
      <c r="AY187" s="43" t="str">
        <f t="shared" si="94"/>
        <v/>
      </c>
      <c r="AZ187" s="43" t="str">
        <f t="shared" si="94"/>
        <v/>
      </c>
      <c r="BA187" s="43" t="str">
        <f t="shared" si="94"/>
        <v/>
      </c>
      <c r="BB187" s="43"/>
      <c r="BC187" s="43"/>
      <c r="BD187" s="43"/>
      <c r="BE187" s="43"/>
      <c r="BF187" s="43"/>
      <c r="BG187" s="43"/>
      <c r="BW187" s="1250"/>
    </row>
    <row r="188" spans="1:75" x14ac:dyDescent="0.25">
      <c r="A188" s="1251"/>
      <c r="B188" s="462">
        <v>182</v>
      </c>
      <c r="C188" s="462"/>
      <c r="D188" s="1244"/>
      <c r="E188" s="1050"/>
      <c r="F188" s="1244"/>
      <c r="H188" s="43" t="str">
        <f t="shared" si="90"/>
        <v/>
      </c>
      <c r="I188" s="43" t="str">
        <f t="shared" si="90"/>
        <v/>
      </c>
      <c r="J188" s="43" t="str">
        <f t="shared" si="90"/>
        <v/>
      </c>
      <c r="K188" s="43" t="str">
        <f t="shared" si="90"/>
        <v/>
      </c>
      <c r="L188" s="43" t="str">
        <f t="shared" si="90"/>
        <v/>
      </c>
      <c r="M188" s="43" t="str">
        <f t="shared" si="90"/>
        <v/>
      </c>
      <c r="N188" s="43" t="str">
        <f t="shared" si="90"/>
        <v/>
      </c>
      <c r="O188" s="43" t="str">
        <f t="shared" si="90"/>
        <v/>
      </c>
      <c r="P188" s="43" t="str">
        <f t="shared" si="90"/>
        <v/>
      </c>
      <c r="Q188" s="43" t="str">
        <f t="shared" si="90"/>
        <v/>
      </c>
      <c r="R188" s="43" t="str">
        <f t="shared" si="91"/>
        <v/>
      </c>
      <c r="S188" s="43" t="str">
        <f t="shared" si="91"/>
        <v/>
      </c>
      <c r="T188" s="43" t="str">
        <f t="shared" si="91"/>
        <v/>
      </c>
      <c r="U188" s="43" t="str">
        <f t="shared" si="91"/>
        <v/>
      </c>
      <c r="V188" s="43" t="str">
        <f t="shared" si="91"/>
        <v/>
      </c>
      <c r="W188" s="43" t="str">
        <f t="shared" si="91"/>
        <v/>
      </c>
      <c r="X188" s="43" t="str">
        <f t="shared" si="91"/>
        <v/>
      </c>
      <c r="Y188" s="43" t="str">
        <f t="shared" si="91"/>
        <v/>
      </c>
      <c r="Z188" s="43" t="str">
        <f t="shared" si="91"/>
        <v/>
      </c>
      <c r="AA188" s="43" t="str">
        <f t="shared" si="91"/>
        <v/>
      </c>
      <c r="AB188" s="43" t="str">
        <f t="shared" si="92"/>
        <v/>
      </c>
      <c r="AC188" s="43" t="str">
        <f t="shared" si="92"/>
        <v/>
      </c>
      <c r="AD188" s="43" t="str">
        <f t="shared" si="92"/>
        <v/>
      </c>
      <c r="AE188" s="43" t="str">
        <f t="shared" si="92"/>
        <v/>
      </c>
      <c r="AF188" s="43" t="str">
        <f t="shared" si="92"/>
        <v/>
      </c>
      <c r="AG188" s="43" t="str">
        <f t="shared" si="92"/>
        <v/>
      </c>
      <c r="AH188" s="43" t="str">
        <f t="shared" si="92"/>
        <v/>
      </c>
      <c r="AI188" s="43" t="str">
        <f t="shared" si="92"/>
        <v/>
      </c>
      <c r="AJ188" s="43" t="str">
        <f t="shared" si="92"/>
        <v/>
      </c>
      <c r="AK188" s="43" t="str">
        <f t="shared" si="92"/>
        <v/>
      </c>
      <c r="AL188" s="43" t="str">
        <f t="shared" si="93"/>
        <v/>
      </c>
      <c r="AM188" s="43" t="str">
        <f t="shared" si="93"/>
        <v/>
      </c>
      <c r="AN188" s="43" t="str">
        <f t="shared" si="93"/>
        <v/>
      </c>
      <c r="AO188" s="43" t="str">
        <f t="shared" si="93"/>
        <v/>
      </c>
      <c r="AP188" s="43" t="str">
        <f t="shared" si="93"/>
        <v/>
      </c>
      <c r="AQ188" s="43" t="str">
        <f t="shared" si="93"/>
        <v/>
      </c>
      <c r="AR188" s="43" t="str">
        <f t="shared" si="93"/>
        <v/>
      </c>
      <c r="AS188" s="43" t="str">
        <f t="shared" si="93"/>
        <v/>
      </c>
      <c r="AT188" s="43" t="str">
        <f t="shared" si="93"/>
        <v/>
      </c>
      <c r="AU188" s="43" t="str">
        <f t="shared" si="93"/>
        <v/>
      </c>
      <c r="AV188" s="43" t="str">
        <f t="shared" si="94"/>
        <v/>
      </c>
      <c r="AW188" s="43" t="str">
        <f t="shared" si="94"/>
        <v/>
      </c>
      <c r="AX188" s="43" t="str">
        <f t="shared" si="94"/>
        <v/>
      </c>
      <c r="AY188" s="43" t="str">
        <f t="shared" si="94"/>
        <v/>
      </c>
      <c r="AZ188" s="43" t="str">
        <f t="shared" si="94"/>
        <v/>
      </c>
      <c r="BA188" s="43" t="str">
        <f t="shared" si="94"/>
        <v/>
      </c>
      <c r="BB188" s="43"/>
      <c r="BC188" s="43"/>
      <c r="BD188" s="43"/>
      <c r="BE188" s="43"/>
      <c r="BF188" s="43"/>
      <c r="BG188" s="43"/>
      <c r="BW188" s="1250"/>
    </row>
    <row r="189" spans="1:75" x14ac:dyDescent="0.25">
      <c r="A189" s="1251"/>
      <c r="B189" s="462">
        <v>183</v>
      </c>
      <c r="C189" s="462"/>
      <c r="D189" s="1244"/>
      <c r="E189" s="1050"/>
      <c r="F189" s="1244"/>
      <c r="H189" s="43" t="str">
        <f t="shared" si="90"/>
        <v/>
      </c>
      <c r="I189" s="43" t="str">
        <f t="shared" si="90"/>
        <v/>
      </c>
      <c r="J189" s="43" t="str">
        <f t="shared" si="90"/>
        <v/>
      </c>
      <c r="K189" s="43" t="str">
        <f t="shared" si="90"/>
        <v/>
      </c>
      <c r="L189" s="43" t="str">
        <f t="shared" si="90"/>
        <v/>
      </c>
      <c r="M189" s="43" t="str">
        <f t="shared" si="90"/>
        <v/>
      </c>
      <c r="N189" s="43" t="str">
        <f t="shared" si="90"/>
        <v/>
      </c>
      <c r="O189" s="43" t="str">
        <f t="shared" si="90"/>
        <v/>
      </c>
      <c r="P189" s="43" t="str">
        <f t="shared" si="90"/>
        <v/>
      </c>
      <c r="Q189" s="43" t="str">
        <f t="shared" si="90"/>
        <v/>
      </c>
      <c r="R189" s="43" t="str">
        <f t="shared" si="91"/>
        <v/>
      </c>
      <c r="S189" s="43" t="str">
        <f t="shared" si="91"/>
        <v/>
      </c>
      <c r="T189" s="43" t="str">
        <f t="shared" si="91"/>
        <v/>
      </c>
      <c r="U189" s="43" t="str">
        <f t="shared" si="91"/>
        <v/>
      </c>
      <c r="V189" s="43" t="str">
        <f t="shared" si="91"/>
        <v/>
      </c>
      <c r="W189" s="43" t="str">
        <f t="shared" si="91"/>
        <v/>
      </c>
      <c r="X189" s="43" t="str">
        <f t="shared" si="91"/>
        <v/>
      </c>
      <c r="Y189" s="43" t="str">
        <f t="shared" si="91"/>
        <v/>
      </c>
      <c r="Z189" s="43" t="str">
        <f t="shared" si="91"/>
        <v/>
      </c>
      <c r="AA189" s="43" t="str">
        <f t="shared" si="91"/>
        <v/>
      </c>
      <c r="AB189" s="43" t="str">
        <f t="shared" si="92"/>
        <v/>
      </c>
      <c r="AC189" s="43" t="str">
        <f t="shared" si="92"/>
        <v/>
      </c>
      <c r="AD189" s="43" t="str">
        <f t="shared" si="92"/>
        <v/>
      </c>
      <c r="AE189" s="43" t="str">
        <f t="shared" si="92"/>
        <v/>
      </c>
      <c r="AF189" s="43" t="str">
        <f t="shared" si="92"/>
        <v/>
      </c>
      <c r="AG189" s="43" t="str">
        <f t="shared" si="92"/>
        <v/>
      </c>
      <c r="AH189" s="43" t="str">
        <f t="shared" si="92"/>
        <v/>
      </c>
      <c r="AI189" s="43" t="str">
        <f t="shared" si="92"/>
        <v/>
      </c>
      <c r="AJ189" s="43" t="str">
        <f t="shared" si="92"/>
        <v/>
      </c>
      <c r="AK189" s="43" t="str">
        <f t="shared" si="92"/>
        <v/>
      </c>
      <c r="AL189" s="43" t="str">
        <f t="shared" si="93"/>
        <v/>
      </c>
      <c r="AM189" s="43" t="str">
        <f t="shared" si="93"/>
        <v/>
      </c>
      <c r="AN189" s="43" t="str">
        <f t="shared" si="93"/>
        <v/>
      </c>
      <c r="AO189" s="43" t="str">
        <f t="shared" si="93"/>
        <v/>
      </c>
      <c r="AP189" s="43" t="str">
        <f t="shared" si="93"/>
        <v/>
      </c>
      <c r="AQ189" s="43" t="str">
        <f t="shared" si="93"/>
        <v/>
      </c>
      <c r="AR189" s="43" t="str">
        <f t="shared" si="93"/>
        <v/>
      </c>
      <c r="AS189" s="43" t="str">
        <f t="shared" si="93"/>
        <v/>
      </c>
      <c r="AT189" s="43" t="str">
        <f t="shared" si="93"/>
        <v/>
      </c>
      <c r="AU189" s="43" t="str">
        <f t="shared" si="93"/>
        <v/>
      </c>
      <c r="AV189" s="43" t="str">
        <f t="shared" si="94"/>
        <v/>
      </c>
      <c r="AW189" s="43" t="str">
        <f t="shared" si="94"/>
        <v/>
      </c>
      <c r="AX189" s="43" t="str">
        <f t="shared" si="94"/>
        <v/>
      </c>
      <c r="AY189" s="43" t="str">
        <f t="shared" si="94"/>
        <v/>
      </c>
      <c r="AZ189" s="43" t="str">
        <f t="shared" si="94"/>
        <v/>
      </c>
      <c r="BA189" s="43" t="str">
        <f t="shared" si="94"/>
        <v/>
      </c>
      <c r="BB189" s="43"/>
      <c r="BC189" s="43"/>
      <c r="BD189" s="43"/>
      <c r="BE189" s="43"/>
      <c r="BF189" s="43"/>
      <c r="BG189" s="43"/>
      <c r="BW189" s="1250"/>
    </row>
    <row r="190" spans="1:75" x14ac:dyDescent="0.25">
      <c r="A190" s="1251"/>
      <c r="B190" s="462">
        <v>184</v>
      </c>
      <c r="C190" s="462"/>
      <c r="D190" s="1244"/>
      <c r="E190" s="1050"/>
      <c r="F190" s="1244"/>
      <c r="H190" s="43" t="str">
        <f t="shared" si="90"/>
        <v/>
      </c>
      <c r="I190" s="43" t="str">
        <f t="shared" si="90"/>
        <v/>
      </c>
      <c r="J190" s="43" t="str">
        <f t="shared" si="90"/>
        <v/>
      </c>
      <c r="K190" s="43" t="str">
        <f t="shared" si="90"/>
        <v/>
      </c>
      <c r="L190" s="43" t="str">
        <f t="shared" si="90"/>
        <v/>
      </c>
      <c r="M190" s="43" t="str">
        <f t="shared" si="90"/>
        <v/>
      </c>
      <c r="N190" s="43" t="str">
        <f t="shared" si="90"/>
        <v/>
      </c>
      <c r="O190" s="43" t="str">
        <f t="shared" si="90"/>
        <v/>
      </c>
      <c r="P190" s="43" t="str">
        <f t="shared" si="90"/>
        <v/>
      </c>
      <c r="Q190" s="43" t="str">
        <f t="shared" si="90"/>
        <v/>
      </c>
      <c r="R190" s="43" t="str">
        <f t="shared" si="91"/>
        <v/>
      </c>
      <c r="S190" s="43" t="str">
        <f t="shared" si="91"/>
        <v/>
      </c>
      <c r="T190" s="43" t="str">
        <f t="shared" si="91"/>
        <v/>
      </c>
      <c r="U190" s="43" t="str">
        <f t="shared" si="91"/>
        <v/>
      </c>
      <c r="V190" s="43" t="str">
        <f t="shared" si="91"/>
        <v/>
      </c>
      <c r="W190" s="43" t="str">
        <f t="shared" si="91"/>
        <v/>
      </c>
      <c r="X190" s="43" t="str">
        <f t="shared" si="91"/>
        <v/>
      </c>
      <c r="Y190" s="43" t="str">
        <f t="shared" si="91"/>
        <v/>
      </c>
      <c r="Z190" s="43" t="str">
        <f t="shared" si="91"/>
        <v/>
      </c>
      <c r="AA190" s="43" t="str">
        <f t="shared" si="91"/>
        <v/>
      </c>
      <c r="AB190" s="43" t="str">
        <f t="shared" si="92"/>
        <v/>
      </c>
      <c r="AC190" s="43" t="str">
        <f t="shared" si="92"/>
        <v/>
      </c>
      <c r="AD190" s="43" t="str">
        <f t="shared" si="92"/>
        <v/>
      </c>
      <c r="AE190" s="43" t="str">
        <f t="shared" si="92"/>
        <v/>
      </c>
      <c r="AF190" s="43" t="str">
        <f t="shared" si="92"/>
        <v/>
      </c>
      <c r="AG190" s="43" t="str">
        <f t="shared" si="92"/>
        <v/>
      </c>
      <c r="AH190" s="43" t="str">
        <f t="shared" si="92"/>
        <v/>
      </c>
      <c r="AI190" s="43" t="str">
        <f t="shared" si="92"/>
        <v/>
      </c>
      <c r="AJ190" s="43" t="str">
        <f t="shared" si="92"/>
        <v/>
      </c>
      <c r="AK190" s="43" t="str">
        <f t="shared" si="92"/>
        <v/>
      </c>
      <c r="AL190" s="43" t="str">
        <f t="shared" si="93"/>
        <v/>
      </c>
      <c r="AM190" s="43" t="str">
        <f t="shared" si="93"/>
        <v/>
      </c>
      <c r="AN190" s="43" t="str">
        <f t="shared" si="93"/>
        <v/>
      </c>
      <c r="AO190" s="43" t="str">
        <f t="shared" si="93"/>
        <v/>
      </c>
      <c r="AP190" s="43" t="str">
        <f t="shared" si="93"/>
        <v/>
      </c>
      <c r="AQ190" s="43" t="str">
        <f t="shared" si="93"/>
        <v/>
      </c>
      <c r="AR190" s="43" t="str">
        <f t="shared" si="93"/>
        <v/>
      </c>
      <c r="AS190" s="43" t="str">
        <f t="shared" si="93"/>
        <v/>
      </c>
      <c r="AT190" s="43" t="str">
        <f t="shared" si="93"/>
        <v/>
      </c>
      <c r="AU190" s="43" t="str">
        <f t="shared" si="93"/>
        <v/>
      </c>
      <c r="AV190" s="43" t="str">
        <f t="shared" si="94"/>
        <v/>
      </c>
      <c r="AW190" s="43" t="str">
        <f t="shared" si="94"/>
        <v/>
      </c>
      <c r="AX190" s="43" t="str">
        <f t="shared" si="94"/>
        <v/>
      </c>
      <c r="AY190" s="43" t="str">
        <f t="shared" si="94"/>
        <v/>
      </c>
      <c r="AZ190" s="43" t="str">
        <f t="shared" si="94"/>
        <v/>
      </c>
      <c r="BA190" s="43" t="str">
        <f t="shared" si="94"/>
        <v/>
      </c>
      <c r="BB190" s="43"/>
      <c r="BC190" s="43"/>
      <c r="BD190" s="43"/>
      <c r="BE190" s="43"/>
      <c r="BF190" s="43"/>
      <c r="BG190" s="43"/>
      <c r="BW190" s="1250"/>
    </row>
    <row r="191" spans="1:75" x14ac:dyDescent="0.25">
      <c r="A191" s="1251"/>
      <c r="B191" s="462">
        <v>185</v>
      </c>
      <c r="C191" s="462"/>
      <c r="D191" s="1244"/>
      <c r="E191" s="1050"/>
      <c r="F191" s="1244"/>
      <c r="H191" s="43" t="str">
        <f t="shared" si="90"/>
        <v/>
      </c>
      <c r="I191" s="43" t="str">
        <f t="shared" si="90"/>
        <v/>
      </c>
      <c r="J191" s="43" t="str">
        <f t="shared" si="90"/>
        <v/>
      </c>
      <c r="K191" s="43" t="str">
        <f t="shared" si="90"/>
        <v/>
      </c>
      <c r="L191" s="43" t="str">
        <f t="shared" si="90"/>
        <v/>
      </c>
      <c r="M191" s="43" t="str">
        <f t="shared" si="90"/>
        <v/>
      </c>
      <c r="N191" s="43" t="str">
        <f t="shared" si="90"/>
        <v/>
      </c>
      <c r="O191" s="43" t="str">
        <f t="shared" si="90"/>
        <v/>
      </c>
      <c r="P191" s="43" t="str">
        <f t="shared" si="90"/>
        <v/>
      </c>
      <c r="Q191" s="43" t="str">
        <f t="shared" si="90"/>
        <v/>
      </c>
      <c r="R191" s="43" t="str">
        <f t="shared" si="91"/>
        <v/>
      </c>
      <c r="S191" s="43" t="str">
        <f t="shared" si="91"/>
        <v/>
      </c>
      <c r="T191" s="43" t="str">
        <f t="shared" si="91"/>
        <v/>
      </c>
      <c r="U191" s="43" t="str">
        <f t="shared" si="91"/>
        <v/>
      </c>
      <c r="V191" s="43" t="str">
        <f t="shared" si="91"/>
        <v/>
      </c>
      <c r="W191" s="43" t="str">
        <f t="shared" si="91"/>
        <v/>
      </c>
      <c r="X191" s="43" t="str">
        <f t="shared" si="91"/>
        <v/>
      </c>
      <c r="Y191" s="43" t="str">
        <f t="shared" si="91"/>
        <v/>
      </c>
      <c r="Z191" s="43" t="str">
        <f t="shared" si="91"/>
        <v/>
      </c>
      <c r="AA191" s="43" t="str">
        <f t="shared" si="91"/>
        <v/>
      </c>
      <c r="AB191" s="43" t="str">
        <f t="shared" si="92"/>
        <v/>
      </c>
      <c r="AC191" s="43" t="str">
        <f t="shared" si="92"/>
        <v/>
      </c>
      <c r="AD191" s="43" t="str">
        <f t="shared" si="92"/>
        <v/>
      </c>
      <c r="AE191" s="43" t="str">
        <f t="shared" si="92"/>
        <v/>
      </c>
      <c r="AF191" s="43" t="str">
        <f t="shared" si="92"/>
        <v/>
      </c>
      <c r="AG191" s="43" t="str">
        <f t="shared" si="92"/>
        <v/>
      </c>
      <c r="AH191" s="43" t="str">
        <f t="shared" si="92"/>
        <v/>
      </c>
      <c r="AI191" s="43" t="str">
        <f t="shared" si="92"/>
        <v/>
      </c>
      <c r="AJ191" s="43" t="str">
        <f t="shared" si="92"/>
        <v/>
      </c>
      <c r="AK191" s="43" t="str">
        <f t="shared" si="92"/>
        <v/>
      </c>
      <c r="AL191" s="43" t="str">
        <f t="shared" si="93"/>
        <v/>
      </c>
      <c r="AM191" s="43" t="str">
        <f t="shared" si="93"/>
        <v/>
      </c>
      <c r="AN191" s="43" t="str">
        <f t="shared" si="93"/>
        <v/>
      </c>
      <c r="AO191" s="43" t="str">
        <f t="shared" si="93"/>
        <v/>
      </c>
      <c r="AP191" s="43" t="str">
        <f t="shared" si="93"/>
        <v/>
      </c>
      <c r="AQ191" s="43" t="str">
        <f t="shared" si="93"/>
        <v/>
      </c>
      <c r="AR191" s="43" t="str">
        <f t="shared" si="93"/>
        <v/>
      </c>
      <c r="AS191" s="43" t="str">
        <f t="shared" si="93"/>
        <v/>
      </c>
      <c r="AT191" s="43" t="str">
        <f t="shared" si="93"/>
        <v/>
      </c>
      <c r="AU191" s="43" t="str">
        <f t="shared" si="93"/>
        <v/>
      </c>
      <c r="AV191" s="43" t="str">
        <f t="shared" si="94"/>
        <v/>
      </c>
      <c r="AW191" s="43" t="str">
        <f t="shared" si="94"/>
        <v/>
      </c>
      <c r="AX191" s="43" t="str">
        <f t="shared" si="94"/>
        <v/>
      </c>
      <c r="AY191" s="43" t="str">
        <f t="shared" si="94"/>
        <v/>
      </c>
      <c r="AZ191" s="43" t="str">
        <f t="shared" si="94"/>
        <v/>
      </c>
      <c r="BA191" s="43" t="str">
        <f t="shared" si="94"/>
        <v/>
      </c>
      <c r="BB191" s="43"/>
      <c r="BC191" s="43"/>
      <c r="BD191" s="43"/>
      <c r="BE191" s="43"/>
      <c r="BF191" s="43"/>
      <c r="BG191" s="43"/>
      <c r="BW191" s="1250"/>
    </row>
    <row r="192" spans="1:75" x14ac:dyDescent="0.25">
      <c r="A192" s="1251"/>
      <c r="B192" s="462">
        <v>186</v>
      </c>
      <c r="C192" s="462"/>
      <c r="D192" s="1244"/>
      <c r="E192" s="1050"/>
      <c r="F192" s="1244"/>
      <c r="H192" s="43" t="str">
        <f t="shared" si="90"/>
        <v/>
      </c>
      <c r="I192" s="43" t="str">
        <f t="shared" si="90"/>
        <v/>
      </c>
      <c r="J192" s="43" t="str">
        <f t="shared" si="90"/>
        <v/>
      </c>
      <c r="K192" s="43" t="str">
        <f t="shared" si="90"/>
        <v/>
      </c>
      <c r="L192" s="43" t="str">
        <f t="shared" si="90"/>
        <v/>
      </c>
      <c r="M192" s="43" t="str">
        <f t="shared" si="90"/>
        <v/>
      </c>
      <c r="N192" s="43" t="str">
        <f t="shared" si="90"/>
        <v/>
      </c>
      <c r="O192" s="43" t="str">
        <f t="shared" si="90"/>
        <v/>
      </c>
      <c r="P192" s="43" t="str">
        <f t="shared" si="90"/>
        <v/>
      </c>
      <c r="Q192" s="43" t="str">
        <f t="shared" si="90"/>
        <v/>
      </c>
      <c r="R192" s="43" t="str">
        <f t="shared" si="91"/>
        <v/>
      </c>
      <c r="S192" s="43" t="str">
        <f t="shared" si="91"/>
        <v/>
      </c>
      <c r="T192" s="43" t="str">
        <f t="shared" si="91"/>
        <v/>
      </c>
      <c r="U192" s="43" t="str">
        <f t="shared" si="91"/>
        <v/>
      </c>
      <c r="V192" s="43" t="str">
        <f t="shared" si="91"/>
        <v/>
      </c>
      <c r="W192" s="43" t="str">
        <f t="shared" si="91"/>
        <v/>
      </c>
      <c r="X192" s="43" t="str">
        <f t="shared" si="91"/>
        <v/>
      </c>
      <c r="Y192" s="43" t="str">
        <f t="shared" si="91"/>
        <v/>
      </c>
      <c r="Z192" s="43" t="str">
        <f t="shared" si="91"/>
        <v/>
      </c>
      <c r="AA192" s="43" t="str">
        <f t="shared" si="91"/>
        <v/>
      </c>
      <c r="AB192" s="43" t="str">
        <f t="shared" si="92"/>
        <v/>
      </c>
      <c r="AC192" s="43" t="str">
        <f t="shared" si="92"/>
        <v/>
      </c>
      <c r="AD192" s="43" t="str">
        <f t="shared" si="92"/>
        <v/>
      </c>
      <c r="AE192" s="43" t="str">
        <f t="shared" si="92"/>
        <v/>
      </c>
      <c r="AF192" s="43" t="str">
        <f t="shared" si="92"/>
        <v/>
      </c>
      <c r="AG192" s="43" t="str">
        <f t="shared" si="92"/>
        <v/>
      </c>
      <c r="AH192" s="43" t="str">
        <f t="shared" si="92"/>
        <v/>
      </c>
      <c r="AI192" s="43" t="str">
        <f t="shared" si="92"/>
        <v/>
      </c>
      <c r="AJ192" s="43" t="str">
        <f t="shared" si="92"/>
        <v/>
      </c>
      <c r="AK192" s="43" t="str">
        <f t="shared" si="92"/>
        <v/>
      </c>
      <c r="AL192" s="43" t="str">
        <f t="shared" si="93"/>
        <v/>
      </c>
      <c r="AM192" s="43" t="str">
        <f t="shared" si="93"/>
        <v/>
      </c>
      <c r="AN192" s="43" t="str">
        <f t="shared" si="93"/>
        <v/>
      </c>
      <c r="AO192" s="43" t="str">
        <f t="shared" si="93"/>
        <v/>
      </c>
      <c r="AP192" s="43" t="str">
        <f t="shared" si="93"/>
        <v/>
      </c>
      <c r="AQ192" s="43" t="str">
        <f t="shared" si="93"/>
        <v/>
      </c>
      <c r="AR192" s="43" t="str">
        <f t="shared" si="93"/>
        <v/>
      </c>
      <c r="AS192" s="43" t="str">
        <f t="shared" si="93"/>
        <v/>
      </c>
      <c r="AT192" s="43" t="str">
        <f t="shared" si="93"/>
        <v/>
      </c>
      <c r="AU192" s="43" t="str">
        <f t="shared" si="93"/>
        <v/>
      </c>
      <c r="AV192" s="43" t="str">
        <f t="shared" si="94"/>
        <v/>
      </c>
      <c r="AW192" s="43" t="str">
        <f t="shared" si="94"/>
        <v/>
      </c>
      <c r="AX192" s="43" t="str">
        <f t="shared" si="94"/>
        <v/>
      </c>
      <c r="AY192" s="43" t="str">
        <f t="shared" si="94"/>
        <v/>
      </c>
      <c r="AZ192" s="43" t="str">
        <f t="shared" si="94"/>
        <v/>
      </c>
      <c r="BA192" s="43" t="str">
        <f t="shared" si="94"/>
        <v/>
      </c>
      <c r="BB192" s="43"/>
      <c r="BC192" s="43"/>
      <c r="BD192" s="43"/>
      <c r="BE192" s="43"/>
      <c r="BF192" s="43"/>
      <c r="BG192" s="43"/>
      <c r="BW192" s="1250"/>
    </row>
    <row r="193" spans="1:75" x14ac:dyDescent="0.25">
      <c r="A193" s="1251"/>
      <c r="B193" s="462">
        <v>187</v>
      </c>
      <c r="C193" s="462"/>
      <c r="D193" s="1244"/>
      <c r="E193" s="1050"/>
      <c r="F193" s="1244"/>
      <c r="H193" s="43" t="str">
        <f t="shared" si="90"/>
        <v/>
      </c>
      <c r="I193" s="43" t="str">
        <f t="shared" si="90"/>
        <v/>
      </c>
      <c r="J193" s="43" t="str">
        <f t="shared" si="90"/>
        <v/>
      </c>
      <c r="K193" s="43" t="str">
        <f t="shared" si="90"/>
        <v/>
      </c>
      <c r="L193" s="43" t="str">
        <f t="shared" si="90"/>
        <v/>
      </c>
      <c r="M193" s="43" t="str">
        <f t="shared" si="90"/>
        <v/>
      </c>
      <c r="N193" s="43" t="str">
        <f t="shared" si="90"/>
        <v/>
      </c>
      <c r="O193" s="43" t="str">
        <f t="shared" si="90"/>
        <v/>
      </c>
      <c r="P193" s="43" t="str">
        <f t="shared" si="90"/>
        <v/>
      </c>
      <c r="Q193" s="43" t="str">
        <f t="shared" si="90"/>
        <v/>
      </c>
      <c r="R193" s="43" t="str">
        <f t="shared" si="91"/>
        <v/>
      </c>
      <c r="S193" s="43" t="str">
        <f t="shared" si="91"/>
        <v/>
      </c>
      <c r="T193" s="43" t="str">
        <f t="shared" si="91"/>
        <v/>
      </c>
      <c r="U193" s="43" t="str">
        <f t="shared" si="91"/>
        <v/>
      </c>
      <c r="V193" s="43" t="str">
        <f t="shared" si="91"/>
        <v/>
      </c>
      <c r="W193" s="43" t="str">
        <f t="shared" si="91"/>
        <v/>
      </c>
      <c r="X193" s="43" t="str">
        <f t="shared" si="91"/>
        <v/>
      </c>
      <c r="Y193" s="43" t="str">
        <f t="shared" si="91"/>
        <v/>
      </c>
      <c r="Z193" s="43" t="str">
        <f t="shared" si="91"/>
        <v/>
      </c>
      <c r="AA193" s="43" t="str">
        <f t="shared" si="91"/>
        <v/>
      </c>
      <c r="AB193" s="43" t="str">
        <f t="shared" si="92"/>
        <v/>
      </c>
      <c r="AC193" s="43" t="str">
        <f t="shared" si="92"/>
        <v/>
      </c>
      <c r="AD193" s="43" t="str">
        <f t="shared" si="92"/>
        <v/>
      </c>
      <c r="AE193" s="43" t="str">
        <f t="shared" si="92"/>
        <v/>
      </c>
      <c r="AF193" s="43" t="str">
        <f t="shared" si="92"/>
        <v/>
      </c>
      <c r="AG193" s="43" t="str">
        <f t="shared" si="92"/>
        <v/>
      </c>
      <c r="AH193" s="43" t="str">
        <f t="shared" si="92"/>
        <v/>
      </c>
      <c r="AI193" s="43" t="str">
        <f t="shared" si="92"/>
        <v/>
      </c>
      <c r="AJ193" s="43" t="str">
        <f t="shared" si="92"/>
        <v/>
      </c>
      <c r="AK193" s="43" t="str">
        <f t="shared" si="92"/>
        <v/>
      </c>
      <c r="AL193" s="43" t="str">
        <f t="shared" si="93"/>
        <v/>
      </c>
      <c r="AM193" s="43" t="str">
        <f t="shared" si="93"/>
        <v/>
      </c>
      <c r="AN193" s="43" t="str">
        <f t="shared" si="93"/>
        <v/>
      </c>
      <c r="AO193" s="43" t="str">
        <f t="shared" si="93"/>
        <v/>
      </c>
      <c r="AP193" s="43" t="str">
        <f t="shared" si="93"/>
        <v/>
      </c>
      <c r="AQ193" s="43" t="str">
        <f t="shared" si="93"/>
        <v/>
      </c>
      <c r="AR193" s="43" t="str">
        <f t="shared" si="93"/>
        <v/>
      </c>
      <c r="AS193" s="43" t="str">
        <f t="shared" si="93"/>
        <v/>
      </c>
      <c r="AT193" s="43" t="str">
        <f t="shared" si="93"/>
        <v/>
      </c>
      <c r="AU193" s="43" t="str">
        <f t="shared" si="93"/>
        <v/>
      </c>
      <c r="AV193" s="43" t="str">
        <f t="shared" si="94"/>
        <v/>
      </c>
      <c r="AW193" s="43" t="str">
        <f t="shared" si="94"/>
        <v/>
      </c>
      <c r="AX193" s="43" t="str">
        <f t="shared" si="94"/>
        <v/>
      </c>
      <c r="AY193" s="43" t="str">
        <f t="shared" si="94"/>
        <v/>
      </c>
      <c r="AZ193" s="43" t="str">
        <f t="shared" si="94"/>
        <v/>
      </c>
      <c r="BA193" s="43" t="str">
        <f t="shared" si="94"/>
        <v/>
      </c>
      <c r="BB193" s="43"/>
      <c r="BC193" s="43"/>
      <c r="BD193" s="43"/>
      <c r="BE193" s="43"/>
      <c r="BF193" s="43"/>
      <c r="BG193" s="43"/>
      <c r="BW193" s="1250"/>
    </row>
    <row r="194" spans="1:75" x14ac:dyDescent="0.25">
      <c r="A194" s="1251"/>
      <c r="B194" s="462">
        <v>188</v>
      </c>
      <c r="C194" s="462"/>
      <c r="D194" s="1244"/>
      <c r="E194" s="1050"/>
      <c r="F194" s="1244"/>
      <c r="H194" s="43" t="str">
        <f t="shared" si="90"/>
        <v/>
      </c>
      <c r="I194" s="43" t="str">
        <f t="shared" si="90"/>
        <v/>
      </c>
      <c r="J194" s="43" t="str">
        <f t="shared" si="90"/>
        <v/>
      </c>
      <c r="K194" s="43" t="str">
        <f t="shared" si="90"/>
        <v/>
      </c>
      <c r="L194" s="43" t="str">
        <f t="shared" si="90"/>
        <v/>
      </c>
      <c r="M194" s="43" t="str">
        <f t="shared" si="90"/>
        <v/>
      </c>
      <c r="N194" s="43" t="str">
        <f t="shared" si="90"/>
        <v/>
      </c>
      <c r="O194" s="43" t="str">
        <f t="shared" si="90"/>
        <v/>
      </c>
      <c r="P194" s="43" t="str">
        <f t="shared" si="90"/>
        <v/>
      </c>
      <c r="Q194" s="43" t="str">
        <f t="shared" si="90"/>
        <v/>
      </c>
      <c r="R194" s="43" t="str">
        <f t="shared" si="91"/>
        <v/>
      </c>
      <c r="S194" s="43" t="str">
        <f t="shared" si="91"/>
        <v/>
      </c>
      <c r="T194" s="43" t="str">
        <f t="shared" si="91"/>
        <v/>
      </c>
      <c r="U194" s="43" t="str">
        <f t="shared" si="91"/>
        <v/>
      </c>
      <c r="V194" s="43" t="str">
        <f t="shared" si="91"/>
        <v/>
      </c>
      <c r="W194" s="43" t="str">
        <f t="shared" si="91"/>
        <v/>
      </c>
      <c r="X194" s="43" t="str">
        <f t="shared" si="91"/>
        <v/>
      </c>
      <c r="Y194" s="43" t="str">
        <f t="shared" si="91"/>
        <v/>
      </c>
      <c r="Z194" s="43" t="str">
        <f t="shared" si="91"/>
        <v/>
      </c>
      <c r="AA194" s="43" t="str">
        <f t="shared" si="91"/>
        <v/>
      </c>
      <c r="AB194" s="43" t="str">
        <f t="shared" si="92"/>
        <v/>
      </c>
      <c r="AC194" s="43" t="str">
        <f t="shared" si="92"/>
        <v/>
      </c>
      <c r="AD194" s="43" t="str">
        <f t="shared" si="92"/>
        <v/>
      </c>
      <c r="AE194" s="43" t="str">
        <f t="shared" si="92"/>
        <v/>
      </c>
      <c r="AF194" s="43" t="str">
        <f t="shared" si="92"/>
        <v/>
      </c>
      <c r="AG194" s="43" t="str">
        <f t="shared" si="92"/>
        <v/>
      </c>
      <c r="AH194" s="43" t="str">
        <f t="shared" si="92"/>
        <v/>
      </c>
      <c r="AI194" s="43" t="str">
        <f t="shared" si="92"/>
        <v/>
      </c>
      <c r="AJ194" s="43" t="str">
        <f t="shared" si="92"/>
        <v/>
      </c>
      <c r="AK194" s="43" t="str">
        <f t="shared" si="92"/>
        <v/>
      </c>
      <c r="AL194" s="43" t="str">
        <f t="shared" si="93"/>
        <v/>
      </c>
      <c r="AM194" s="43" t="str">
        <f t="shared" si="93"/>
        <v/>
      </c>
      <c r="AN194" s="43" t="str">
        <f t="shared" si="93"/>
        <v/>
      </c>
      <c r="AO194" s="43" t="str">
        <f t="shared" si="93"/>
        <v/>
      </c>
      <c r="AP194" s="43" t="str">
        <f t="shared" si="93"/>
        <v/>
      </c>
      <c r="AQ194" s="43" t="str">
        <f t="shared" si="93"/>
        <v/>
      </c>
      <c r="AR194" s="43" t="str">
        <f t="shared" si="93"/>
        <v/>
      </c>
      <c r="AS194" s="43" t="str">
        <f t="shared" si="93"/>
        <v/>
      </c>
      <c r="AT194" s="43" t="str">
        <f t="shared" si="93"/>
        <v/>
      </c>
      <c r="AU194" s="43" t="str">
        <f t="shared" si="93"/>
        <v/>
      </c>
      <c r="AV194" s="43" t="str">
        <f t="shared" si="94"/>
        <v/>
      </c>
      <c r="AW194" s="43" t="str">
        <f t="shared" si="94"/>
        <v/>
      </c>
      <c r="AX194" s="43" t="str">
        <f t="shared" si="94"/>
        <v/>
      </c>
      <c r="AY194" s="43" t="str">
        <f t="shared" si="94"/>
        <v/>
      </c>
      <c r="AZ194" s="43" t="str">
        <f t="shared" si="94"/>
        <v/>
      </c>
      <c r="BA194" s="43" t="str">
        <f t="shared" si="94"/>
        <v/>
      </c>
      <c r="BB194" s="43"/>
      <c r="BC194" s="43"/>
      <c r="BD194" s="43"/>
      <c r="BE194" s="43"/>
      <c r="BF194" s="43"/>
      <c r="BG194" s="43"/>
      <c r="BW194" s="1250"/>
    </row>
    <row r="195" spans="1:75" x14ac:dyDescent="0.25">
      <c r="A195" s="1251"/>
      <c r="B195" s="462">
        <v>189</v>
      </c>
      <c r="C195" s="462"/>
      <c r="D195" s="1244"/>
      <c r="E195" s="1050"/>
      <c r="F195" s="1244"/>
      <c r="H195" s="43" t="str">
        <f t="shared" si="90"/>
        <v/>
      </c>
      <c r="I195" s="43" t="str">
        <f t="shared" si="90"/>
        <v/>
      </c>
      <c r="J195" s="43" t="str">
        <f t="shared" si="90"/>
        <v/>
      </c>
      <c r="K195" s="43" t="str">
        <f t="shared" si="90"/>
        <v/>
      </c>
      <c r="L195" s="43" t="str">
        <f t="shared" si="90"/>
        <v/>
      </c>
      <c r="M195" s="43" t="str">
        <f t="shared" si="90"/>
        <v/>
      </c>
      <c r="N195" s="43" t="str">
        <f t="shared" si="90"/>
        <v/>
      </c>
      <c r="O195" s="43" t="str">
        <f t="shared" si="90"/>
        <v/>
      </c>
      <c r="P195" s="43" t="str">
        <f t="shared" si="90"/>
        <v/>
      </c>
      <c r="Q195" s="43" t="str">
        <f t="shared" si="90"/>
        <v/>
      </c>
      <c r="R195" s="43" t="str">
        <f t="shared" si="91"/>
        <v/>
      </c>
      <c r="S195" s="43" t="str">
        <f t="shared" si="91"/>
        <v/>
      </c>
      <c r="T195" s="43" t="str">
        <f t="shared" si="91"/>
        <v/>
      </c>
      <c r="U195" s="43" t="str">
        <f t="shared" si="91"/>
        <v/>
      </c>
      <c r="V195" s="43" t="str">
        <f t="shared" si="91"/>
        <v/>
      </c>
      <c r="W195" s="43" t="str">
        <f t="shared" si="91"/>
        <v/>
      </c>
      <c r="X195" s="43" t="str">
        <f t="shared" si="91"/>
        <v/>
      </c>
      <c r="Y195" s="43" t="str">
        <f t="shared" si="91"/>
        <v/>
      </c>
      <c r="Z195" s="43" t="str">
        <f t="shared" si="91"/>
        <v/>
      </c>
      <c r="AA195" s="43" t="str">
        <f t="shared" si="91"/>
        <v/>
      </c>
      <c r="AB195" s="43" t="str">
        <f t="shared" si="92"/>
        <v/>
      </c>
      <c r="AC195" s="43" t="str">
        <f t="shared" si="92"/>
        <v/>
      </c>
      <c r="AD195" s="43" t="str">
        <f t="shared" si="92"/>
        <v/>
      </c>
      <c r="AE195" s="43" t="str">
        <f t="shared" si="92"/>
        <v/>
      </c>
      <c r="AF195" s="43" t="str">
        <f t="shared" si="92"/>
        <v/>
      </c>
      <c r="AG195" s="43" t="str">
        <f t="shared" si="92"/>
        <v/>
      </c>
      <c r="AH195" s="43" t="str">
        <f t="shared" si="92"/>
        <v/>
      </c>
      <c r="AI195" s="43" t="str">
        <f t="shared" si="92"/>
        <v/>
      </c>
      <c r="AJ195" s="43" t="str">
        <f t="shared" si="92"/>
        <v/>
      </c>
      <c r="AK195" s="43" t="str">
        <f t="shared" si="92"/>
        <v/>
      </c>
      <c r="AL195" s="43" t="str">
        <f t="shared" si="93"/>
        <v/>
      </c>
      <c r="AM195" s="43" t="str">
        <f t="shared" si="93"/>
        <v/>
      </c>
      <c r="AN195" s="43" t="str">
        <f t="shared" si="93"/>
        <v/>
      </c>
      <c r="AO195" s="43" t="str">
        <f t="shared" si="93"/>
        <v/>
      </c>
      <c r="AP195" s="43" t="str">
        <f t="shared" si="93"/>
        <v/>
      </c>
      <c r="AQ195" s="43" t="str">
        <f t="shared" si="93"/>
        <v/>
      </c>
      <c r="AR195" s="43" t="str">
        <f t="shared" si="93"/>
        <v/>
      </c>
      <c r="AS195" s="43" t="str">
        <f t="shared" si="93"/>
        <v/>
      </c>
      <c r="AT195" s="43" t="str">
        <f t="shared" si="93"/>
        <v/>
      </c>
      <c r="AU195" s="43" t="str">
        <f t="shared" si="93"/>
        <v/>
      </c>
      <c r="AV195" s="43" t="str">
        <f t="shared" si="94"/>
        <v/>
      </c>
      <c r="AW195" s="43" t="str">
        <f t="shared" si="94"/>
        <v/>
      </c>
      <c r="AX195" s="43" t="str">
        <f t="shared" si="94"/>
        <v/>
      </c>
      <c r="AY195" s="43" t="str">
        <f t="shared" si="94"/>
        <v/>
      </c>
      <c r="AZ195" s="43" t="str">
        <f t="shared" si="94"/>
        <v/>
      </c>
      <c r="BA195" s="43" t="str">
        <f t="shared" si="94"/>
        <v/>
      </c>
      <c r="BB195" s="43"/>
      <c r="BC195" s="43"/>
      <c r="BD195" s="43"/>
      <c r="BE195" s="43"/>
      <c r="BF195" s="43"/>
      <c r="BG195" s="43"/>
      <c r="BW195" s="1250"/>
    </row>
    <row r="196" spans="1:75" x14ac:dyDescent="0.25">
      <c r="A196" s="1251"/>
      <c r="B196" s="462">
        <v>190</v>
      </c>
      <c r="C196" s="462"/>
      <c r="D196" s="1244"/>
      <c r="E196" s="1050"/>
      <c r="F196" s="1244"/>
      <c r="H196" s="43" t="str">
        <f t="shared" si="90"/>
        <v/>
      </c>
      <c r="I196" s="43" t="str">
        <f t="shared" si="90"/>
        <v/>
      </c>
      <c r="J196" s="43" t="str">
        <f t="shared" si="90"/>
        <v/>
      </c>
      <c r="K196" s="43" t="str">
        <f t="shared" si="90"/>
        <v/>
      </c>
      <c r="L196" s="43" t="str">
        <f t="shared" si="90"/>
        <v/>
      </c>
      <c r="M196" s="43" t="str">
        <f t="shared" si="90"/>
        <v/>
      </c>
      <c r="N196" s="43" t="str">
        <f t="shared" si="90"/>
        <v/>
      </c>
      <c r="O196" s="43" t="str">
        <f t="shared" si="90"/>
        <v/>
      </c>
      <c r="P196" s="43" t="str">
        <f t="shared" si="90"/>
        <v/>
      </c>
      <c r="Q196" s="43" t="str">
        <f t="shared" si="90"/>
        <v/>
      </c>
      <c r="R196" s="43" t="str">
        <f t="shared" si="91"/>
        <v/>
      </c>
      <c r="S196" s="43" t="str">
        <f t="shared" si="91"/>
        <v/>
      </c>
      <c r="T196" s="43" t="str">
        <f t="shared" si="91"/>
        <v/>
      </c>
      <c r="U196" s="43" t="str">
        <f t="shared" si="91"/>
        <v/>
      </c>
      <c r="V196" s="43" t="str">
        <f t="shared" si="91"/>
        <v/>
      </c>
      <c r="W196" s="43" t="str">
        <f t="shared" si="91"/>
        <v/>
      </c>
      <c r="X196" s="43" t="str">
        <f t="shared" si="91"/>
        <v/>
      </c>
      <c r="Y196" s="43" t="str">
        <f t="shared" si="91"/>
        <v/>
      </c>
      <c r="Z196" s="43" t="str">
        <f t="shared" si="91"/>
        <v/>
      </c>
      <c r="AA196" s="43" t="str">
        <f t="shared" si="91"/>
        <v/>
      </c>
      <c r="AB196" s="43" t="str">
        <f t="shared" si="92"/>
        <v/>
      </c>
      <c r="AC196" s="43" t="str">
        <f t="shared" si="92"/>
        <v/>
      </c>
      <c r="AD196" s="43" t="str">
        <f t="shared" si="92"/>
        <v/>
      </c>
      <c r="AE196" s="43" t="str">
        <f t="shared" si="92"/>
        <v/>
      </c>
      <c r="AF196" s="43" t="str">
        <f t="shared" si="92"/>
        <v/>
      </c>
      <c r="AG196" s="43" t="str">
        <f t="shared" si="92"/>
        <v/>
      </c>
      <c r="AH196" s="43" t="str">
        <f t="shared" si="92"/>
        <v/>
      </c>
      <c r="AI196" s="43" t="str">
        <f t="shared" si="92"/>
        <v/>
      </c>
      <c r="AJ196" s="43" t="str">
        <f t="shared" si="92"/>
        <v/>
      </c>
      <c r="AK196" s="43" t="str">
        <f t="shared" si="92"/>
        <v/>
      </c>
      <c r="AL196" s="43" t="str">
        <f t="shared" si="93"/>
        <v/>
      </c>
      <c r="AM196" s="43" t="str">
        <f t="shared" si="93"/>
        <v/>
      </c>
      <c r="AN196" s="43" t="str">
        <f t="shared" si="93"/>
        <v/>
      </c>
      <c r="AO196" s="43" t="str">
        <f t="shared" si="93"/>
        <v/>
      </c>
      <c r="AP196" s="43" t="str">
        <f t="shared" si="93"/>
        <v/>
      </c>
      <c r="AQ196" s="43" t="str">
        <f t="shared" si="93"/>
        <v/>
      </c>
      <c r="AR196" s="43" t="str">
        <f t="shared" si="93"/>
        <v/>
      </c>
      <c r="AS196" s="43" t="str">
        <f t="shared" si="93"/>
        <v/>
      </c>
      <c r="AT196" s="43" t="str">
        <f t="shared" si="93"/>
        <v/>
      </c>
      <c r="AU196" s="43" t="str">
        <f t="shared" si="93"/>
        <v/>
      </c>
      <c r="AV196" s="43" t="str">
        <f t="shared" si="94"/>
        <v/>
      </c>
      <c r="AW196" s="43" t="str">
        <f t="shared" si="94"/>
        <v/>
      </c>
      <c r="AX196" s="43" t="str">
        <f t="shared" si="94"/>
        <v/>
      </c>
      <c r="AY196" s="43" t="str">
        <f t="shared" si="94"/>
        <v/>
      </c>
      <c r="AZ196" s="43" t="str">
        <f t="shared" si="94"/>
        <v/>
      </c>
      <c r="BA196" s="43" t="str">
        <f t="shared" si="94"/>
        <v/>
      </c>
      <c r="BB196" s="43"/>
      <c r="BC196" s="43"/>
      <c r="BD196" s="43"/>
      <c r="BE196" s="43"/>
      <c r="BF196" s="43"/>
      <c r="BG196" s="43"/>
      <c r="BW196" s="1250"/>
    </row>
    <row r="197" spans="1:75" x14ac:dyDescent="0.25">
      <c r="A197" s="1251"/>
      <c r="B197" s="462">
        <v>191</v>
      </c>
      <c r="C197" s="462"/>
      <c r="D197" s="1244"/>
      <c r="E197" s="1050"/>
      <c r="F197" s="1244"/>
      <c r="H197" s="43" t="str">
        <f t="shared" ref="H197:Q206" si="95">IF($D197=H$6,$B197&amp;", ","")</f>
        <v/>
      </c>
      <c r="I197" s="43" t="str">
        <f t="shared" si="95"/>
        <v/>
      </c>
      <c r="J197" s="43" t="str">
        <f t="shared" si="95"/>
        <v/>
      </c>
      <c r="K197" s="43" t="str">
        <f t="shared" si="95"/>
        <v/>
      </c>
      <c r="L197" s="43" t="str">
        <f t="shared" si="95"/>
        <v/>
      </c>
      <c r="M197" s="43" t="str">
        <f t="shared" si="95"/>
        <v/>
      </c>
      <c r="N197" s="43" t="str">
        <f t="shared" si="95"/>
        <v/>
      </c>
      <c r="O197" s="43" t="str">
        <f t="shared" si="95"/>
        <v/>
      </c>
      <c r="P197" s="43" t="str">
        <f t="shared" si="95"/>
        <v/>
      </c>
      <c r="Q197" s="43" t="str">
        <f t="shared" si="95"/>
        <v/>
      </c>
      <c r="R197" s="43" t="str">
        <f t="shared" ref="R197:AA206" si="96">IF($D197=R$6,$B197&amp;", ","")</f>
        <v/>
      </c>
      <c r="S197" s="43" t="str">
        <f t="shared" si="96"/>
        <v/>
      </c>
      <c r="T197" s="43" t="str">
        <f t="shared" si="96"/>
        <v/>
      </c>
      <c r="U197" s="43" t="str">
        <f t="shared" si="96"/>
        <v/>
      </c>
      <c r="V197" s="43" t="str">
        <f t="shared" si="96"/>
        <v/>
      </c>
      <c r="W197" s="43" t="str">
        <f t="shared" si="96"/>
        <v/>
      </c>
      <c r="X197" s="43" t="str">
        <f t="shared" si="96"/>
        <v/>
      </c>
      <c r="Y197" s="43" t="str">
        <f t="shared" si="96"/>
        <v/>
      </c>
      <c r="Z197" s="43" t="str">
        <f t="shared" si="96"/>
        <v/>
      </c>
      <c r="AA197" s="43" t="str">
        <f t="shared" si="96"/>
        <v/>
      </c>
      <c r="AB197" s="43" t="str">
        <f t="shared" ref="AB197:AK206" si="97">IF($D197=AB$6,$B197&amp;", ","")</f>
        <v/>
      </c>
      <c r="AC197" s="43" t="str">
        <f t="shared" si="97"/>
        <v/>
      </c>
      <c r="AD197" s="43" t="str">
        <f t="shared" si="97"/>
        <v/>
      </c>
      <c r="AE197" s="43" t="str">
        <f t="shared" si="97"/>
        <v/>
      </c>
      <c r="AF197" s="43" t="str">
        <f t="shared" si="97"/>
        <v/>
      </c>
      <c r="AG197" s="43" t="str">
        <f t="shared" si="97"/>
        <v/>
      </c>
      <c r="AH197" s="43" t="str">
        <f t="shared" si="97"/>
        <v/>
      </c>
      <c r="AI197" s="43" t="str">
        <f t="shared" si="97"/>
        <v/>
      </c>
      <c r="AJ197" s="43" t="str">
        <f t="shared" si="97"/>
        <v/>
      </c>
      <c r="AK197" s="43" t="str">
        <f t="shared" si="97"/>
        <v/>
      </c>
      <c r="AL197" s="43" t="str">
        <f t="shared" ref="AL197:AU206" si="98">IF($D197=AL$6,$B197&amp;", ","")</f>
        <v/>
      </c>
      <c r="AM197" s="43" t="str">
        <f t="shared" si="98"/>
        <v/>
      </c>
      <c r="AN197" s="43" t="str">
        <f t="shared" si="98"/>
        <v/>
      </c>
      <c r="AO197" s="43" t="str">
        <f t="shared" si="98"/>
        <v/>
      </c>
      <c r="AP197" s="43" t="str">
        <f t="shared" si="98"/>
        <v/>
      </c>
      <c r="AQ197" s="43" t="str">
        <f t="shared" si="98"/>
        <v/>
      </c>
      <c r="AR197" s="43" t="str">
        <f t="shared" si="98"/>
        <v/>
      </c>
      <c r="AS197" s="43" t="str">
        <f t="shared" si="98"/>
        <v/>
      </c>
      <c r="AT197" s="43" t="str">
        <f t="shared" si="98"/>
        <v/>
      </c>
      <c r="AU197" s="43" t="str">
        <f t="shared" si="98"/>
        <v/>
      </c>
      <c r="AV197" s="43" t="str">
        <f t="shared" ref="AV197:BA206" si="99">IF($D197=AV$6,$B197&amp;", ","")</f>
        <v/>
      </c>
      <c r="AW197" s="43" t="str">
        <f t="shared" si="99"/>
        <v/>
      </c>
      <c r="AX197" s="43" t="str">
        <f t="shared" si="99"/>
        <v/>
      </c>
      <c r="AY197" s="43" t="str">
        <f t="shared" si="99"/>
        <v/>
      </c>
      <c r="AZ197" s="43" t="str">
        <f t="shared" si="99"/>
        <v/>
      </c>
      <c r="BA197" s="43" t="str">
        <f t="shared" si="99"/>
        <v/>
      </c>
      <c r="BB197" s="43"/>
      <c r="BC197" s="43"/>
      <c r="BD197" s="43"/>
      <c r="BE197" s="43"/>
      <c r="BF197" s="43"/>
      <c r="BG197" s="43"/>
      <c r="BW197" s="1250"/>
    </row>
    <row r="198" spans="1:75" x14ac:dyDescent="0.25">
      <c r="A198" s="1251"/>
      <c r="B198" s="462">
        <v>192</v>
      </c>
      <c r="C198" s="462"/>
      <c r="D198" s="1244"/>
      <c r="E198" s="1050"/>
      <c r="F198" s="1244"/>
      <c r="H198" s="43" t="str">
        <f t="shared" si="95"/>
        <v/>
      </c>
      <c r="I198" s="43" t="str">
        <f t="shared" si="95"/>
        <v/>
      </c>
      <c r="J198" s="43" t="str">
        <f t="shared" si="95"/>
        <v/>
      </c>
      <c r="K198" s="43" t="str">
        <f t="shared" si="95"/>
        <v/>
      </c>
      <c r="L198" s="43" t="str">
        <f t="shared" si="95"/>
        <v/>
      </c>
      <c r="M198" s="43" t="str">
        <f t="shared" si="95"/>
        <v/>
      </c>
      <c r="N198" s="43" t="str">
        <f t="shared" si="95"/>
        <v/>
      </c>
      <c r="O198" s="43" t="str">
        <f t="shared" si="95"/>
        <v/>
      </c>
      <c r="P198" s="43" t="str">
        <f t="shared" si="95"/>
        <v/>
      </c>
      <c r="Q198" s="43" t="str">
        <f t="shared" si="95"/>
        <v/>
      </c>
      <c r="R198" s="43" t="str">
        <f t="shared" si="96"/>
        <v/>
      </c>
      <c r="S198" s="43" t="str">
        <f t="shared" si="96"/>
        <v/>
      </c>
      <c r="T198" s="43" t="str">
        <f t="shared" si="96"/>
        <v/>
      </c>
      <c r="U198" s="43" t="str">
        <f t="shared" si="96"/>
        <v/>
      </c>
      <c r="V198" s="43" t="str">
        <f t="shared" si="96"/>
        <v/>
      </c>
      <c r="W198" s="43" t="str">
        <f t="shared" si="96"/>
        <v/>
      </c>
      <c r="X198" s="43" t="str">
        <f t="shared" si="96"/>
        <v/>
      </c>
      <c r="Y198" s="43" t="str">
        <f t="shared" si="96"/>
        <v/>
      </c>
      <c r="Z198" s="43" t="str">
        <f t="shared" si="96"/>
        <v/>
      </c>
      <c r="AA198" s="43" t="str">
        <f t="shared" si="96"/>
        <v/>
      </c>
      <c r="AB198" s="43" t="str">
        <f t="shared" si="97"/>
        <v/>
      </c>
      <c r="AC198" s="43" t="str">
        <f t="shared" si="97"/>
        <v/>
      </c>
      <c r="AD198" s="43" t="str">
        <f t="shared" si="97"/>
        <v/>
      </c>
      <c r="AE198" s="43" t="str">
        <f t="shared" si="97"/>
        <v/>
      </c>
      <c r="AF198" s="43" t="str">
        <f t="shared" si="97"/>
        <v/>
      </c>
      <c r="AG198" s="43" t="str">
        <f t="shared" si="97"/>
        <v/>
      </c>
      <c r="AH198" s="43" t="str">
        <f t="shared" si="97"/>
        <v/>
      </c>
      <c r="AI198" s="43" t="str">
        <f t="shared" si="97"/>
        <v/>
      </c>
      <c r="AJ198" s="43" t="str">
        <f t="shared" si="97"/>
        <v/>
      </c>
      <c r="AK198" s="43" t="str">
        <f t="shared" si="97"/>
        <v/>
      </c>
      <c r="AL198" s="43" t="str">
        <f t="shared" si="98"/>
        <v/>
      </c>
      <c r="AM198" s="43" t="str">
        <f t="shared" si="98"/>
        <v/>
      </c>
      <c r="AN198" s="43" t="str">
        <f t="shared" si="98"/>
        <v/>
      </c>
      <c r="AO198" s="43" t="str">
        <f t="shared" si="98"/>
        <v/>
      </c>
      <c r="AP198" s="43" t="str">
        <f t="shared" si="98"/>
        <v/>
      </c>
      <c r="AQ198" s="43" t="str">
        <f t="shared" si="98"/>
        <v/>
      </c>
      <c r="AR198" s="43" t="str">
        <f t="shared" si="98"/>
        <v/>
      </c>
      <c r="AS198" s="43" t="str">
        <f t="shared" si="98"/>
        <v/>
      </c>
      <c r="AT198" s="43" t="str">
        <f t="shared" si="98"/>
        <v/>
      </c>
      <c r="AU198" s="43" t="str">
        <f t="shared" si="98"/>
        <v/>
      </c>
      <c r="AV198" s="43" t="str">
        <f t="shared" si="99"/>
        <v/>
      </c>
      <c r="AW198" s="43" t="str">
        <f t="shared" si="99"/>
        <v/>
      </c>
      <c r="AX198" s="43" t="str">
        <f t="shared" si="99"/>
        <v/>
      </c>
      <c r="AY198" s="43" t="str">
        <f t="shared" si="99"/>
        <v/>
      </c>
      <c r="AZ198" s="43" t="str">
        <f t="shared" si="99"/>
        <v/>
      </c>
      <c r="BA198" s="43" t="str">
        <f t="shared" si="99"/>
        <v/>
      </c>
      <c r="BB198" s="43"/>
      <c r="BC198" s="43"/>
      <c r="BD198" s="43"/>
      <c r="BE198" s="43"/>
      <c r="BF198" s="43"/>
      <c r="BG198" s="43"/>
      <c r="BW198" s="1250"/>
    </row>
    <row r="199" spans="1:75" x14ac:dyDescent="0.25">
      <c r="A199" s="1251"/>
      <c r="B199" s="462">
        <v>193</v>
      </c>
      <c r="C199" s="462"/>
      <c r="D199" s="1244"/>
      <c r="E199" s="1050"/>
      <c r="F199" s="1244"/>
      <c r="H199" s="43" t="str">
        <f t="shared" si="95"/>
        <v/>
      </c>
      <c r="I199" s="43" t="str">
        <f t="shared" si="95"/>
        <v/>
      </c>
      <c r="J199" s="43" t="str">
        <f t="shared" si="95"/>
        <v/>
      </c>
      <c r="K199" s="43" t="str">
        <f t="shared" si="95"/>
        <v/>
      </c>
      <c r="L199" s="43" t="str">
        <f t="shared" si="95"/>
        <v/>
      </c>
      <c r="M199" s="43" t="str">
        <f t="shared" si="95"/>
        <v/>
      </c>
      <c r="N199" s="43" t="str">
        <f t="shared" si="95"/>
        <v/>
      </c>
      <c r="O199" s="43" t="str">
        <f t="shared" si="95"/>
        <v/>
      </c>
      <c r="P199" s="43" t="str">
        <f t="shared" si="95"/>
        <v/>
      </c>
      <c r="Q199" s="43" t="str">
        <f t="shared" si="95"/>
        <v/>
      </c>
      <c r="R199" s="43" t="str">
        <f t="shared" si="96"/>
        <v/>
      </c>
      <c r="S199" s="43" t="str">
        <f t="shared" si="96"/>
        <v/>
      </c>
      <c r="T199" s="43" t="str">
        <f t="shared" si="96"/>
        <v/>
      </c>
      <c r="U199" s="43" t="str">
        <f t="shared" si="96"/>
        <v/>
      </c>
      <c r="V199" s="43" t="str">
        <f t="shared" si="96"/>
        <v/>
      </c>
      <c r="W199" s="43" t="str">
        <f t="shared" si="96"/>
        <v/>
      </c>
      <c r="X199" s="43" t="str">
        <f t="shared" si="96"/>
        <v/>
      </c>
      <c r="Y199" s="43" t="str">
        <f t="shared" si="96"/>
        <v/>
      </c>
      <c r="Z199" s="43" t="str">
        <f t="shared" si="96"/>
        <v/>
      </c>
      <c r="AA199" s="43" t="str">
        <f t="shared" si="96"/>
        <v/>
      </c>
      <c r="AB199" s="43" t="str">
        <f t="shared" si="97"/>
        <v/>
      </c>
      <c r="AC199" s="43" t="str">
        <f t="shared" si="97"/>
        <v/>
      </c>
      <c r="AD199" s="43" t="str">
        <f t="shared" si="97"/>
        <v/>
      </c>
      <c r="AE199" s="43" t="str">
        <f t="shared" si="97"/>
        <v/>
      </c>
      <c r="AF199" s="43" t="str">
        <f t="shared" si="97"/>
        <v/>
      </c>
      <c r="AG199" s="43" t="str">
        <f t="shared" si="97"/>
        <v/>
      </c>
      <c r="AH199" s="43" t="str">
        <f t="shared" si="97"/>
        <v/>
      </c>
      <c r="AI199" s="43" t="str">
        <f t="shared" si="97"/>
        <v/>
      </c>
      <c r="AJ199" s="43" t="str">
        <f t="shared" si="97"/>
        <v/>
      </c>
      <c r="AK199" s="43" t="str">
        <f t="shared" si="97"/>
        <v/>
      </c>
      <c r="AL199" s="43" t="str">
        <f t="shared" si="98"/>
        <v/>
      </c>
      <c r="AM199" s="43" t="str">
        <f t="shared" si="98"/>
        <v/>
      </c>
      <c r="AN199" s="43" t="str">
        <f t="shared" si="98"/>
        <v/>
      </c>
      <c r="AO199" s="43" t="str">
        <f t="shared" si="98"/>
        <v/>
      </c>
      <c r="AP199" s="43" t="str">
        <f t="shared" si="98"/>
        <v/>
      </c>
      <c r="AQ199" s="43" t="str">
        <f t="shared" si="98"/>
        <v/>
      </c>
      <c r="AR199" s="43" t="str">
        <f t="shared" si="98"/>
        <v/>
      </c>
      <c r="AS199" s="43" t="str">
        <f t="shared" si="98"/>
        <v/>
      </c>
      <c r="AT199" s="43" t="str">
        <f t="shared" si="98"/>
        <v/>
      </c>
      <c r="AU199" s="43" t="str">
        <f t="shared" si="98"/>
        <v/>
      </c>
      <c r="AV199" s="43" t="str">
        <f t="shared" si="99"/>
        <v/>
      </c>
      <c r="AW199" s="43" t="str">
        <f t="shared" si="99"/>
        <v/>
      </c>
      <c r="AX199" s="43" t="str">
        <f t="shared" si="99"/>
        <v/>
      </c>
      <c r="AY199" s="43" t="str">
        <f t="shared" si="99"/>
        <v/>
      </c>
      <c r="AZ199" s="43" t="str">
        <f t="shared" si="99"/>
        <v/>
      </c>
      <c r="BA199" s="43" t="str">
        <f t="shared" si="99"/>
        <v/>
      </c>
      <c r="BB199" s="43"/>
      <c r="BC199" s="43"/>
      <c r="BD199" s="43"/>
      <c r="BE199" s="43"/>
      <c r="BF199" s="43"/>
      <c r="BG199" s="43"/>
      <c r="BW199" s="1250"/>
    </row>
    <row r="200" spans="1:75" x14ac:dyDescent="0.25">
      <c r="A200" s="1251"/>
      <c r="B200" s="462">
        <v>194</v>
      </c>
      <c r="C200" s="462"/>
      <c r="D200" s="1244"/>
      <c r="E200" s="1050"/>
      <c r="F200" s="1244"/>
      <c r="H200" s="43" t="str">
        <f t="shared" si="95"/>
        <v/>
      </c>
      <c r="I200" s="43" t="str">
        <f t="shared" si="95"/>
        <v/>
      </c>
      <c r="J200" s="43" t="str">
        <f t="shared" si="95"/>
        <v/>
      </c>
      <c r="K200" s="43" t="str">
        <f t="shared" si="95"/>
        <v/>
      </c>
      <c r="L200" s="43" t="str">
        <f t="shared" si="95"/>
        <v/>
      </c>
      <c r="M200" s="43" t="str">
        <f t="shared" si="95"/>
        <v/>
      </c>
      <c r="N200" s="43" t="str">
        <f t="shared" si="95"/>
        <v/>
      </c>
      <c r="O200" s="43" t="str">
        <f t="shared" si="95"/>
        <v/>
      </c>
      <c r="P200" s="43" t="str">
        <f t="shared" si="95"/>
        <v/>
      </c>
      <c r="Q200" s="43" t="str">
        <f t="shared" si="95"/>
        <v/>
      </c>
      <c r="R200" s="43" t="str">
        <f t="shared" si="96"/>
        <v/>
      </c>
      <c r="S200" s="43" t="str">
        <f t="shared" si="96"/>
        <v/>
      </c>
      <c r="T200" s="43" t="str">
        <f t="shared" si="96"/>
        <v/>
      </c>
      <c r="U200" s="43" t="str">
        <f t="shared" si="96"/>
        <v/>
      </c>
      <c r="V200" s="43" t="str">
        <f t="shared" si="96"/>
        <v/>
      </c>
      <c r="W200" s="43" t="str">
        <f t="shared" si="96"/>
        <v/>
      </c>
      <c r="X200" s="43" t="str">
        <f t="shared" si="96"/>
        <v/>
      </c>
      <c r="Y200" s="43" t="str">
        <f t="shared" si="96"/>
        <v/>
      </c>
      <c r="Z200" s="43" t="str">
        <f t="shared" si="96"/>
        <v/>
      </c>
      <c r="AA200" s="43" t="str">
        <f t="shared" si="96"/>
        <v/>
      </c>
      <c r="AB200" s="43" t="str">
        <f t="shared" si="97"/>
        <v/>
      </c>
      <c r="AC200" s="43" t="str">
        <f t="shared" si="97"/>
        <v/>
      </c>
      <c r="AD200" s="43" t="str">
        <f t="shared" si="97"/>
        <v/>
      </c>
      <c r="AE200" s="43" t="str">
        <f t="shared" si="97"/>
        <v/>
      </c>
      <c r="AF200" s="43" t="str">
        <f t="shared" si="97"/>
        <v/>
      </c>
      <c r="AG200" s="43" t="str">
        <f t="shared" si="97"/>
        <v/>
      </c>
      <c r="AH200" s="43" t="str">
        <f t="shared" si="97"/>
        <v/>
      </c>
      <c r="AI200" s="43" t="str">
        <f t="shared" si="97"/>
        <v/>
      </c>
      <c r="AJ200" s="43" t="str">
        <f t="shared" si="97"/>
        <v/>
      </c>
      <c r="AK200" s="43" t="str">
        <f t="shared" si="97"/>
        <v/>
      </c>
      <c r="AL200" s="43" t="str">
        <f t="shared" si="98"/>
        <v/>
      </c>
      <c r="AM200" s="43" t="str">
        <f t="shared" si="98"/>
        <v/>
      </c>
      <c r="AN200" s="43" t="str">
        <f t="shared" si="98"/>
        <v/>
      </c>
      <c r="AO200" s="43" t="str">
        <f t="shared" si="98"/>
        <v/>
      </c>
      <c r="AP200" s="43" t="str">
        <f t="shared" si="98"/>
        <v/>
      </c>
      <c r="AQ200" s="43" t="str">
        <f t="shared" si="98"/>
        <v/>
      </c>
      <c r="AR200" s="43" t="str">
        <f t="shared" si="98"/>
        <v/>
      </c>
      <c r="AS200" s="43" t="str">
        <f t="shared" si="98"/>
        <v/>
      </c>
      <c r="AT200" s="43" t="str">
        <f t="shared" si="98"/>
        <v/>
      </c>
      <c r="AU200" s="43" t="str">
        <f t="shared" si="98"/>
        <v/>
      </c>
      <c r="AV200" s="43" t="str">
        <f t="shared" si="99"/>
        <v/>
      </c>
      <c r="AW200" s="43" t="str">
        <f t="shared" si="99"/>
        <v/>
      </c>
      <c r="AX200" s="43" t="str">
        <f t="shared" si="99"/>
        <v/>
      </c>
      <c r="AY200" s="43" t="str">
        <f t="shared" si="99"/>
        <v/>
      </c>
      <c r="AZ200" s="43" t="str">
        <f t="shared" si="99"/>
        <v/>
      </c>
      <c r="BA200" s="43" t="str">
        <f t="shared" si="99"/>
        <v/>
      </c>
      <c r="BB200" s="43"/>
      <c r="BC200" s="43"/>
      <c r="BD200" s="43"/>
      <c r="BE200" s="43"/>
      <c r="BF200" s="43"/>
      <c r="BG200" s="43"/>
      <c r="BW200" s="1250"/>
    </row>
    <row r="201" spans="1:75" x14ac:dyDescent="0.25">
      <c r="A201" s="1251"/>
      <c r="B201" s="462">
        <v>195</v>
      </c>
      <c r="C201" s="462"/>
      <c r="D201" s="1244"/>
      <c r="E201" s="1050"/>
      <c r="F201" s="1244"/>
      <c r="H201" s="43" t="str">
        <f t="shared" si="95"/>
        <v/>
      </c>
      <c r="I201" s="43" t="str">
        <f t="shared" si="95"/>
        <v/>
      </c>
      <c r="J201" s="43" t="str">
        <f t="shared" si="95"/>
        <v/>
      </c>
      <c r="K201" s="43" t="str">
        <f t="shared" si="95"/>
        <v/>
      </c>
      <c r="L201" s="43" t="str">
        <f t="shared" si="95"/>
        <v/>
      </c>
      <c r="M201" s="43" t="str">
        <f t="shared" si="95"/>
        <v/>
      </c>
      <c r="N201" s="43" t="str">
        <f t="shared" si="95"/>
        <v/>
      </c>
      <c r="O201" s="43" t="str">
        <f t="shared" si="95"/>
        <v/>
      </c>
      <c r="P201" s="43" t="str">
        <f t="shared" si="95"/>
        <v/>
      </c>
      <c r="Q201" s="43" t="str">
        <f t="shared" si="95"/>
        <v/>
      </c>
      <c r="R201" s="43" t="str">
        <f t="shared" si="96"/>
        <v/>
      </c>
      <c r="S201" s="43" t="str">
        <f t="shared" si="96"/>
        <v/>
      </c>
      <c r="T201" s="43" t="str">
        <f t="shared" si="96"/>
        <v/>
      </c>
      <c r="U201" s="43" t="str">
        <f t="shared" si="96"/>
        <v/>
      </c>
      <c r="V201" s="43" t="str">
        <f t="shared" si="96"/>
        <v/>
      </c>
      <c r="W201" s="43" t="str">
        <f t="shared" si="96"/>
        <v/>
      </c>
      <c r="X201" s="43" t="str">
        <f t="shared" si="96"/>
        <v/>
      </c>
      <c r="Y201" s="43" t="str">
        <f t="shared" si="96"/>
        <v/>
      </c>
      <c r="Z201" s="43" t="str">
        <f t="shared" si="96"/>
        <v/>
      </c>
      <c r="AA201" s="43" t="str">
        <f t="shared" si="96"/>
        <v/>
      </c>
      <c r="AB201" s="43" t="str">
        <f t="shared" si="97"/>
        <v/>
      </c>
      <c r="AC201" s="43" t="str">
        <f t="shared" si="97"/>
        <v/>
      </c>
      <c r="AD201" s="43" t="str">
        <f t="shared" si="97"/>
        <v/>
      </c>
      <c r="AE201" s="43" t="str">
        <f t="shared" si="97"/>
        <v/>
      </c>
      <c r="AF201" s="43" t="str">
        <f t="shared" si="97"/>
        <v/>
      </c>
      <c r="AG201" s="43" t="str">
        <f t="shared" si="97"/>
        <v/>
      </c>
      <c r="AH201" s="43" t="str">
        <f t="shared" si="97"/>
        <v/>
      </c>
      <c r="AI201" s="43" t="str">
        <f t="shared" si="97"/>
        <v/>
      </c>
      <c r="AJ201" s="43" t="str">
        <f t="shared" si="97"/>
        <v/>
      </c>
      <c r="AK201" s="43" t="str">
        <f t="shared" si="97"/>
        <v/>
      </c>
      <c r="AL201" s="43" t="str">
        <f t="shared" si="98"/>
        <v/>
      </c>
      <c r="AM201" s="43" t="str">
        <f t="shared" si="98"/>
        <v/>
      </c>
      <c r="AN201" s="43" t="str">
        <f t="shared" si="98"/>
        <v/>
      </c>
      <c r="AO201" s="43" t="str">
        <f t="shared" si="98"/>
        <v/>
      </c>
      <c r="AP201" s="43" t="str">
        <f t="shared" si="98"/>
        <v/>
      </c>
      <c r="AQ201" s="43" t="str">
        <f t="shared" si="98"/>
        <v/>
      </c>
      <c r="AR201" s="43" t="str">
        <f t="shared" si="98"/>
        <v/>
      </c>
      <c r="AS201" s="43" t="str">
        <f t="shared" si="98"/>
        <v/>
      </c>
      <c r="AT201" s="43" t="str">
        <f t="shared" si="98"/>
        <v/>
      </c>
      <c r="AU201" s="43" t="str">
        <f t="shared" si="98"/>
        <v/>
      </c>
      <c r="AV201" s="43" t="str">
        <f t="shared" si="99"/>
        <v/>
      </c>
      <c r="AW201" s="43" t="str">
        <f t="shared" si="99"/>
        <v/>
      </c>
      <c r="AX201" s="43" t="str">
        <f t="shared" si="99"/>
        <v/>
      </c>
      <c r="AY201" s="43" t="str">
        <f t="shared" si="99"/>
        <v/>
      </c>
      <c r="AZ201" s="43" t="str">
        <f t="shared" si="99"/>
        <v/>
      </c>
      <c r="BA201" s="43" t="str">
        <f t="shared" si="99"/>
        <v/>
      </c>
      <c r="BB201" s="43"/>
      <c r="BC201" s="43"/>
      <c r="BD201" s="43"/>
      <c r="BE201" s="43"/>
      <c r="BF201" s="43"/>
      <c r="BG201" s="43"/>
      <c r="BW201" s="1250"/>
    </row>
    <row r="202" spans="1:75" x14ac:dyDescent="0.25">
      <c r="A202" s="1251"/>
      <c r="B202" s="462">
        <v>196</v>
      </c>
      <c r="C202" s="462"/>
      <c r="D202" s="1244"/>
      <c r="E202" s="1050"/>
      <c r="F202" s="1244"/>
      <c r="H202" s="43" t="str">
        <f t="shared" si="95"/>
        <v/>
      </c>
      <c r="I202" s="43" t="str">
        <f t="shared" si="95"/>
        <v/>
      </c>
      <c r="J202" s="43" t="str">
        <f t="shared" si="95"/>
        <v/>
      </c>
      <c r="K202" s="43" t="str">
        <f t="shared" si="95"/>
        <v/>
      </c>
      <c r="L202" s="43" t="str">
        <f t="shared" si="95"/>
        <v/>
      </c>
      <c r="M202" s="43" t="str">
        <f t="shared" si="95"/>
        <v/>
      </c>
      <c r="N202" s="43" t="str">
        <f t="shared" si="95"/>
        <v/>
      </c>
      <c r="O202" s="43" t="str">
        <f t="shared" si="95"/>
        <v/>
      </c>
      <c r="P202" s="43" t="str">
        <f t="shared" si="95"/>
        <v/>
      </c>
      <c r="Q202" s="43" t="str">
        <f t="shared" si="95"/>
        <v/>
      </c>
      <c r="R202" s="43" t="str">
        <f t="shared" si="96"/>
        <v/>
      </c>
      <c r="S202" s="43" t="str">
        <f t="shared" si="96"/>
        <v/>
      </c>
      <c r="T202" s="43" t="str">
        <f t="shared" si="96"/>
        <v/>
      </c>
      <c r="U202" s="43" t="str">
        <f t="shared" si="96"/>
        <v/>
      </c>
      <c r="V202" s="43" t="str">
        <f t="shared" si="96"/>
        <v/>
      </c>
      <c r="W202" s="43" t="str">
        <f t="shared" si="96"/>
        <v/>
      </c>
      <c r="X202" s="43" t="str">
        <f t="shared" si="96"/>
        <v/>
      </c>
      <c r="Y202" s="43" t="str">
        <f t="shared" si="96"/>
        <v/>
      </c>
      <c r="Z202" s="43" t="str">
        <f t="shared" si="96"/>
        <v/>
      </c>
      <c r="AA202" s="43" t="str">
        <f t="shared" si="96"/>
        <v/>
      </c>
      <c r="AB202" s="43" t="str">
        <f t="shared" si="97"/>
        <v/>
      </c>
      <c r="AC202" s="43" t="str">
        <f t="shared" si="97"/>
        <v/>
      </c>
      <c r="AD202" s="43" t="str">
        <f t="shared" si="97"/>
        <v/>
      </c>
      <c r="AE202" s="43" t="str">
        <f t="shared" si="97"/>
        <v/>
      </c>
      <c r="AF202" s="43" t="str">
        <f t="shared" si="97"/>
        <v/>
      </c>
      <c r="AG202" s="43" t="str">
        <f t="shared" si="97"/>
        <v/>
      </c>
      <c r="AH202" s="43" t="str">
        <f t="shared" si="97"/>
        <v/>
      </c>
      <c r="AI202" s="43" t="str">
        <f t="shared" si="97"/>
        <v/>
      </c>
      <c r="AJ202" s="43" t="str">
        <f t="shared" si="97"/>
        <v/>
      </c>
      <c r="AK202" s="43" t="str">
        <f t="shared" si="97"/>
        <v/>
      </c>
      <c r="AL202" s="43" t="str">
        <f t="shared" si="98"/>
        <v/>
      </c>
      <c r="AM202" s="43" t="str">
        <f t="shared" si="98"/>
        <v/>
      </c>
      <c r="AN202" s="43" t="str">
        <f t="shared" si="98"/>
        <v/>
      </c>
      <c r="AO202" s="43" t="str">
        <f t="shared" si="98"/>
        <v/>
      </c>
      <c r="AP202" s="43" t="str">
        <f t="shared" si="98"/>
        <v/>
      </c>
      <c r="AQ202" s="43" t="str">
        <f t="shared" si="98"/>
        <v/>
      </c>
      <c r="AR202" s="43" t="str">
        <f t="shared" si="98"/>
        <v/>
      </c>
      <c r="AS202" s="43" t="str">
        <f t="shared" si="98"/>
        <v/>
      </c>
      <c r="AT202" s="43" t="str">
        <f t="shared" si="98"/>
        <v/>
      </c>
      <c r="AU202" s="43" t="str">
        <f t="shared" si="98"/>
        <v/>
      </c>
      <c r="AV202" s="43" t="str">
        <f t="shared" si="99"/>
        <v/>
      </c>
      <c r="AW202" s="43" t="str">
        <f t="shared" si="99"/>
        <v/>
      </c>
      <c r="AX202" s="43" t="str">
        <f t="shared" si="99"/>
        <v/>
      </c>
      <c r="AY202" s="43" t="str">
        <f t="shared" si="99"/>
        <v/>
      </c>
      <c r="AZ202" s="43" t="str">
        <f t="shared" si="99"/>
        <v/>
      </c>
      <c r="BA202" s="43" t="str">
        <f t="shared" si="99"/>
        <v/>
      </c>
      <c r="BB202" s="43"/>
      <c r="BC202" s="43"/>
      <c r="BD202" s="43"/>
      <c r="BE202" s="43"/>
      <c r="BF202" s="43"/>
      <c r="BG202" s="43"/>
      <c r="BW202" s="1250"/>
    </row>
    <row r="203" spans="1:75" x14ac:dyDescent="0.25">
      <c r="A203" s="1251"/>
      <c r="B203" s="462">
        <v>197</v>
      </c>
      <c r="C203" s="462"/>
      <c r="D203" s="1244"/>
      <c r="E203" s="1050"/>
      <c r="F203" s="1244"/>
      <c r="H203" s="43" t="str">
        <f t="shared" si="95"/>
        <v/>
      </c>
      <c r="I203" s="43" t="str">
        <f t="shared" si="95"/>
        <v/>
      </c>
      <c r="J203" s="43" t="str">
        <f t="shared" si="95"/>
        <v/>
      </c>
      <c r="K203" s="43" t="str">
        <f t="shared" si="95"/>
        <v/>
      </c>
      <c r="L203" s="43" t="str">
        <f t="shared" si="95"/>
        <v/>
      </c>
      <c r="M203" s="43" t="str">
        <f t="shared" si="95"/>
        <v/>
      </c>
      <c r="N203" s="43" t="str">
        <f t="shared" si="95"/>
        <v/>
      </c>
      <c r="O203" s="43" t="str">
        <f t="shared" si="95"/>
        <v/>
      </c>
      <c r="P203" s="43" t="str">
        <f t="shared" si="95"/>
        <v/>
      </c>
      <c r="Q203" s="43" t="str">
        <f t="shared" si="95"/>
        <v/>
      </c>
      <c r="R203" s="43" t="str">
        <f t="shared" si="96"/>
        <v/>
      </c>
      <c r="S203" s="43" t="str">
        <f t="shared" si="96"/>
        <v/>
      </c>
      <c r="T203" s="43" t="str">
        <f t="shared" si="96"/>
        <v/>
      </c>
      <c r="U203" s="43" t="str">
        <f t="shared" si="96"/>
        <v/>
      </c>
      <c r="V203" s="43" t="str">
        <f t="shared" si="96"/>
        <v/>
      </c>
      <c r="W203" s="43" t="str">
        <f t="shared" si="96"/>
        <v/>
      </c>
      <c r="X203" s="43" t="str">
        <f t="shared" si="96"/>
        <v/>
      </c>
      <c r="Y203" s="43" t="str">
        <f t="shared" si="96"/>
        <v/>
      </c>
      <c r="Z203" s="43" t="str">
        <f t="shared" si="96"/>
        <v/>
      </c>
      <c r="AA203" s="43" t="str">
        <f t="shared" si="96"/>
        <v/>
      </c>
      <c r="AB203" s="43" t="str">
        <f t="shared" si="97"/>
        <v/>
      </c>
      <c r="AC203" s="43" t="str">
        <f t="shared" si="97"/>
        <v/>
      </c>
      <c r="AD203" s="43" t="str">
        <f t="shared" si="97"/>
        <v/>
      </c>
      <c r="AE203" s="43" t="str">
        <f t="shared" si="97"/>
        <v/>
      </c>
      <c r="AF203" s="43" t="str">
        <f t="shared" si="97"/>
        <v/>
      </c>
      <c r="AG203" s="43" t="str">
        <f t="shared" si="97"/>
        <v/>
      </c>
      <c r="AH203" s="43" t="str">
        <f t="shared" si="97"/>
        <v/>
      </c>
      <c r="AI203" s="43" t="str">
        <f t="shared" si="97"/>
        <v/>
      </c>
      <c r="AJ203" s="43" t="str">
        <f t="shared" si="97"/>
        <v/>
      </c>
      <c r="AK203" s="43" t="str">
        <f t="shared" si="97"/>
        <v/>
      </c>
      <c r="AL203" s="43" t="str">
        <f t="shared" si="98"/>
        <v/>
      </c>
      <c r="AM203" s="43" t="str">
        <f t="shared" si="98"/>
        <v/>
      </c>
      <c r="AN203" s="43" t="str">
        <f t="shared" si="98"/>
        <v/>
      </c>
      <c r="AO203" s="43" t="str">
        <f t="shared" si="98"/>
        <v/>
      </c>
      <c r="AP203" s="43" t="str">
        <f t="shared" si="98"/>
        <v/>
      </c>
      <c r="AQ203" s="43" t="str">
        <f t="shared" si="98"/>
        <v/>
      </c>
      <c r="AR203" s="43" t="str">
        <f t="shared" si="98"/>
        <v/>
      </c>
      <c r="AS203" s="43" t="str">
        <f t="shared" si="98"/>
        <v/>
      </c>
      <c r="AT203" s="43" t="str">
        <f t="shared" si="98"/>
        <v/>
      </c>
      <c r="AU203" s="43" t="str">
        <f t="shared" si="98"/>
        <v/>
      </c>
      <c r="AV203" s="43" t="str">
        <f t="shared" si="99"/>
        <v/>
      </c>
      <c r="AW203" s="43" t="str">
        <f t="shared" si="99"/>
        <v/>
      </c>
      <c r="AX203" s="43" t="str">
        <f t="shared" si="99"/>
        <v/>
      </c>
      <c r="AY203" s="43" t="str">
        <f t="shared" si="99"/>
        <v/>
      </c>
      <c r="AZ203" s="43" t="str">
        <f t="shared" si="99"/>
        <v/>
      </c>
      <c r="BA203" s="43" t="str">
        <f t="shared" si="99"/>
        <v/>
      </c>
      <c r="BB203" s="43"/>
      <c r="BC203" s="43"/>
      <c r="BD203" s="43"/>
      <c r="BE203" s="43"/>
      <c r="BF203" s="43"/>
      <c r="BG203" s="43"/>
      <c r="BW203" s="1250"/>
    </row>
    <row r="204" spans="1:75" x14ac:dyDescent="0.25">
      <c r="A204" s="1251"/>
      <c r="B204" s="462">
        <v>198</v>
      </c>
      <c r="C204" s="462"/>
      <c r="D204" s="1244"/>
      <c r="E204" s="1050"/>
      <c r="F204" s="1244"/>
      <c r="H204" s="43" t="str">
        <f t="shared" si="95"/>
        <v/>
      </c>
      <c r="I204" s="43" t="str">
        <f t="shared" si="95"/>
        <v/>
      </c>
      <c r="J204" s="43" t="str">
        <f t="shared" si="95"/>
        <v/>
      </c>
      <c r="K204" s="43" t="str">
        <f t="shared" si="95"/>
        <v/>
      </c>
      <c r="L204" s="43" t="str">
        <f t="shared" si="95"/>
        <v/>
      </c>
      <c r="M204" s="43" t="str">
        <f t="shared" si="95"/>
        <v/>
      </c>
      <c r="N204" s="43" t="str">
        <f t="shared" si="95"/>
        <v/>
      </c>
      <c r="O204" s="43" t="str">
        <f t="shared" si="95"/>
        <v/>
      </c>
      <c r="P204" s="43" t="str">
        <f t="shared" si="95"/>
        <v/>
      </c>
      <c r="Q204" s="43" t="str">
        <f t="shared" si="95"/>
        <v/>
      </c>
      <c r="R204" s="43" t="str">
        <f t="shared" si="96"/>
        <v/>
      </c>
      <c r="S204" s="43" t="str">
        <f t="shared" si="96"/>
        <v/>
      </c>
      <c r="T204" s="43" t="str">
        <f t="shared" si="96"/>
        <v/>
      </c>
      <c r="U204" s="43" t="str">
        <f t="shared" si="96"/>
        <v/>
      </c>
      <c r="V204" s="43" t="str">
        <f t="shared" si="96"/>
        <v/>
      </c>
      <c r="W204" s="43" t="str">
        <f t="shared" si="96"/>
        <v/>
      </c>
      <c r="X204" s="43" t="str">
        <f t="shared" si="96"/>
        <v/>
      </c>
      <c r="Y204" s="43" t="str">
        <f t="shared" si="96"/>
        <v/>
      </c>
      <c r="Z204" s="43" t="str">
        <f t="shared" si="96"/>
        <v/>
      </c>
      <c r="AA204" s="43" t="str">
        <f t="shared" si="96"/>
        <v/>
      </c>
      <c r="AB204" s="43" t="str">
        <f t="shared" si="97"/>
        <v/>
      </c>
      <c r="AC204" s="43" t="str">
        <f t="shared" si="97"/>
        <v/>
      </c>
      <c r="AD204" s="43" t="str">
        <f t="shared" si="97"/>
        <v/>
      </c>
      <c r="AE204" s="43" t="str">
        <f t="shared" si="97"/>
        <v/>
      </c>
      <c r="AF204" s="43" t="str">
        <f t="shared" si="97"/>
        <v/>
      </c>
      <c r="AG204" s="43" t="str">
        <f t="shared" si="97"/>
        <v/>
      </c>
      <c r="AH204" s="43" t="str">
        <f t="shared" si="97"/>
        <v/>
      </c>
      <c r="AI204" s="43" t="str">
        <f t="shared" si="97"/>
        <v/>
      </c>
      <c r="AJ204" s="43" t="str">
        <f t="shared" si="97"/>
        <v/>
      </c>
      <c r="AK204" s="43" t="str">
        <f t="shared" si="97"/>
        <v/>
      </c>
      <c r="AL204" s="43" t="str">
        <f t="shared" si="98"/>
        <v/>
      </c>
      <c r="AM204" s="43" t="str">
        <f t="shared" si="98"/>
        <v/>
      </c>
      <c r="AN204" s="43" t="str">
        <f t="shared" si="98"/>
        <v/>
      </c>
      <c r="AO204" s="43" t="str">
        <f t="shared" si="98"/>
        <v/>
      </c>
      <c r="AP204" s="43" t="str">
        <f t="shared" si="98"/>
        <v/>
      </c>
      <c r="AQ204" s="43" t="str">
        <f t="shared" si="98"/>
        <v/>
      </c>
      <c r="AR204" s="43" t="str">
        <f t="shared" si="98"/>
        <v/>
      </c>
      <c r="AS204" s="43" t="str">
        <f t="shared" si="98"/>
        <v/>
      </c>
      <c r="AT204" s="43" t="str">
        <f t="shared" si="98"/>
        <v/>
      </c>
      <c r="AU204" s="43" t="str">
        <f t="shared" si="98"/>
        <v/>
      </c>
      <c r="AV204" s="43" t="str">
        <f t="shared" si="99"/>
        <v/>
      </c>
      <c r="AW204" s="43" t="str">
        <f t="shared" si="99"/>
        <v/>
      </c>
      <c r="AX204" s="43" t="str">
        <f t="shared" si="99"/>
        <v/>
      </c>
      <c r="AY204" s="43" t="str">
        <f t="shared" si="99"/>
        <v/>
      </c>
      <c r="AZ204" s="43" t="str">
        <f t="shared" si="99"/>
        <v/>
      </c>
      <c r="BA204" s="43" t="str">
        <f t="shared" si="99"/>
        <v/>
      </c>
      <c r="BB204" s="43"/>
      <c r="BC204" s="43"/>
      <c r="BD204" s="43"/>
      <c r="BE204" s="43"/>
      <c r="BF204" s="43"/>
      <c r="BG204" s="43"/>
      <c r="BW204" s="1250"/>
    </row>
    <row r="205" spans="1:75" x14ac:dyDescent="0.25">
      <c r="A205" s="1251"/>
      <c r="B205" s="462">
        <v>199</v>
      </c>
      <c r="C205" s="462"/>
      <c r="D205" s="1244"/>
      <c r="E205" s="1050"/>
      <c r="F205" s="1244"/>
      <c r="H205" s="43" t="str">
        <f t="shared" si="95"/>
        <v/>
      </c>
      <c r="I205" s="43" t="str">
        <f t="shared" si="95"/>
        <v/>
      </c>
      <c r="J205" s="43" t="str">
        <f t="shared" si="95"/>
        <v/>
      </c>
      <c r="K205" s="43" t="str">
        <f t="shared" si="95"/>
        <v/>
      </c>
      <c r="L205" s="43" t="str">
        <f t="shared" si="95"/>
        <v/>
      </c>
      <c r="M205" s="43" t="str">
        <f t="shared" si="95"/>
        <v/>
      </c>
      <c r="N205" s="43" t="str">
        <f t="shared" si="95"/>
        <v/>
      </c>
      <c r="O205" s="43" t="str">
        <f t="shared" si="95"/>
        <v/>
      </c>
      <c r="P205" s="43" t="str">
        <f t="shared" si="95"/>
        <v/>
      </c>
      <c r="Q205" s="43" t="str">
        <f t="shared" si="95"/>
        <v/>
      </c>
      <c r="R205" s="43" t="str">
        <f t="shared" si="96"/>
        <v/>
      </c>
      <c r="S205" s="43" t="str">
        <f t="shared" si="96"/>
        <v/>
      </c>
      <c r="T205" s="43" t="str">
        <f t="shared" si="96"/>
        <v/>
      </c>
      <c r="U205" s="43" t="str">
        <f t="shared" si="96"/>
        <v/>
      </c>
      <c r="V205" s="43" t="str">
        <f t="shared" si="96"/>
        <v/>
      </c>
      <c r="W205" s="43" t="str">
        <f t="shared" si="96"/>
        <v/>
      </c>
      <c r="X205" s="43" t="str">
        <f t="shared" si="96"/>
        <v/>
      </c>
      <c r="Y205" s="43" t="str">
        <f t="shared" si="96"/>
        <v/>
      </c>
      <c r="Z205" s="43" t="str">
        <f t="shared" si="96"/>
        <v/>
      </c>
      <c r="AA205" s="43" t="str">
        <f t="shared" si="96"/>
        <v/>
      </c>
      <c r="AB205" s="43" t="str">
        <f t="shared" si="97"/>
        <v/>
      </c>
      <c r="AC205" s="43" t="str">
        <f t="shared" si="97"/>
        <v/>
      </c>
      <c r="AD205" s="43" t="str">
        <f t="shared" si="97"/>
        <v/>
      </c>
      <c r="AE205" s="43" t="str">
        <f t="shared" si="97"/>
        <v/>
      </c>
      <c r="AF205" s="43" t="str">
        <f t="shared" si="97"/>
        <v/>
      </c>
      <c r="AG205" s="43" t="str">
        <f t="shared" si="97"/>
        <v/>
      </c>
      <c r="AH205" s="43" t="str">
        <f t="shared" si="97"/>
        <v/>
      </c>
      <c r="AI205" s="43" t="str">
        <f t="shared" si="97"/>
        <v/>
      </c>
      <c r="AJ205" s="43" t="str">
        <f t="shared" si="97"/>
        <v/>
      </c>
      <c r="AK205" s="43" t="str">
        <f t="shared" si="97"/>
        <v/>
      </c>
      <c r="AL205" s="43" t="str">
        <f t="shared" si="98"/>
        <v/>
      </c>
      <c r="AM205" s="43" t="str">
        <f t="shared" si="98"/>
        <v/>
      </c>
      <c r="AN205" s="43" t="str">
        <f t="shared" si="98"/>
        <v/>
      </c>
      <c r="AO205" s="43" t="str">
        <f t="shared" si="98"/>
        <v/>
      </c>
      <c r="AP205" s="43" t="str">
        <f t="shared" si="98"/>
        <v/>
      </c>
      <c r="AQ205" s="43" t="str">
        <f t="shared" si="98"/>
        <v/>
      </c>
      <c r="AR205" s="43" t="str">
        <f t="shared" si="98"/>
        <v/>
      </c>
      <c r="AS205" s="43" t="str">
        <f t="shared" si="98"/>
        <v/>
      </c>
      <c r="AT205" s="43" t="str">
        <f t="shared" si="98"/>
        <v/>
      </c>
      <c r="AU205" s="43" t="str">
        <f t="shared" si="98"/>
        <v/>
      </c>
      <c r="AV205" s="43" t="str">
        <f t="shared" si="99"/>
        <v/>
      </c>
      <c r="AW205" s="43" t="str">
        <f t="shared" si="99"/>
        <v/>
      </c>
      <c r="AX205" s="43" t="str">
        <f t="shared" si="99"/>
        <v/>
      </c>
      <c r="AY205" s="43" t="str">
        <f t="shared" si="99"/>
        <v/>
      </c>
      <c r="AZ205" s="43" t="str">
        <f t="shared" si="99"/>
        <v/>
      </c>
      <c r="BA205" s="43" t="str">
        <f t="shared" si="99"/>
        <v/>
      </c>
      <c r="BB205" s="43"/>
      <c r="BC205" s="43"/>
      <c r="BD205" s="43"/>
      <c r="BE205" s="43"/>
      <c r="BF205" s="43"/>
      <c r="BG205" s="43"/>
      <c r="BW205" s="1250"/>
    </row>
    <row r="206" spans="1:75" x14ac:dyDescent="0.25">
      <c r="A206" s="1251"/>
      <c r="B206" s="462">
        <v>200</v>
      </c>
      <c r="C206" s="462"/>
      <c r="D206" s="1244"/>
      <c r="E206" s="1050"/>
      <c r="F206" s="1244"/>
      <c r="H206" s="43" t="str">
        <f t="shared" si="95"/>
        <v/>
      </c>
      <c r="I206" s="43" t="str">
        <f t="shared" si="95"/>
        <v/>
      </c>
      <c r="J206" s="43" t="str">
        <f t="shared" si="95"/>
        <v/>
      </c>
      <c r="K206" s="43" t="str">
        <f t="shared" si="95"/>
        <v/>
      </c>
      <c r="L206" s="43" t="str">
        <f t="shared" si="95"/>
        <v/>
      </c>
      <c r="M206" s="43" t="str">
        <f t="shared" si="95"/>
        <v/>
      </c>
      <c r="N206" s="43" t="str">
        <f t="shared" si="95"/>
        <v/>
      </c>
      <c r="O206" s="43" t="str">
        <f t="shared" si="95"/>
        <v/>
      </c>
      <c r="P206" s="43" t="str">
        <f t="shared" si="95"/>
        <v/>
      </c>
      <c r="Q206" s="43" t="str">
        <f t="shared" si="95"/>
        <v/>
      </c>
      <c r="R206" s="43" t="str">
        <f t="shared" si="96"/>
        <v/>
      </c>
      <c r="S206" s="43" t="str">
        <f t="shared" si="96"/>
        <v/>
      </c>
      <c r="T206" s="43" t="str">
        <f t="shared" si="96"/>
        <v/>
      </c>
      <c r="U206" s="43" t="str">
        <f t="shared" si="96"/>
        <v/>
      </c>
      <c r="V206" s="43" t="str">
        <f t="shared" si="96"/>
        <v/>
      </c>
      <c r="W206" s="43" t="str">
        <f t="shared" si="96"/>
        <v/>
      </c>
      <c r="X206" s="43" t="str">
        <f t="shared" si="96"/>
        <v/>
      </c>
      <c r="Y206" s="43" t="str">
        <f t="shared" si="96"/>
        <v/>
      </c>
      <c r="Z206" s="43" t="str">
        <f t="shared" si="96"/>
        <v/>
      </c>
      <c r="AA206" s="43" t="str">
        <f t="shared" si="96"/>
        <v/>
      </c>
      <c r="AB206" s="43" t="str">
        <f t="shared" si="97"/>
        <v/>
      </c>
      <c r="AC206" s="43" t="str">
        <f t="shared" si="97"/>
        <v/>
      </c>
      <c r="AD206" s="43" t="str">
        <f t="shared" si="97"/>
        <v/>
      </c>
      <c r="AE206" s="43" t="str">
        <f t="shared" si="97"/>
        <v/>
      </c>
      <c r="AF206" s="43" t="str">
        <f t="shared" si="97"/>
        <v/>
      </c>
      <c r="AG206" s="43" t="str">
        <f t="shared" si="97"/>
        <v/>
      </c>
      <c r="AH206" s="43" t="str">
        <f t="shared" si="97"/>
        <v/>
      </c>
      <c r="AI206" s="43" t="str">
        <f t="shared" si="97"/>
        <v/>
      </c>
      <c r="AJ206" s="43" t="str">
        <f t="shared" si="97"/>
        <v/>
      </c>
      <c r="AK206" s="43" t="str">
        <f t="shared" si="97"/>
        <v/>
      </c>
      <c r="AL206" s="43" t="str">
        <f t="shared" si="98"/>
        <v/>
      </c>
      <c r="AM206" s="43" t="str">
        <f t="shared" si="98"/>
        <v/>
      </c>
      <c r="AN206" s="43" t="str">
        <f t="shared" si="98"/>
        <v/>
      </c>
      <c r="AO206" s="43" t="str">
        <f t="shared" si="98"/>
        <v/>
      </c>
      <c r="AP206" s="43" t="str">
        <f t="shared" si="98"/>
        <v/>
      </c>
      <c r="AQ206" s="43" t="str">
        <f t="shared" si="98"/>
        <v/>
      </c>
      <c r="AR206" s="43" t="str">
        <f t="shared" si="98"/>
        <v/>
      </c>
      <c r="AS206" s="43" t="str">
        <f t="shared" si="98"/>
        <v/>
      </c>
      <c r="AT206" s="43" t="str">
        <f t="shared" si="98"/>
        <v/>
      </c>
      <c r="AU206" s="43" t="str">
        <f t="shared" si="98"/>
        <v/>
      </c>
      <c r="AV206" s="43" t="str">
        <f t="shared" si="99"/>
        <v/>
      </c>
      <c r="AW206" s="43" t="str">
        <f t="shared" si="99"/>
        <v/>
      </c>
      <c r="AX206" s="43" t="str">
        <f t="shared" si="99"/>
        <v/>
      </c>
      <c r="AY206" s="43" t="str">
        <f t="shared" si="99"/>
        <v/>
      </c>
      <c r="AZ206" s="43" t="str">
        <f t="shared" si="99"/>
        <v/>
      </c>
      <c r="BA206" s="43" t="str">
        <f t="shared" si="99"/>
        <v/>
      </c>
      <c r="BB206" s="43"/>
      <c r="BC206" s="43"/>
      <c r="BD206" s="43"/>
      <c r="BE206" s="43"/>
      <c r="BF206" s="43"/>
      <c r="BG206" s="43"/>
      <c r="BW206" s="1250"/>
    </row>
    <row r="207" spans="1:75" x14ac:dyDescent="0.25">
      <c r="A207" s="1251"/>
      <c r="B207" s="462">
        <v>201</v>
      </c>
      <c r="C207" s="462"/>
      <c r="D207" s="1244"/>
      <c r="E207" s="1050"/>
      <c r="F207" s="1244"/>
      <c r="H207" s="43" t="str">
        <f t="shared" ref="H207:Q216" si="100">IF($D207=H$6,$B207&amp;", ","")</f>
        <v/>
      </c>
      <c r="I207" s="43" t="str">
        <f t="shared" si="100"/>
        <v/>
      </c>
      <c r="J207" s="43" t="str">
        <f t="shared" si="100"/>
        <v/>
      </c>
      <c r="K207" s="43" t="str">
        <f t="shared" si="100"/>
        <v/>
      </c>
      <c r="L207" s="43" t="str">
        <f t="shared" si="100"/>
        <v/>
      </c>
      <c r="M207" s="43" t="str">
        <f t="shared" si="100"/>
        <v/>
      </c>
      <c r="N207" s="43" t="str">
        <f t="shared" si="100"/>
        <v/>
      </c>
      <c r="O207" s="43" t="str">
        <f t="shared" si="100"/>
        <v/>
      </c>
      <c r="P207" s="43" t="str">
        <f t="shared" si="100"/>
        <v/>
      </c>
      <c r="Q207" s="43" t="str">
        <f t="shared" si="100"/>
        <v/>
      </c>
      <c r="R207" s="43" t="str">
        <f t="shared" ref="R207:AA216" si="101">IF($D207=R$6,$B207&amp;", ","")</f>
        <v/>
      </c>
      <c r="S207" s="43" t="str">
        <f t="shared" si="101"/>
        <v/>
      </c>
      <c r="T207" s="43" t="str">
        <f t="shared" si="101"/>
        <v/>
      </c>
      <c r="U207" s="43" t="str">
        <f t="shared" si="101"/>
        <v/>
      </c>
      <c r="V207" s="43" t="str">
        <f t="shared" si="101"/>
        <v/>
      </c>
      <c r="W207" s="43" t="str">
        <f t="shared" si="101"/>
        <v/>
      </c>
      <c r="X207" s="43" t="str">
        <f t="shared" si="101"/>
        <v/>
      </c>
      <c r="Y207" s="43" t="str">
        <f t="shared" si="101"/>
        <v/>
      </c>
      <c r="Z207" s="43" t="str">
        <f t="shared" si="101"/>
        <v/>
      </c>
      <c r="AA207" s="43" t="str">
        <f t="shared" si="101"/>
        <v/>
      </c>
      <c r="AB207" s="43" t="str">
        <f t="shared" ref="AB207:AK216" si="102">IF($D207=AB$6,$B207&amp;", ","")</f>
        <v/>
      </c>
      <c r="AC207" s="43" t="str">
        <f t="shared" si="102"/>
        <v/>
      </c>
      <c r="AD207" s="43" t="str">
        <f t="shared" si="102"/>
        <v/>
      </c>
      <c r="AE207" s="43" t="str">
        <f t="shared" si="102"/>
        <v/>
      </c>
      <c r="AF207" s="43" t="str">
        <f t="shared" si="102"/>
        <v/>
      </c>
      <c r="AG207" s="43" t="str">
        <f t="shared" si="102"/>
        <v/>
      </c>
      <c r="AH207" s="43" t="str">
        <f t="shared" si="102"/>
        <v/>
      </c>
      <c r="AI207" s="43" t="str">
        <f t="shared" si="102"/>
        <v/>
      </c>
      <c r="AJ207" s="43" t="str">
        <f t="shared" si="102"/>
        <v/>
      </c>
      <c r="AK207" s="43" t="str">
        <f t="shared" si="102"/>
        <v/>
      </c>
      <c r="AL207" s="43" t="str">
        <f t="shared" ref="AL207:AU216" si="103">IF($D207=AL$6,$B207&amp;", ","")</f>
        <v/>
      </c>
      <c r="AM207" s="43" t="str">
        <f t="shared" si="103"/>
        <v/>
      </c>
      <c r="AN207" s="43" t="str">
        <f t="shared" si="103"/>
        <v/>
      </c>
      <c r="AO207" s="43" t="str">
        <f t="shared" si="103"/>
        <v/>
      </c>
      <c r="AP207" s="43" t="str">
        <f t="shared" si="103"/>
        <v/>
      </c>
      <c r="AQ207" s="43" t="str">
        <f t="shared" si="103"/>
        <v/>
      </c>
      <c r="AR207" s="43" t="str">
        <f t="shared" si="103"/>
        <v/>
      </c>
      <c r="AS207" s="43" t="str">
        <f t="shared" si="103"/>
        <v/>
      </c>
      <c r="AT207" s="43" t="str">
        <f t="shared" si="103"/>
        <v/>
      </c>
      <c r="AU207" s="43" t="str">
        <f t="shared" si="103"/>
        <v/>
      </c>
      <c r="AV207" s="43" t="str">
        <f t="shared" ref="AV207:BA216" si="104">IF($D207=AV$6,$B207&amp;", ","")</f>
        <v/>
      </c>
      <c r="AW207" s="43" t="str">
        <f t="shared" si="104"/>
        <v/>
      </c>
      <c r="AX207" s="43" t="str">
        <f t="shared" si="104"/>
        <v/>
      </c>
      <c r="AY207" s="43" t="str">
        <f t="shared" si="104"/>
        <v/>
      </c>
      <c r="AZ207" s="43" t="str">
        <f t="shared" si="104"/>
        <v/>
      </c>
      <c r="BA207" s="43" t="str">
        <f t="shared" si="104"/>
        <v/>
      </c>
      <c r="BB207" s="43"/>
      <c r="BC207" s="43"/>
      <c r="BD207" s="43"/>
      <c r="BE207" s="43"/>
      <c r="BF207" s="43"/>
      <c r="BG207" s="43"/>
      <c r="BW207" s="1250"/>
    </row>
    <row r="208" spans="1:75" x14ac:dyDescent="0.25">
      <c r="A208" s="1251"/>
      <c r="B208" s="462">
        <v>202</v>
      </c>
      <c r="C208" s="462"/>
      <c r="D208" s="1244"/>
      <c r="E208" s="1050"/>
      <c r="F208" s="1244"/>
      <c r="H208" s="43" t="str">
        <f t="shared" si="100"/>
        <v/>
      </c>
      <c r="I208" s="43" t="str">
        <f t="shared" si="100"/>
        <v/>
      </c>
      <c r="J208" s="43" t="str">
        <f t="shared" si="100"/>
        <v/>
      </c>
      <c r="K208" s="43" t="str">
        <f t="shared" si="100"/>
        <v/>
      </c>
      <c r="L208" s="43" t="str">
        <f t="shared" si="100"/>
        <v/>
      </c>
      <c r="M208" s="43" t="str">
        <f t="shared" si="100"/>
        <v/>
      </c>
      <c r="N208" s="43" t="str">
        <f t="shared" si="100"/>
        <v/>
      </c>
      <c r="O208" s="43" t="str">
        <f t="shared" si="100"/>
        <v/>
      </c>
      <c r="P208" s="43" t="str">
        <f t="shared" si="100"/>
        <v/>
      </c>
      <c r="Q208" s="43" t="str">
        <f t="shared" si="100"/>
        <v/>
      </c>
      <c r="R208" s="43" t="str">
        <f t="shared" si="101"/>
        <v/>
      </c>
      <c r="S208" s="43" t="str">
        <f t="shared" si="101"/>
        <v/>
      </c>
      <c r="T208" s="43" t="str">
        <f t="shared" si="101"/>
        <v/>
      </c>
      <c r="U208" s="43" t="str">
        <f t="shared" si="101"/>
        <v/>
      </c>
      <c r="V208" s="43" t="str">
        <f t="shared" si="101"/>
        <v/>
      </c>
      <c r="W208" s="43" t="str">
        <f t="shared" si="101"/>
        <v/>
      </c>
      <c r="X208" s="43" t="str">
        <f t="shared" si="101"/>
        <v/>
      </c>
      <c r="Y208" s="43" t="str">
        <f t="shared" si="101"/>
        <v/>
      </c>
      <c r="Z208" s="43" t="str">
        <f t="shared" si="101"/>
        <v/>
      </c>
      <c r="AA208" s="43" t="str">
        <f t="shared" si="101"/>
        <v/>
      </c>
      <c r="AB208" s="43" t="str">
        <f t="shared" si="102"/>
        <v/>
      </c>
      <c r="AC208" s="43" t="str">
        <f t="shared" si="102"/>
        <v/>
      </c>
      <c r="AD208" s="43" t="str">
        <f t="shared" si="102"/>
        <v/>
      </c>
      <c r="AE208" s="43" t="str">
        <f t="shared" si="102"/>
        <v/>
      </c>
      <c r="AF208" s="43" t="str">
        <f t="shared" si="102"/>
        <v/>
      </c>
      <c r="AG208" s="43" t="str">
        <f t="shared" si="102"/>
        <v/>
      </c>
      <c r="AH208" s="43" t="str">
        <f t="shared" si="102"/>
        <v/>
      </c>
      <c r="AI208" s="43" t="str">
        <f t="shared" si="102"/>
        <v/>
      </c>
      <c r="AJ208" s="43" t="str">
        <f t="shared" si="102"/>
        <v/>
      </c>
      <c r="AK208" s="43" t="str">
        <f t="shared" si="102"/>
        <v/>
      </c>
      <c r="AL208" s="43" t="str">
        <f t="shared" si="103"/>
        <v/>
      </c>
      <c r="AM208" s="43" t="str">
        <f t="shared" si="103"/>
        <v/>
      </c>
      <c r="AN208" s="43" t="str">
        <f t="shared" si="103"/>
        <v/>
      </c>
      <c r="AO208" s="43" t="str">
        <f t="shared" si="103"/>
        <v/>
      </c>
      <c r="AP208" s="43" t="str">
        <f t="shared" si="103"/>
        <v/>
      </c>
      <c r="AQ208" s="43" t="str">
        <f t="shared" si="103"/>
        <v/>
      </c>
      <c r="AR208" s="43" t="str">
        <f t="shared" si="103"/>
        <v/>
      </c>
      <c r="AS208" s="43" t="str">
        <f t="shared" si="103"/>
        <v/>
      </c>
      <c r="AT208" s="43" t="str">
        <f t="shared" si="103"/>
        <v/>
      </c>
      <c r="AU208" s="43" t="str">
        <f t="shared" si="103"/>
        <v/>
      </c>
      <c r="AV208" s="43" t="str">
        <f t="shared" si="104"/>
        <v/>
      </c>
      <c r="AW208" s="43" t="str">
        <f t="shared" si="104"/>
        <v/>
      </c>
      <c r="AX208" s="43" t="str">
        <f t="shared" si="104"/>
        <v/>
      </c>
      <c r="AY208" s="43" t="str">
        <f t="shared" si="104"/>
        <v/>
      </c>
      <c r="AZ208" s="43" t="str">
        <f t="shared" si="104"/>
        <v/>
      </c>
      <c r="BA208" s="43" t="str">
        <f t="shared" si="104"/>
        <v/>
      </c>
      <c r="BB208" s="43"/>
      <c r="BC208" s="43"/>
      <c r="BD208" s="43"/>
      <c r="BE208" s="43"/>
      <c r="BF208" s="43"/>
      <c r="BG208" s="43"/>
      <c r="BW208" s="1250"/>
    </row>
    <row r="209" spans="1:75" x14ac:dyDescent="0.25">
      <c r="A209" s="1251"/>
      <c r="B209" s="462">
        <v>203</v>
      </c>
      <c r="C209" s="462"/>
      <c r="D209" s="1244"/>
      <c r="E209" s="1050"/>
      <c r="F209" s="1244"/>
      <c r="H209" s="43" t="str">
        <f t="shared" si="100"/>
        <v/>
      </c>
      <c r="I209" s="43" t="str">
        <f t="shared" si="100"/>
        <v/>
      </c>
      <c r="J209" s="43" t="str">
        <f t="shared" si="100"/>
        <v/>
      </c>
      <c r="K209" s="43" t="str">
        <f t="shared" si="100"/>
        <v/>
      </c>
      <c r="L209" s="43" t="str">
        <f t="shared" si="100"/>
        <v/>
      </c>
      <c r="M209" s="43" t="str">
        <f t="shared" si="100"/>
        <v/>
      </c>
      <c r="N209" s="43" t="str">
        <f t="shared" si="100"/>
        <v/>
      </c>
      <c r="O209" s="43" t="str">
        <f t="shared" si="100"/>
        <v/>
      </c>
      <c r="P209" s="43" t="str">
        <f t="shared" si="100"/>
        <v/>
      </c>
      <c r="Q209" s="43" t="str">
        <f t="shared" si="100"/>
        <v/>
      </c>
      <c r="R209" s="43" t="str">
        <f t="shared" si="101"/>
        <v/>
      </c>
      <c r="S209" s="43" t="str">
        <f t="shared" si="101"/>
        <v/>
      </c>
      <c r="T209" s="43" t="str">
        <f t="shared" si="101"/>
        <v/>
      </c>
      <c r="U209" s="43" t="str">
        <f t="shared" si="101"/>
        <v/>
      </c>
      <c r="V209" s="43" t="str">
        <f t="shared" si="101"/>
        <v/>
      </c>
      <c r="W209" s="43" t="str">
        <f t="shared" si="101"/>
        <v/>
      </c>
      <c r="X209" s="43" t="str">
        <f t="shared" si="101"/>
        <v/>
      </c>
      <c r="Y209" s="43" t="str">
        <f t="shared" si="101"/>
        <v/>
      </c>
      <c r="Z209" s="43" t="str">
        <f t="shared" si="101"/>
        <v/>
      </c>
      <c r="AA209" s="43" t="str">
        <f t="shared" si="101"/>
        <v/>
      </c>
      <c r="AB209" s="43" t="str">
        <f t="shared" si="102"/>
        <v/>
      </c>
      <c r="AC209" s="43" t="str">
        <f t="shared" si="102"/>
        <v/>
      </c>
      <c r="AD209" s="43" t="str">
        <f t="shared" si="102"/>
        <v/>
      </c>
      <c r="AE209" s="43" t="str">
        <f t="shared" si="102"/>
        <v/>
      </c>
      <c r="AF209" s="43" t="str">
        <f t="shared" si="102"/>
        <v/>
      </c>
      <c r="AG209" s="43" t="str">
        <f t="shared" si="102"/>
        <v/>
      </c>
      <c r="AH209" s="43" t="str">
        <f t="shared" si="102"/>
        <v/>
      </c>
      <c r="AI209" s="43" t="str">
        <f t="shared" si="102"/>
        <v/>
      </c>
      <c r="AJ209" s="43" t="str">
        <f t="shared" si="102"/>
        <v/>
      </c>
      <c r="AK209" s="43" t="str">
        <f t="shared" si="102"/>
        <v/>
      </c>
      <c r="AL209" s="43" t="str">
        <f t="shared" si="103"/>
        <v/>
      </c>
      <c r="AM209" s="43" t="str">
        <f t="shared" si="103"/>
        <v/>
      </c>
      <c r="AN209" s="43" t="str">
        <f t="shared" si="103"/>
        <v/>
      </c>
      <c r="AO209" s="43" t="str">
        <f t="shared" si="103"/>
        <v/>
      </c>
      <c r="AP209" s="43" t="str">
        <f t="shared" si="103"/>
        <v/>
      </c>
      <c r="AQ209" s="43" t="str">
        <f t="shared" si="103"/>
        <v/>
      </c>
      <c r="AR209" s="43" t="str">
        <f t="shared" si="103"/>
        <v/>
      </c>
      <c r="AS209" s="43" t="str">
        <f t="shared" si="103"/>
        <v/>
      </c>
      <c r="AT209" s="43" t="str">
        <f t="shared" si="103"/>
        <v/>
      </c>
      <c r="AU209" s="43" t="str">
        <f t="shared" si="103"/>
        <v/>
      </c>
      <c r="AV209" s="43" t="str">
        <f t="shared" si="104"/>
        <v/>
      </c>
      <c r="AW209" s="43" t="str">
        <f t="shared" si="104"/>
        <v/>
      </c>
      <c r="AX209" s="43" t="str">
        <f t="shared" si="104"/>
        <v/>
      </c>
      <c r="AY209" s="43" t="str">
        <f t="shared" si="104"/>
        <v/>
      </c>
      <c r="AZ209" s="43" t="str">
        <f t="shared" si="104"/>
        <v/>
      </c>
      <c r="BA209" s="43" t="str">
        <f t="shared" si="104"/>
        <v/>
      </c>
      <c r="BB209" s="43"/>
      <c r="BC209" s="43"/>
      <c r="BD209" s="43"/>
      <c r="BE209" s="43"/>
      <c r="BF209" s="43"/>
      <c r="BG209" s="43"/>
      <c r="BW209" s="1250"/>
    </row>
    <row r="210" spans="1:75" x14ac:dyDescent="0.25">
      <c r="A210" s="1251"/>
      <c r="B210" s="462">
        <v>204</v>
      </c>
      <c r="C210" s="462"/>
      <c r="D210" s="1244"/>
      <c r="E210" s="1050"/>
      <c r="F210" s="1244"/>
      <c r="H210" s="43" t="str">
        <f t="shared" si="100"/>
        <v/>
      </c>
      <c r="I210" s="43" t="str">
        <f t="shared" si="100"/>
        <v/>
      </c>
      <c r="J210" s="43" t="str">
        <f t="shared" si="100"/>
        <v/>
      </c>
      <c r="K210" s="43" t="str">
        <f t="shared" si="100"/>
        <v/>
      </c>
      <c r="L210" s="43" t="str">
        <f t="shared" si="100"/>
        <v/>
      </c>
      <c r="M210" s="43" t="str">
        <f t="shared" si="100"/>
        <v/>
      </c>
      <c r="N210" s="43" t="str">
        <f t="shared" si="100"/>
        <v/>
      </c>
      <c r="O210" s="43" t="str">
        <f t="shared" si="100"/>
        <v/>
      </c>
      <c r="P210" s="43" t="str">
        <f t="shared" si="100"/>
        <v/>
      </c>
      <c r="Q210" s="43" t="str">
        <f t="shared" si="100"/>
        <v/>
      </c>
      <c r="R210" s="43" t="str">
        <f t="shared" si="101"/>
        <v/>
      </c>
      <c r="S210" s="43" t="str">
        <f t="shared" si="101"/>
        <v/>
      </c>
      <c r="T210" s="43" t="str">
        <f t="shared" si="101"/>
        <v/>
      </c>
      <c r="U210" s="43" t="str">
        <f t="shared" si="101"/>
        <v/>
      </c>
      <c r="V210" s="43" t="str">
        <f t="shared" si="101"/>
        <v/>
      </c>
      <c r="W210" s="43" t="str">
        <f t="shared" si="101"/>
        <v/>
      </c>
      <c r="X210" s="43" t="str">
        <f t="shared" si="101"/>
        <v/>
      </c>
      <c r="Y210" s="43" t="str">
        <f t="shared" si="101"/>
        <v/>
      </c>
      <c r="Z210" s="43" t="str">
        <f t="shared" si="101"/>
        <v/>
      </c>
      <c r="AA210" s="43" t="str">
        <f t="shared" si="101"/>
        <v/>
      </c>
      <c r="AB210" s="43" t="str">
        <f t="shared" si="102"/>
        <v/>
      </c>
      <c r="AC210" s="43" t="str">
        <f t="shared" si="102"/>
        <v/>
      </c>
      <c r="AD210" s="43" t="str">
        <f t="shared" si="102"/>
        <v/>
      </c>
      <c r="AE210" s="43" t="str">
        <f t="shared" si="102"/>
        <v/>
      </c>
      <c r="AF210" s="43" t="str">
        <f t="shared" si="102"/>
        <v/>
      </c>
      <c r="AG210" s="43" t="str">
        <f t="shared" si="102"/>
        <v/>
      </c>
      <c r="AH210" s="43" t="str">
        <f t="shared" si="102"/>
        <v/>
      </c>
      <c r="AI210" s="43" t="str">
        <f t="shared" si="102"/>
        <v/>
      </c>
      <c r="AJ210" s="43" t="str">
        <f t="shared" si="102"/>
        <v/>
      </c>
      <c r="AK210" s="43" t="str">
        <f t="shared" si="102"/>
        <v/>
      </c>
      <c r="AL210" s="43" t="str">
        <f t="shared" si="103"/>
        <v/>
      </c>
      <c r="AM210" s="43" t="str">
        <f t="shared" si="103"/>
        <v/>
      </c>
      <c r="AN210" s="43" t="str">
        <f t="shared" si="103"/>
        <v/>
      </c>
      <c r="AO210" s="43" t="str">
        <f t="shared" si="103"/>
        <v/>
      </c>
      <c r="AP210" s="43" t="str">
        <f t="shared" si="103"/>
        <v/>
      </c>
      <c r="AQ210" s="43" t="str">
        <f t="shared" si="103"/>
        <v/>
      </c>
      <c r="AR210" s="43" t="str">
        <f t="shared" si="103"/>
        <v/>
      </c>
      <c r="AS210" s="43" t="str">
        <f t="shared" si="103"/>
        <v/>
      </c>
      <c r="AT210" s="43" t="str">
        <f t="shared" si="103"/>
        <v/>
      </c>
      <c r="AU210" s="43" t="str">
        <f t="shared" si="103"/>
        <v/>
      </c>
      <c r="AV210" s="43" t="str">
        <f t="shared" si="104"/>
        <v/>
      </c>
      <c r="AW210" s="43" t="str">
        <f t="shared" si="104"/>
        <v/>
      </c>
      <c r="AX210" s="43" t="str">
        <f t="shared" si="104"/>
        <v/>
      </c>
      <c r="AY210" s="43" t="str">
        <f t="shared" si="104"/>
        <v/>
      </c>
      <c r="AZ210" s="43" t="str">
        <f t="shared" si="104"/>
        <v/>
      </c>
      <c r="BA210" s="43" t="str">
        <f t="shared" si="104"/>
        <v/>
      </c>
      <c r="BB210" s="43"/>
      <c r="BC210" s="43"/>
      <c r="BD210" s="43"/>
      <c r="BE210" s="43"/>
      <c r="BF210" s="43"/>
      <c r="BG210" s="43"/>
      <c r="BW210" s="1250"/>
    </row>
    <row r="211" spans="1:75" x14ac:dyDescent="0.25">
      <c r="A211" s="1251"/>
      <c r="B211" s="462">
        <v>205</v>
      </c>
      <c r="C211" s="462"/>
      <c r="D211" s="1244"/>
      <c r="E211" s="1050"/>
      <c r="F211" s="1244"/>
      <c r="H211" s="43" t="str">
        <f t="shared" si="100"/>
        <v/>
      </c>
      <c r="I211" s="43" t="str">
        <f t="shared" si="100"/>
        <v/>
      </c>
      <c r="J211" s="43" t="str">
        <f t="shared" si="100"/>
        <v/>
      </c>
      <c r="K211" s="43" t="str">
        <f t="shared" si="100"/>
        <v/>
      </c>
      <c r="L211" s="43" t="str">
        <f t="shared" si="100"/>
        <v/>
      </c>
      <c r="M211" s="43" t="str">
        <f t="shared" si="100"/>
        <v/>
      </c>
      <c r="N211" s="43" t="str">
        <f t="shared" si="100"/>
        <v/>
      </c>
      <c r="O211" s="43" t="str">
        <f t="shared" si="100"/>
        <v/>
      </c>
      <c r="P211" s="43" t="str">
        <f t="shared" si="100"/>
        <v/>
      </c>
      <c r="Q211" s="43" t="str">
        <f t="shared" si="100"/>
        <v/>
      </c>
      <c r="R211" s="43" t="str">
        <f t="shared" si="101"/>
        <v/>
      </c>
      <c r="S211" s="43" t="str">
        <f t="shared" si="101"/>
        <v/>
      </c>
      <c r="T211" s="43" t="str">
        <f t="shared" si="101"/>
        <v/>
      </c>
      <c r="U211" s="43" t="str">
        <f t="shared" si="101"/>
        <v/>
      </c>
      <c r="V211" s="43" t="str">
        <f t="shared" si="101"/>
        <v/>
      </c>
      <c r="W211" s="43" t="str">
        <f t="shared" si="101"/>
        <v/>
      </c>
      <c r="X211" s="43" t="str">
        <f t="shared" si="101"/>
        <v/>
      </c>
      <c r="Y211" s="43" t="str">
        <f t="shared" si="101"/>
        <v/>
      </c>
      <c r="Z211" s="43" t="str">
        <f t="shared" si="101"/>
        <v/>
      </c>
      <c r="AA211" s="43" t="str">
        <f t="shared" si="101"/>
        <v/>
      </c>
      <c r="AB211" s="43" t="str">
        <f t="shared" si="102"/>
        <v/>
      </c>
      <c r="AC211" s="43" t="str">
        <f t="shared" si="102"/>
        <v/>
      </c>
      <c r="AD211" s="43" t="str">
        <f t="shared" si="102"/>
        <v/>
      </c>
      <c r="AE211" s="43" t="str">
        <f t="shared" si="102"/>
        <v/>
      </c>
      <c r="AF211" s="43" t="str">
        <f t="shared" si="102"/>
        <v/>
      </c>
      <c r="AG211" s="43" t="str">
        <f t="shared" si="102"/>
        <v/>
      </c>
      <c r="AH211" s="43" t="str">
        <f t="shared" si="102"/>
        <v/>
      </c>
      <c r="AI211" s="43" t="str">
        <f t="shared" si="102"/>
        <v/>
      </c>
      <c r="AJ211" s="43" t="str">
        <f t="shared" si="102"/>
        <v/>
      </c>
      <c r="AK211" s="43" t="str">
        <f t="shared" si="102"/>
        <v/>
      </c>
      <c r="AL211" s="43" t="str">
        <f t="shared" si="103"/>
        <v/>
      </c>
      <c r="AM211" s="43" t="str">
        <f t="shared" si="103"/>
        <v/>
      </c>
      <c r="AN211" s="43" t="str">
        <f t="shared" si="103"/>
        <v/>
      </c>
      <c r="AO211" s="43" t="str">
        <f t="shared" si="103"/>
        <v/>
      </c>
      <c r="AP211" s="43" t="str">
        <f t="shared" si="103"/>
        <v/>
      </c>
      <c r="AQ211" s="43" t="str">
        <f t="shared" si="103"/>
        <v/>
      </c>
      <c r="AR211" s="43" t="str">
        <f t="shared" si="103"/>
        <v/>
      </c>
      <c r="AS211" s="43" t="str">
        <f t="shared" si="103"/>
        <v/>
      </c>
      <c r="AT211" s="43" t="str">
        <f t="shared" si="103"/>
        <v/>
      </c>
      <c r="AU211" s="43" t="str">
        <f t="shared" si="103"/>
        <v/>
      </c>
      <c r="AV211" s="43" t="str">
        <f t="shared" si="104"/>
        <v/>
      </c>
      <c r="AW211" s="43" t="str">
        <f t="shared" si="104"/>
        <v/>
      </c>
      <c r="AX211" s="43" t="str">
        <f t="shared" si="104"/>
        <v/>
      </c>
      <c r="AY211" s="43" t="str">
        <f t="shared" si="104"/>
        <v/>
      </c>
      <c r="AZ211" s="43" t="str">
        <f t="shared" si="104"/>
        <v/>
      </c>
      <c r="BA211" s="43" t="str">
        <f t="shared" si="104"/>
        <v/>
      </c>
      <c r="BB211" s="43"/>
      <c r="BC211" s="43"/>
      <c r="BD211" s="43"/>
      <c r="BE211" s="43"/>
      <c r="BF211" s="43"/>
      <c r="BG211" s="43"/>
      <c r="BW211" s="1250"/>
    </row>
    <row r="212" spans="1:75" x14ac:dyDescent="0.25">
      <c r="A212" s="1251"/>
      <c r="B212" s="462">
        <v>206</v>
      </c>
      <c r="C212" s="462"/>
      <c r="D212" s="1244"/>
      <c r="E212" s="1050"/>
      <c r="F212" s="1244"/>
      <c r="H212" s="43" t="str">
        <f t="shared" si="100"/>
        <v/>
      </c>
      <c r="I212" s="43" t="str">
        <f t="shared" si="100"/>
        <v/>
      </c>
      <c r="J212" s="43" t="str">
        <f t="shared" si="100"/>
        <v/>
      </c>
      <c r="K212" s="43" t="str">
        <f t="shared" si="100"/>
        <v/>
      </c>
      <c r="L212" s="43" t="str">
        <f t="shared" si="100"/>
        <v/>
      </c>
      <c r="M212" s="43" t="str">
        <f t="shared" si="100"/>
        <v/>
      </c>
      <c r="N212" s="43" t="str">
        <f t="shared" si="100"/>
        <v/>
      </c>
      <c r="O212" s="43" t="str">
        <f t="shared" si="100"/>
        <v/>
      </c>
      <c r="P212" s="43" t="str">
        <f t="shared" si="100"/>
        <v/>
      </c>
      <c r="Q212" s="43" t="str">
        <f t="shared" si="100"/>
        <v/>
      </c>
      <c r="R212" s="43" t="str">
        <f t="shared" si="101"/>
        <v/>
      </c>
      <c r="S212" s="43" t="str">
        <f t="shared" si="101"/>
        <v/>
      </c>
      <c r="T212" s="43" t="str">
        <f t="shared" si="101"/>
        <v/>
      </c>
      <c r="U212" s="43" t="str">
        <f t="shared" si="101"/>
        <v/>
      </c>
      <c r="V212" s="43" t="str">
        <f t="shared" si="101"/>
        <v/>
      </c>
      <c r="W212" s="43" t="str">
        <f t="shared" si="101"/>
        <v/>
      </c>
      <c r="X212" s="43" t="str">
        <f t="shared" si="101"/>
        <v/>
      </c>
      <c r="Y212" s="43" t="str">
        <f t="shared" si="101"/>
        <v/>
      </c>
      <c r="Z212" s="43" t="str">
        <f t="shared" si="101"/>
        <v/>
      </c>
      <c r="AA212" s="43" t="str">
        <f t="shared" si="101"/>
        <v/>
      </c>
      <c r="AB212" s="43" t="str">
        <f t="shared" si="102"/>
        <v/>
      </c>
      <c r="AC212" s="43" t="str">
        <f t="shared" si="102"/>
        <v/>
      </c>
      <c r="AD212" s="43" t="str">
        <f t="shared" si="102"/>
        <v/>
      </c>
      <c r="AE212" s="43" t="str">
        <f t="shared" si="102"/>
        <v/>
      </c>
      <c r="AF212" s="43" t="str">
        <f t="shared" si="102"/>
        <v/>
      </c>
      <c r="AG212" s="43" t="str">
        <f t="shared" si="102"/>
        <v/>
      </c>
      <c r="AH212" s="43" t="str">
        <f t="shared" si="102"/>
        <v/>
      </c>
      <c r="AI212" s="43" t="str">
        <f t="shared" si="102"/>
        <v/>
      </c>
      <c r="AJ212" s="43" t="str">
        <f t="shared" si="102"/>
        <v/>
      </c>
      <c r="AK212" s="43" t="str">
        <f t="shared" si="102"/>
        <v/>
      </c>
      <c r="AL212" s="43" t="str">
        <f t="shared" si="103"/>
        <v/>
      </c>
      <c r="AM212" s="43" t="str">
        <f t="shared" si="103"/>
        <v/>
      </c>
      <c r="AN212" s="43" t="str">
        <f t="shared" si="103"/>
        <v/>
      </c>
      <c r="AO212" s="43" t="str">
        <f t="shared" si="103"/>
        <v/>
      </c>
      <c r="AP212" s="43" t="str">
        <f t="shared" si="103"/>
        <v/>
      </c>
      <c r="AQ212" s="43" t="str">
        <f t="shared" si="103"/>
        <v/>
      </c>
      <c r="AR212" s="43" t="str">
        <f t="shared" si="103"/>
        <v/>
      </c>
      <c r="AS212" s="43" t="str">
        <f t="shared" si="103"/>
        <v/>
      </c>
      <c r="AT212" s="43" t="str">
        <f t="shared" si="103"/>
        <v/>
      </c>
      <c r="AU212" s="43" t="str">
        <f t="shared" si="103"/>
        <v/>
      </c>
      <c r="AV212" s="43" t="str">
        <f t="shared" si="104"/>
        <v/>
      </c>
      <c r="AW212" s="43" t="str">
        <f t="shared" si="104"/>
        <v/>
      </c>
      <c r="AX212" s="43" t="str">
        <f t="shared" si="104"/>
        <v/>
      </c>
      <c r="AY212" s="43" t="str">
        <f t="shared" si="104"/>
        <v/>
      </c>
      <c r="AZ212" s="43" t="str">
        <f t="shared" si="104"/>
        <v/>
      </c>
      <c r="BA212" s="43" t="str">
        <f t="shared" si="104"/>
        <v/>
      </c>
      <c r="BB212" s="43"/>
      <c r="BC212" s="43"/>
      <c r="BD212" s="43"/>
      <c r="BE212" s="43"/>
      <c r="BF212" s="43"/>
      <c r="BG212" s="43"/>
      <c r="BW212" s="1250"/>
    </row>
    <row r="213" spans="1:75" x14ac:dyDescent="0.25">
      <c r="A213" s="1251"/>
      <c r="B213" s="462">
        <v>207</v>
      </c>
      <c r="C213" s="462"/>
      <c r="D213" s="1244"/>
      <c r="E213" s="1050"/>
      <c r="F213" s="1244"/>
      <c r="H213" s="43" t="str">
        <f t="shared" si="100"/>
        <v/>
      </c>
      <c r="I213" s="43" t="str">
        <f t="shared" si="100"/>
        <v/>
      </c>
      <c r="J213" s="43" t="str">
        <f t="shared" si="100"/>
        <v/>
      </c>
      <c r="K213" s="43" t="str">
        <f t="shared" si="100"/>
        <v/>
      </c>
      <c r="L213" s="43" t="str">
        <f t="shared" si="100"/>
        <v/>
      </c>
      <c r="M213" s="43" t="str">
        <f t="shared" si="100"/>
        <v/>
      </c>
      <c r="N213" s="43" t="str">
        <f t="shared" si="100"/>
        <v/>
      </c>
      <c r="O213" s="43" t="str">
        <f t="shared" si="100"/>
        <v/>
      </c>
      <c r="P213" s="43" t="str">
        <f t="shared" si="100"/>
        <v/>
      </c>
      <c r="Q213" s="43" t="str">
        <f t="shared" si="100"/>
        <v/>
      </c>
      <c r="R213" s="43" t="str">
        <f t="shared" si="101"/>
        <v/>
      </c>
      <c r="S213" s="43" t="str">
        <f t="shared" si="101"/>
        <v/>
      </c>
      <c r="T213" s="43" t="str">
        <f t="shared" si="101"/>
        <v/>
      </c>
      <c r="U213" s="43" t="str">
        <f t="shared" si="101"/>
        <v/>
      </c>
      <c r="V213" s="43" t="str">
        <f t="shared" si="101"/>
        <v/>
      </c>
      <c r="W213" s="43" t="str">
        <f t="shared" si="101"/>
        <v/>
      </c>
      <c r="X213" s="43" t="str">
        <f t="shared" si="101"/>
        <v/>
      </c>
      <c r="Y213" s="43" t="str">
        <f t="shared" si="101"/>
        <v/>
      </c>
      <c r="Z213" s="43" t="str">
        <f t="shared" si="101"/>
        <v/>
      </c>
      <c r="AA213" s="43" t="str">
        <f t="shared" si="101"/>
        <v/>
      </c>
      <c r="AB213" s="43" t="str">
        <f t="shared" si="102"/>
        <v/>
      </c>
      <c r="AC213" s="43" t="str">
        <f t="shared" si="102"/>
        <v/>
      </c>
      <c r="AD213" s="43" t="str">
        <f t="shared" si="102"/>
        <v/>
      </c>
      <c r="AE213" s="43" t="str">
        <f t="shared" si="102"/>
        <v/>
      </c>
      <c r="AF213" s="43" t="str">
        <f t="shared" si="102"/>
        <v/>
      </c>
      <c r="AG213" s="43" t="str">
        <f t="shared" si="102"/>
        <v/>
      </c>
      <c r="AH213" s="43" t="str">
        <f t="shared" si="102"/>
        <v/>
      </c>
      <c r="AI213" s="43" t="str">
        <f t="shared" si="102"/>
        <v/>
      </c>
      <c r="AJ213" s="43" t="str">
        <f t="shared" si="102"/>
        <v/>
      </c>
      <c r="AK213" s="43" t="str">
        <f t="shared" si="102"/>
        <v/>
      </c>
      <c r="AL213" s="43" t="str">
        <f t="shared" si="103"/>
        <v/>
      </c>
      <c r="AM213" s="43" t="str">
        <f t="shared" si="103"/>
        <v/>
      </c>
      <c r="AN213" s="43" t="str">
        <f t="shared" si="103"/>
        <v/>
      </c>
      <c r="AO213" s="43" t="str">
        <f t="shared" si="103"/>
        <v/>
      </c>
      <c r="AP213" s="43" t="str">
        <f t="shared" si="103"/>
        <v/>
      </c>
      <c r="AQ213" s="43" t="str">
        <f t="shared" si="103"/>
        <v/>
      </c>
      <c r="AR213" s="43" t="str">
        <f t="shared" si="103"/>
        <v/>
      </c>
      <c r="AS213" s="43" t="str">
        <f t="shared" si="103"/>
        <v/>
      </c>
      <c r="AT213" s="43" t="str">
        <f t="shared" si="103"/>
        <v/>
      </c>
      <c r="AU213" s="43" t="str">
        <f t="shared" si="103"/>
        <v/>
      </c>
      <c r="AV213" s="43" t="str">
        <f t="shared" si="104"/>
        <v/>
      </c>
      <c r="AW213" s="43" t="str">
        <f t="shared" si="104"/>
        <v/>
      </c>
      <c r="AX213" s="43" t="str">
        <f t="shared" si="104"/>
        <v/>
      </c>
      <c r="AY213" s="43" t="str">
        <f t="shared" si="104"/>
        <v/>
      </c>
      <c r="AZ213" s="43" t="str">
        <f t="shared" si="104"/>
        <v/>
      </c>
      <c r="BA213" s="43" t="str">
        <f t="shared" si="104"/>
        <v/>
      </c>
      <c r="BB213" s="43"/>
      <c r="BC213" s="43"/>
      <c r="BD213" s="43"/>
      <c r="BE213" s="43"/>
      <c r="BF213" s="43"/>
      <c r="BG213" s="43"/>
      <c r="BW213" s="1250"/>
    </row>
    <row r="214" spans="1:75" x14ac:dyDescent="0.25">
      <c r="A214" s="1251"/>
      <c r="B214" s="462">
        <v>208</v>
      </c>
      <c r="C214" s="462"/>
      <c r="D214" s="1244"/>
      <c r="E214" s="1050"/>
      <c r="F214" s="1244"/>
      <c r="H214" s="43" t="str">
        <f t="shared" si="100"/>
        <v/>
      </c>
      <c r="I214" s="43" t="str">
        <f t="shared" si="100"/>
        <v/>
      </c>
      <c r="J214" s="43" t="str">
        <f t="shared" si="100"/>
        <v/>
      </c>
      <c r="K214" s="43" t="str">
        <f t="shared" si="100"/>
        <v/>
      </c>
      <c r="L214" s="43" t="str">
        <f t="shared" si="100"/>
        <v/>
      </c>
      <c r="M214" s="43" t="str">
        <f t="shared" si="100"/>
        <v/>
      </c>
      <c r="N214" s="43" t="str">
        <f t="shared" si="100"/>
        <v/>
      </c>
      <c r="O214" s="43" t="str">
        <f t="shared" si="100"/>
        <v/>
      </c>
      <c r="P214" s="43" t="str">
        <f t="shared" si="100"/>
        <v/>
      </c>
      <c r="Q214" s="43" t="str">
        <f t="shared" si="100"/>
        <v/>
      </c>
      <c r="R214" s="43" t="str">
        <f t="shared" si="101"/>
        <v/>
      </c>
      <c r="S214" s="43" t="str">
        <f t="shared" si="101"/>
        <v/>
      </c>
      <c r="T214" s="43" t="str">
        <f t="shared" si="101"/>
        <v/>
      </c>
      <c r="U214" s="43" t="str">
        <f t="shared" si="101"/>
        <v/>
      </c>
      <c r="V214" s="43" t="str">
        <f t="shared" si="101"/>
        <v/>
      </c>
      <c r="W214" s="43" t="str">
        <f t="shared" si="101"/>
        <v/>
      </c>
      <c r="X214" s="43" t="str">
        <f t="shared" si="101"/>
        <v/>
      </c>
      <c r="Y214" s="43" t="str">
        <f t="shared" si="101"/>
        <v/>
      </c>
      <c r="Z214" s="43" t="str">
        <f t="shared" si="101"/>
        <v/>
      </c>
      <c r="AA214" s="43" t="str">
        <f t="shared" si="101"/>
        <v/>
      </c>
      <c r="AB214" s="43" t="str">
        <f t="shared" si="102"/>
        <v/>
      </c>
      <c r="AC214" s="43" t="str">
        <f t="shared" si="102"/>
        <v/>
      </c>
      <c r="AD214" s="43" t="str">
        <f t="shared" si="102"/>
        <v/>
      </c>
      <c r="AE214" s="43" t="str">
        <f t="shared" si="102"/>
        <v/>
      </c>
      <c r="AF214" s="43" t="str">
        <f t="shared" si="102"/>
        <v/>
      </c>
      <c r="AG214" s="43" t="str">
        <f t="shared" si="102"/>
        <v/>
      </c>
      <c r="AH214" s="43" t="str">
        <f t="shared" si="102"/>
        <v/>
      </c>
      <c r="AI214" s="43" t="str">
        <f t="shared" si="102"/>
        <v/>
      </c>
      <c r="AJ214" s="43" t="str">
        <f t="shared" si="102"/>
        <v/>
      </c>
      <c r="AK214" s="43" t="str">
        <f t="shared" si="102"/>
        <v/>
      </c>
      <c r="AL214" s="43" t="str">
        <f t="shared" si="103"/>
        <v/>
      </c>
      <c r="AM214" s="43" t="str">
        <f t="shared" si="103"/>
        <v/>
      </c>
      <c r="AN214" s="43" t="str">
        <f t="shared" si="103"/>
        <v/>
      </c>
      <c r="AO214" s="43" t="str">
        <f t="shared" si="103"/>
        <v/>
      </c>
      <c r="AP214" s="43" t="str">
        <f t="shared" si="103"/>
        <v/>
      </c>
      <c r="AQ214" s="43" t="str">
        <f t="shared" si="103"/>
        <v/>
      </c>
      <c r="AR214" s="43" t="str">
        <f t="shared" si="103"/>
        <v/>
      </c>
      <c r="AS214" s="43" t="str">
        <f t="shared" si="103"/>
        <v/>
      </c>
      <c r="AT214" s="43" t="str">
        <f t="shared" si="103"/>
        <v/>
      </c>
      <c r="AU214" s="43" t="str">
        <f t="shared" si="103"/>
        <v/>
      </c>
      <c r="AV214" s="43" t="str">
        <f t="shared" si="104"/>
        <v/>
      </c>
      <c r="AW214" s="43" t="str">
        <f t="shared" si="104"/>
        <v/>
      </c>
      <c r="AX214" s="43" t="str">
        <f t="shared" si="104"/>
        <v/>
      </c>
      <c r="AY214" s="43" t="str">
        <f t="shared" si="104"/>
        <v/>
      </c>
      <c r="AZ214" s="43" t="str">
        <f t="shared" si="104"/>
        <v/>
      </c>
      <c r="BA214" s="43" t="str">
        <f t="shared" si="104"/>
        <v/>
      </c>
      <c r="BB214" s="43"/>
      <c r="BC214" s="43"/>
      <c r="BD214" s="43"/>
      <c r="BE214" s="43"/>
      <c r="BF214" s="43"/>
      <c r="BG214" s="43"/>
      <c r="BW214" s="1250"/>
    </row>
    <row r="215" spans="1:75" x14ac:dyDescent="0.25">
      <c r="A215" s="1251"/>
      <c r="B215" s="462">
        <v>209</v>
      </c>
      <c r="C215" s="462"/>
      <c r="D215" s="1244"/>
      <c r="E215" s="1050"/>
      <c r="F215" s="1244"/>
      <c r="H215" s="43" t="str">
        <f t="shared" si="100"/>
        <v/>
      </c>
      <c r="I215" s="43" t="str">
        <f t="shared" si="100"/>
        <v/>
      </c>
      <c r="J215" s="43" t="str">
        <f t="shared" si="100"/>
        <v/>
      </c>
      <c r="K215" s="43" t="str">
        <f t="shared" si="100"/>
        <v/>
      </c>
      <c r="L215" s="43" t="str">
        <f t="shared" si="100"/>
        <v/>
      </c>
      <c r="M215" s="43" t="str">
        <f t="shared" si="100"/>
        <v/>
      </c>
      <c r="N215" s="43" t="str">
        <f t="shared" si="100"/>
        <v/>
      </c>
      <c r="O215" s="43" t="str">
        <f t="shared" si="100"/>
        <v/>
      </c>
      <c r="P215" s="43" t="str">
        <f t="shared" si="100"/>
        <v/>
      </c>
      <c r="Q215" s="43" t="str">
        <f t="shared" si="100"/>
        <v/>
      </c>
      <c r="R215" s="43" t="str">
        <f t="shared" si="101"/>
        <v/>
      </c>
      <c r="S215" s="43" t="str">
        <f t="shared" si="101"/>
        <v/>
      </c>
      <c r="T215" s="43" t="str">
        <f t="shared" si="101"/>
        <v/>
      </c>
      <c r="U215" s="43" t="str">
        <f t="shared" si="101"/>
        <v/>
      </c>
      <c r="V215" s="43" t="str">
        <f t="shared" si="101"/>
        <v/>
      </c>
      <c r="W215" s="43" t="str">
        <f t="shared" si="101"/>
        <v/>
      </c>
      <c r="X215" s="43" t="str">
        <f t="shared" si="101"/>
        <v/>
      </c>
      <c r="Y215" s="43" t="str">
        <f t="shared" si="101"/>
        <v/>
      </c>
      <c r="Z215" s="43" t="str">
        <f t="shared" si="101"/>
        <v/>
      </c>
      <c r="AA215" s="43" t="str">
        <f t="shared" si="101"/>
        <v/>
      </c>
      <c r="AB215" s="43" t="str">
        <f t="shared" si="102"/>
        <v/>
      </c>
      <c r="AC215" s="43" t="str">
        <f t="shared" si="102"/>
        <v/>
      </c>
      <c r="AD215" s="43" t="str">
        <f t="shared" si="102"/>
        <v/>
      </c>
      <c r="AE215" s="43" t="str">
        <f t="shared" si="102"/>
        <v/>
      </c>
      <c r="AF215" s="43" t="str">
        <f t="shared" si="102"/>
        <v/>
      </c>
      <c r="AG215" s="43" t="str">
        <f t="shared" si="102"/>
        <v/>
      </c>
      <c r="AH215" s="43" t="str">
        <f t="shared" si="102"/>
        <v/>
      </c>
      <c r="AI215" s="43" t="str">
        <f t="shared" si="102"/>
        <v/>
      </c>
      <c r="AJ215" s="43" t="str">
        <f t="shared" si="102"/>
        <v/>
      </c>
      <c r="AK215" s="43" t="str">
        <f t="shared" si="102"/>
        <v/>
      </c>
      <c r="AL215" s="43" t="str">
        <f t="shared" si="103"/>
        <v/>
      </c>
      <c r="AM215" s="43" t="str">
        <f t="shared" si="103"/>
        <v/>
      </c>
      <c r="AN215" s="43" t="str">
        <f t="shared" si="103"/>
        <v/>
      </c>
      <c r="AO215" s="43" t="str">
        <f t="shared" si="103"/>
        <v/>
      </c>
      <c r="AP215" s="43" t="str">
        <f t="shared" si="103"/>
        <v/>
      </c>
      <c r="AQ215" s="43" t="str">
        <f t="shared" si="103"/>
        <v/>
      </c>
      <c r="AR215" s="43" t="str">
        <f t="shared" si="103"/>
        <v/>
      </c>
      <c r="AS215" s="43" t="str">
        <f t="shared" si="103"/>
        <v/>
      </c>
      <c r="AT215" s="43" t="str">
        <f t="shared" si="103"/>
        <v/>
      </c>
      <c r="AU215" s="43" t="str">
        <f t="shared" si="103"/>
        <v/>
      </c>
      <c r="AV215" s="43" t="str">
        <f t="shared" si="104"/>
        <v/>
      </c>
      <c r="AW215" s="43" t="str">
        <f t="shared" si="104"/>
        <v/>
      </c>
      <c r="AX215" s="43" t="str">
        <f t="shared" si="104"/>
        <v/>
      </c>
      <c r="AY215" s="43" t="str">
        <f t="shared" si="104"/>
        <v/>
      </c>
      <c r="AZ215" s="43" t="str">
        <f t="shared" si="104"/>
        <v/>
      </c>
      <c r="BA215" s="43" t="str">
        <f t="shared" si="104"/>
        <v/>
      </c>
      <c r="BB215" s="43"/>
      <c r="BC215" s="43"/>
      <c r="BD215" s="43"/>
      <c r="BE215" s="43"/>
      <c r="BF215" s="43"/>
      <c r="BG215" s="43"/>
      <c r="BW215" s="1250"/>
    </row>
    <row r="216" spans="1:75" x14ac:dyDescent="0.25">
      <c r="A216" s="1251"/>
      <c r="B216" s="462">
        <v>210</v>
      </c>
      <c r="C216" s="462"/>
      <c r="D216" s="1244"/>
      <c r="E216" s="1050"/>
      <c r="F216" s="1244"/>
      <c r="H216" s="43" t="str">
        <f t="shared" si="100"/>
        <v/>
      </c>
      <c r="I216" s="43" t="str">
        <f t="shared" si="100"/>
        <v/>
      </c>
      <c r="J216" s="43" t="str">
        <f t="shared" si="100"/>
        <v/>
      </c>
      <c r="K216" s="43" t="str">
        <f t="shared" si="100"/>
        <v/>
      </c>
      <c r="L216" s="43" t="str">
        <f t="shared" si="100"/>
        <v/>
      </c>
      <c r="M216" s="43" t="str">
        <f t="shared" si="100"/>
        <v/>
      </c>
      <c r="N216" s="43" t="str">
        <f t="shared" si="100"/>
        <v/>
      </c>
      <c r="O216" s="43" t="str">
        <f t="shared" si="100"/>
        <v/>
      </c>
      <c r="P216" s="43" t="str">
        <f t="shared" si="100"/>
        <v/>
      </c>
      <c r="Q216" s="43" t="str">
        <f t="shared" si="100"/>
        <v/>
      </c>
      <c r="R216" s="43" t="str">
        <f t="shared" si="101"/>
        <v/>
      </c>
      <c r="S216" s="43" t="str">
        <f t="shared" si="101"/>
        <v/>
      </c>
      <c r="T216" s="43" t="str">
        <f t="shared" si="101"/>
        <v/>
      </c>
      <c r="U216" s="43" t="str">
        <f t="shared" si="101"/>
        <v/>
      </c>
      <c r="V216" s="43" t="str">
        <f t="shared" si="101"/>
        <v/>
      </c>
      <c r="W216" s="43" t="str">
        <f t="shared" si="101"/>
        <v/>
      </c>
      <c r="X216" s="43" t="str">
        <f t="shared" si="101"/>
        <v/>
      </c>
      <c r="Y216" s="43" t="str">
        <f t="shared" si="101"/>
        <v/>
      </c>
      <c r="Z216" s="43" t="str">
        <f t="shared" si="101"/>
        <v/>
      </c>
      <c r="AA216" s="43" t="str">
        <f t="shared" si="101"/>
        <v/>
      </c>
      <c r="AB216" s="43" t="str">
        <f t="shared" si="102"/>
        <v/>
      </c>
      <c r="AC216" s="43" t="str">
        <f t="shared" si="102"/>
        <v/>
      </c>
      <c r="AD216" s="43" t="str">
        <f t="shared" si="102"/>
        <v/>
      </c>
      <c r="AE216" s="43" t="str">
        <f t="shared" si="102"/>
        <v/>
      </c>
      <c r="AF216" s="43" t="str">
        <f t="shared" si="102"/>
        <v/>
      </c>
      <c r="AG216" s="43" t="str">
        <f t="shared" si="102"/>
        <v/>
      </c>
      <c r="AH216" s="43" t="str">
        <f t="shared" si="102"/>
        <v/>
      </c>
      <c r="AI216" s="43" t="str">
        <f t="shared" si="102"/>
        <v/>
      </c>
      <c r="AJ216" s="43" t="str">
        <f t="shared" si="102"/>
        <v/>
      </c>
      <c r="AK216" s="43" t="str">
        <f t="shared" si="102"/>
        <v/>
      </c>
      <c r="AL216" s="43" t="str">
        <f t="shared" si="103"/>
        <v/>
      </c>
      <c r="AM216" s="43" t="str">
        <f t="shared" si="103"/>
        <v/>
      </c>
      <c r="AN216" s="43" t="str">
        <f t="shared" si="103"/>
        <v/>
      </c>
      <c r="AO216" s="43" t="str">
        <f t="shared" si="103"/>
        <v/>
      </c>
      <c r="AP216" s="43" t="str">
        <f t="shared" si="103"/>
        <v/>
      </c>
      <c r="AQ216" s="43" t="str">
        <f t="shared" si="103"/>
        <v/>
      </c>
      <c r="AR216" s="43" t="str">
        <f t="shared" si="103"/>
        <v/>
      </c>
      <c r="AS216" s="43" t="str">
        <f t="shared" si="103"/>
        <v/>
      </c>
      <c r="AT216" s="43" t="str">
        <f t="shared" si="103"/>
        <v/>
      </c>
      <c r="AU216" s="43" t="str">
        <f t="shared" si="103"/>
        <v/>
      </c>
      <c r="AV216" s="43" t="str">
        <f t="shared" si="104"/>
        <v/>
      </c>
      <c r="AW216" s="43" t="str">
        <f t="shared" si="104"/>
        <v/>
      </c>
      <c r="AX216" s="43" t="str">
        <f t="shared" si="104"/>
        <v/>
      </c>
      <c r="AY216" s="43" t="str">
        <f t="shared" si="104"/>
        <v/>
      </c>
      <c r="AZ216" s="43" t="str">
        <f t="shared" si="104"/>
        <v/>
      </c>
      <c r="BA216" s="43" t="str">
        <f t="shared" si="104"/>
        <v/>
      </c>
      <c r="BB216" s="43"/>
      <c r="BC216" s="43"/>
      <c r="BD216" s="43"/>
      <c r="BE216" s="43"/>
      <c r="BF216" s="43"/>
      <c r="BG216" s="43"/>
      <c r="BW216" s="1250"/>
    </row>
    <row r="217" spans="1:75" x14ac:dyDescent="0.25">
      <c r="A217" s="1251"/>
      <c r="B217" s="462">
        <v>211</v>
      </c>
      <c r="C217" s="462"/>
      <c r="D217" s="1244"/>
      <c r="E217" s="1050"/>
      <c r="F217" s="1244"/>
      <c r="H217" s="43" t="str">
        <f t="shared" ref="H217:Q226" si="105">IF($D217=H$6,$B217&amp;", ","")</f>
        <v/>
      </c>
      <c r="I217" s="43" t="str">
        <f t="shared" si="105"/>
        <v/>
      </c>
      <c r="J217" s="43" t="str">
        <f t="shared" si="105"/>
        <v/>
      </c>
      <c r="K217" s="43" t="str">
        <f t="shared" si="105"/>
        <v/>
      </c>
      <c r="L217" s="43" t="str">
        <f t="shared" si="105"/>
        <v/>
      </c>
      <c r="M217" s="43" t="str">
        <f t="shared" si="105"/>
        <v/>
      </c>
      <c r="N217" s="43" t="str">
        <f t="shared" si="105"/>
        <v/>
      </c>
      <c r="O217" s="43" t="str">
        <f t="shared" si="105"/>
        <v/>
      </c>
      <c r="P217" s="43" t="str">
        <f t="shared" si="105"/>
        <v/>
      </c>
      <c r="Q217" s="43" t="str">
        <f t="shared" si="105"/>
        <v/>
      </c>
      <c r="R217" s="43" t="str">
        <f t="shared" ref="R217:AA226" si="106">IF($D217=R$6,$B217&amp;", ","")</f>
        <v/>
      </c>
      <c r="S217" s="43" t="str">
        <f t="shared" si="106"/>
        <v/>
      </c>
      <c r="T217" s="43" t="str">
        <f t="shared" si="106"/>
        <v/>
      </c>
      <c r="U217" s="43" t="str">
        <f t="shared" si="106"/>
        <v/>
      </c>
      <c r="V217" s="43" t="str">
        <f t="shared" si="106"/>
        <v/>
      </c>
      <c r="W217" s="43" t="str">
        <f t="shared" si="106"/>
        <v/>
      </c>
      <c r="X217" s="43" t="str">
        <f t="shared" si="106"/>
        <v/>
      </c>
      <c r="Y217" s="43" t="str">
        <f t="shared" si="106"/>
        <v/>
      </c>
      <c r="Z217" s="43" t="str">
        <f t="shared" si="106"/>
        <v/>
      </c>
      <c r="AA217" s="43" t="str">
        <f t="shared" si="106"/>
        <v/>
      </c>
      <c r="AB217" s="43" t="str">
        <f t="shared" ref="AB217:AK226" si="107">IF($D217=AB$6,$B217&amp;", ","")</f>
        <v/>
      </c>
      <c r="AC217" s="43" t="str">
        <f t="shared" si="107"/>
        <v/>
      </c>
      <c r="AD217" s="43" t="str">
        <f t="shared" si="107"/>
        <v/>
      </c>
      <c r="AE217" s="43" t="str">
        <f t="shared" si="107"/>
        <v/>
      </c>
      <c r="AF217" s="43" t="str">
        <f t="shared" si="107"/>
        <v/>
      </c>
      <c r="AG217" s="43" t="str">
        <f t="shared" si="107"/>
        <v/>
      </c>
      <c r="AH217" s="43" t="str">
        <f t="shared" si="107"/>
        <v/>
      </c>
      <c r="AI217" s="43" t="str">
        <f t="shared" si="107"/>
        <v/>
      </c>
      <c r="AJ217" s="43" t="str">
        <f t="shared" si="107"/>
        <v/>
      </c>
      <c r="AK217" s="43" t="str">
        <f t="shared" si="107"/>
        <v/>
      </c>
      <c r="AL217" s="43" t="str">
        <f t="shared" ref="AL217:AU226" si="108">IF($D217=AL$6,$B217&amp;", ","")</f>
        <v/>
      </c>
      <c r="AM217" s="43" t="str">
        <f t="shared" si="108"/>
        <v/>
      </c>
      <c r="AN217" s="43" t="str">
        <f t="shared" si="108"/>
        <v/>
      </c>
      <c r="AO217" s="43" t="str">
        <f t="shared" si="108"/>
        <v/>
      </c>
      <c r="AP217" s="43" t="str">
        <f t="shared" si="108"/>
        <v/>
      </c>
      <c r="AQ217" s="43" t="str">
        <f t="shared" si="108"/>
        <v/>
      </c>
      <c r="AR217" s="43" t="str">
        <f t="shared" si="108"/>
        <v/>
      </c>
      <c r="AS217" s="43" t="str">
        <f t="shared" si="108"/>
        <v/>
      </c>
      <c r="AT217" s="43" t="str">
        <f t="shared" si="108"/>
        <v/>
      </c>
      <c r="AU217" s="43" t="str">
        <f t="shared" si="108"/>
        <v/>
      </c>
      <c r="AV217" s="43" t="str">
        <f t="shared" ref="AV217:BA226" si="109">IF($D217=AV$6,$B217&amp;", ","")</f>
        <v/>
      </c>
      <c r="AW217" s="43" t="str">
        <f t="shared" si="109"/>
        <v/>
      </c>
      <c r="AX217" s="43" t="str">
        <f t="shared" si="109"/>
        <v/>
      </c>
      <c r="AY217" s="43" t="str">
        <f t="shared" si="109"/>
        <v/>
      </c>
      <c r="AZ217" s="43" t="str">
        <f t="shared" si="109"/>
        <v/>
      </c>
      <c r="BA217" s="43" t="str">
        <f t="shared" si="109"/>
        <v/>
      </c>
      <c r="BB217" s="43"/>
      <c r="BC217" s="43"/>
      <c r="BD217" s="43"/>
      <c r="BE217" s="43"/>
      <c r="BF217" s="43"/>
      <c r="BG217" s="43"/>
      <c r="BW217" s="1250"/>
    </row>
    <row r="218" spans="1:75" x14ac:dyDescent="0.25">
      <c r="A218" s="1251"/>
      <c r="B218" s="462">
        <v>212</v>
      </c>
      <c r="C218" s="462"/>
      <c r="D218" s="1244"/>
      <c r="E218" s="1050"/>
      <c r="F218" s="1244"/>
      <c r="H218" s="43" t="str">
        <f t="shared" si="105"/>
        <v/>
      </c>
      <c r="I218" s="43" t="str">
        <f t="shared" si="105"/>
        <v/>
      </c>
      <c r="J218" s="43" t="str">
        <f t="shared" si="105"/>
        <v/>
      </c>
      <c r="K218" s="43" t="str">
        <f t="shared" si="105"/>
        <v/>
      </c>
      <c r="L218" s="43" t="str">
        <f t="shared" si="105"/>
        <v/>
      </c>
      <c r="M218" s="43" t="str">
        <f t="shared" si="105"/>
        <v/>
      </c>
      <c r="N218" s="43" t="str">
        <f t="shared" si="105"/>
        <v/>
      </c>
      <c r="O218" s="43" t="str">
        <f t="shared" si="105"/>
        <v/>
      </c>
      <c r="P218" s="43" t="str">
        <f t="shared" si="105"/>
        <v/>
      </c>
      <c r="Q218" s="43" t="str">
        <f t="shared" si="105"/>
        <v/>
      </c>
      <c r="R218" s="43" t="str">
        <f t="shared" si="106"/>
        <v/>
      </c>
      <c r="S218" s="43" t="str">
        <f t="shared" si="106"/>
        <v/>
      </c>
      <c r="T218" s="43" t="str">
        <f t="shared" si="106"/>
        <v/>
      </c>
      <c r="U218" s="43" t="str">
        <f t="shared" si="106"/>
        <v/>
      </c>
      <c r="V218" s="43" t="str">
        <f t="shared" si="106"/>
        <v/>
      </c>
      <c r="W218" s="43" t="str">
        <f t="shared" si="106"/>
        <v/>
      </c>
      <c r="X218" s="43" t="str">
        <f t="shared" si="106"/>
        <v/>
      </c>
      <c r="Y218" s="43" t="str">
        <f t="shared" si="106"/>
        <v/>
      </c>
      <c r="Z218" s="43" t="str">
        <f t="shared" si="106"/>
        <v/>
      </c>
      <c r="AA218" s="43" t="str">
        <f t="shared" si="106"/>
        <v/>
      </c>
      <c r="AB218" s="43" t="str">
        <f t="shared" si="107"/>
        <v/>
      </c>
      <c r="AC218" s="43" t="str">
        <f t="shared" si="107"/>
        <v/>
      </c>
      <c r="AD218" s="43" t="str">
        <f t="shared" si="107"/>
        <v/>
      </c>
      <c r="AE218" s="43" t="str">
        <f t="shared" si="107"/>
        <v/>
      </c>
      <c r="AF218" s="43" t="str">
        <f t="shared" si="107"/>
        <v/>
      </c>
      <c r="AG218" s="43" t="str">
        <f t="shared" si="107"/>
        <v/>
      </c>
      <c r="AH218" s="43" t="str">
        <f t="shared" si="107"/>
        <v/>
      </c>
      <c r="AI218" s="43" t="str">
        <f t="shared" si="107"/>
        <v/>
      </c>
      <c r="AJ218" s="43" t="str">
        <f t="shared" si="107"/>
        <v/>
      </c>
      <c r="AK218" s="43" t="str">
        <f t="shared" si="107"/>
        <v/>
      </c>
      <c r="AL218" s="43" t="str">
        <f t="shared" si="108"/>
        <v/>
      </c>
      <c r="AM218" s="43" t="str">
        <f t="shared" si="108"/>
        <v/>
      </c>
      <c r="AN218" s="43" t="str">
        <f t="shared" si="108"/>
        <v/>
      </c>
      <c r="AO218" s="43" t="str">
        <f t="shared" si="108"/>
        <v/>
      </c>
      <c r="AP218" s="43" t="str">
        <f t="shared" si="108"/>
        <v/>
      </c>
      <c r="AQ218" s="43" t="str">
        <f t="shared" si="108"/>
        <v/>
      </c>
      <c r="AR218" s="43" t="str">
        <f t="shared" si="108"/>
        <v/>
      </c>
      <c r="AS218" s="43" t="str">
        <f t="shared" si="108"/>
        <v/>
      </c>
      <c r="AT218" s="43" t="str">
        <f t="shared" si="108"/>
        <v/>
      </c>
      <c r="AU218" s="43" t="str">
        <f t="shared" si="108"/>
        <v/>
      </c>
      <c r="AV218" s="43" t="str">
        <f t="shared" si="109"/>
        <v/>
      </c>
      <c r="AW218" s="43" t="str">
        <f t="shared" si="109"/>
        <v/>
      </c>
      <c r="AX218" s="43" t="str">
        <f t="shared" si="109"/>
        <v/>
      </c>
      <c r="AY218" s="43" t="str">
        <f t="shared" si="109"/>
        <v/>
      </c>
      <c r="AZ218" s="43" t="str">
        <f t="shared" si="109"/>
        <v/>
      </c>
      <c r="BA218" s="43" t="str">
        <f t="shared" si="109"/>
        <v/>
      </c>
      <c r="BB218" s="43"/>
      <c r="BC218" s="43"/>
      <c r="BD218" s="43"/>
      <c r="BE218" s="43"/>
      <c r="BF218" s="43"/>
      <c r="BG218" s="43"/>
      <c r="BW218" s="1250"/>
    </row>
    <row r="219" spans="1:75" x14ac:dyDescent="0.25">
      <c r="A219" s="1251"/>
      <c r="B219" s="462">
        <v>213</v>
      </c>
      <c r="C219" s="462"/>
      <c r="D219" s="1244"/>
      <c r="E219" s="1050"/>
      <c r="F219" s="1244"/>
      <c r="H219" s="43" t="str">
        <f t="shared" si="105"/>
        <v/>
      </c>
      <c r="I219" s="43" t="str">
        <f t="shared" si="105"/>
        <v/>
      </c>
      <c r="J219" s="43" t="str">
        <f t="shared" si="105"/>
        <v/>
      </c>
      <c r="K219" s="43" t="str">
        <f t="shared" si="105"/>
        <v/>
      </c>
      <c r="L219" s="43" t="str">
        <f t="shared" si="105"/>
        <v/>
      </c>
      <c r="M219" s="43" t="str">
        <f t="shared" si="105"/>
        <v/>
      </c>
      <c r="N219" s="43" t="str">
        <f t="shared" si="105"/>
        <v/>
      </c>
      <c r="O219" s="43" t="str">
        <f t="shared" si="105"/>
        <v/>
      </c>
      <c r="P219" s="43" t="str">
        <f t="shared" si="105"/>
        <v/>
      </c>
      <c r="Q219" s="43" t="str">
        <f t="shared" si="105"/>
        <v/>
      </c>
      <c r="R219" s="43" t="str">
        <f t="shared" si="106"/>
        <v/>
      </c>
      <c r="S219" s="43" t="str">
        <f t="shared" si="106"/>
        <v/>
      </c>
      <c r="T219" s="43" t="str">
        <f t="shared" si="106"/>
        <v/>
      </c>
      <c r="U219" s="43" t="str">
        <f t="shared" si="106"/>
        <v/>
      </c>
      <c r="V219" s="43" t="str">
        <f t="shared" si="106"/>
        <v/>
      </c>
      <c r="W219" s="43" t="str">
        <f t="shared" si="106"/>
        <v/>
      </c>
      <c r="X219" s="43" t="str">
        <f t="shared" si="106"/>
        <v/>
      </c>
      <c r="Y219" s="43" t="str">
        <f t="shared" si="106"/>
        <v/>
      </c>
      <c r="Z219" s="43" t="str">
        <f t="shared" si="106"/>
        <v/>
      </c>
      <c r="AA219" s="43" t="str">
        <f t="shared" si="106"/>
        <v/>
      </c>
      <c r="AB219" s="43" t="str">
        <f t="shared" si="107"/>
        <v/>
      </c>
      <c r="AC219" s="43" t="str">
        <f t="shared" si="107"/>
        <v/>
      </c>
      <c r="AD219" s="43" t="str">
        <f t="shared" si="107"/>
        <v/>
      </c>
      <c r="AE219" s="43" t="str">
        <f t="shared" si="107"/>
        <v/>
      </c>
      <c r="AF219" s="43" t="str">
        <f t="shared" si="107"/>
        <v/>
      </c>
      <c r="AG219" s="43" t="str">
        <f t="shared" si="107"/>
        <v/>
      </c>
      <c r="AH219" s="43" t="str">
        <f t="shared" si="107"/>
        <v/>
      </c>
      <c r="AI219" s="43" t="str">
        <f t="shared" si="107"/>
        <v/>
      </c>
      <c r="AJ219" s="43" t="str">
        <f t="shared" si="107"/>
        <v/>
      </c>
      <c r="AK219" s="43" t="str">
        <f t="shared" si="107"/>
        <v/>
      </c>
      <c r="AL219" s="43" t="str">
        <f t="shared" si="108"/>
        <v/>
      </c>
      <c r="AM219" s="43" t="str">
        <f t="shared" si="108"/>
        <v/>
      </c>
      <c r="AN219" s="43" t="str">
        <f t="shared" si="108"/>
        <v/>
      </c>
      <c r="AO219" s="43" t="str">
        <f t="shared" si="108"/>
        <v/>
      </c>
      <c r="AP219" s="43" t="str">
        <f t="shared" si="108"/>
        <v/>
      </c>
      <c r="AQ219" s="43" t="str">
        <f t="shared" si="108"/>
        <v/>
      </c>
      <c r="AR219" s="43" t="str">
        <f t="shared" si="108"/>
        <v/>
      </c>
      <c r="AS219" s="43" t="str">
        <f t="shared" si="108"/>
        <v/>
      </c>
      <c r="AT219" s="43" t="str">
        <f t="shared" si="108"/>
        <v/>
      </c>
      <c r="AU219" s="43" t="str">
        <f t="shared" si="108"/>
        <v/>
      </c>
      <c r="AV219" s="43" t="str">
        <f t="shared" si="109"/>
        <v/>
      </c>
      <c r="AW219" s="43" t="str">
        <f t="shared" si="109"/>
        <v/>
      </c>
      <c r="AX219" s="43" t="str">
        <f t="shared" si="109"/>
        <v/>
      </c>
      <c r="AY219" s="43" t="str">
        <f t="shared" si="109"/>
        <v/>
      </c>
      <c r="AZ219" s="43" t="str">
        <f t="shared" si="109"/>
        <v/>
      </c>
      <c r="BA219" s="43" t="str">
        <f t="shared" si="109"/>
        <v/>
      </c>
      <c r="BB219" s="43"/>
      <c r="BC219" s="43"/>
      <c r="BD219" s="43"/>
      <c r="BE219" s="43"/>
      <c r="BF219" s="43"/>
      <c r="BG219" s="43"/>
      <c r="BW219" s="1250"/>
    </row>
    <row r="220" spans="1:75" x14ac:dyDescent="0.25">
      <c r="A220" s="1251"/>
      <c r="B220" s="462">
        <v>214</v>
      </c>
      <c r="C220" s="462"/>
      <c r="D220" s="1244"/>
      <c r="E220" s="1050"/>
      <c r="F220" s="1244"/>
      <c r="H220" s="43" t="str">
        <f t="shared" si="105"/>
        <v/>
      </c>
      <c r="I220" s="43" t="str">
        <f t="shared" si="105"/>
        <v/>
      </c>
      <c r="J220" s="43" t="str">
        <f t="shared" si="105"/>
        <v/>
      </c>
      <c r="K220" s="43" t="str">
        <f t="shared" si="105"/>
        <v/>
      </c>
      <c r="L220" s="43" t="str">
        <f t="shared" si="105"/>
        <v/>
      </c>
      <c r="M220" s="43" t="str">
        <f t="shared" si="105"/>
        <v/>
      </c>
      <c r="N220" s="43" t="str">
        <f t="shared" si="105"/>
        <v/>
      </c>
      <c r="O220" s="43" t="str">
        <f t="shared" si="105"/>
        <v/>
      </c>
      <c r="P220" s="43" t="str">
        <f t="shared" si="105"/>
        <v/>
      </c>
      <c r="Q220" s="43" t="str">
        <f t="shared" si="105"/>
        <v/>
      </c>
      <c r="R220" s="43" t="str">
        <f t="shared" si="106"/>
        <v/>
      </c>
      <c r="S220" s="43" t="str">
        <f t="shared" si="106"/>
        <v/>
      </c>
      <c r="T220" s="43" t="str">
        <f t="shared" si="106"/>
        <v/>
      </c>
      <c r="U220" s="43" t="str">
        <f t="shared" si="106"/>
        <v/>
      </c>
      <c r="V220" s="43" t="str">
        <f t="shared" si="106"/>
        <v/>
      </c>
      <c r="W220" s="43" t="str">
        <f t="shared" si="106"/>
        <v/>
      </c>
      <c r="X220" s="43" t="str">
        <f t="shared" si="106"/>
        <v/>
      </c>
      <c r="Y220" s="43" t="str">
        <f t="shared" si="106"/>
        <v/>
      </c>
      <c r="Z220" s="43" t="str">
        <f t="shared" si="106"/>
        <v/>
      </c>
      <c r="AA220" s="43" t="str">
        <f t="shared" si="106"/>
        <v/>
      </c>
      <c r="AB220" s="43" t="str">
        <f t="shared" si="107"/>
        <v/>
      </c>
      <c r="AC220" s="43" t="str">
        <f t="shared" si="107"/>
        <v/>
      </c>
      <c r="AD220" s="43" t="str">
        <f t="shared" si="107"/>
        <v/>
      </c>
      <c r="AE220" s="43" t="str">
        <f t="shared" si="107"/>
        <v/>
      </c>
      <c r="AF220" s="43" t="str">
        <f t="shared" si="107"/>
        <v/>
      </c>
      <c r="AG220" s="43" t="str">
        <f t="shared" si="107"/>
        <v/>
      </c>
      <c r="AH220" s="43" t="str">
        <f t="shared" si="107"/>
        <v/>
      </c>
      <c r="AI220" s="43" t="str">
        <f t="shared" si="107"/>
        <v/>
      </c>
      <c r="AJ220" s="43" t="str">
        <f t="shared" si="107"/>
        <v/>
      </c>
      <c r="AK220" s="43" t="str">
        <f t="shared" si="107"/>
        <v/>
      </c>
      <c r="AL220" s="43" t="str">
        <f t="shared" si="108"/>
        <v/>
      </c>
      <c r="AM220" s="43" t="str">
        <f t="shared" si="108"/>
        <v/>
      </c>
      <c r="AN220" s="43" t="str">
        <f t="shared" si="108"/>
        <v/>
      </c>
      <c r="AO220" s="43" t="str">
        <f t="shared" si="108"/>
        <v/>
      </c>
      <c r="AP220" s="43" t="str">
        <f t="shared" si="108"/>
        <v/>
      </c>
      <c r="AQ220" s="43" t="str">
        <f t="shared" si="108"/>
        <v/>
      </c>
      <c r="AR220" s="43" t="str">
        <f t="shared" si="108"/>
        <v/>
      </c>
      <c r="AS220" s="43" t="str">
        <f t="shared" si="108"/>
        <v/>
      </c>
      <c r="AT220" s="43" t="str">
        <f t="shared" si="108"/>
        <v/>
      </c>
      <c r="AU220" s="43" t="str">
        <f t="shared" si="108"/>
        <v/>
      </c>
      <c r="AV220" s="43" t="str">
        <f t="shared" si="109"/>
        <v/>
      </c>
      <c r="AW220" s="43" t="str">
        <f t="shared" si="109"/>
        <v/>
      </c>
      <c r="AX220" s="43" t="str">
        <f t="shared" si="109"/>
        <v/>
      </c>
      <c r="AY220" s="43" t="str">
        <f t="shared" si="109"/>
        <v/>
      </c>
      <c r="AZ220" s="43" t="str">
        <f t="shared" si="109"/>
        <v/>
      </c>
      <c r="BA220" s="43" t="str">
        <f t="shared" si="109"/>
        <v/>
      </c>
      <c r="BB220" s="43"/>
      <c r="BC220" s="43"/>
      <c r="BD220" s="43"/>
      <c r="BE220" s="43"/>
      <c r="BF220" s="43"/>
      <c r="BG220" s="43"/>
      <c r="BW220" s="1250"/>
    </row>
    <row r="221" spans="1:75" x14ac:dyDescent="0.25">
      <c r="A221" s="1251"/>
      <c r="B221" s="462">
        <v>215</v>
      </c>
      <c r="C221" s="462"/>
      <c r="D221" s="1244"/>
      <c r="E221" s="1050"/>
      <c r="F221" s="1244"/>
      <c r="H221" s="43" t="str">
        <f t="shared" si="105"/>
        <v/>
      </c>
      <c r="I221" s="43" t="str">
        <f t="shared" si="105"/>
        <v/>
      </c>
      <c r="J221" s="43" t="str">
        <f t="shared" si="105"/>
        <v/>
      </c>
      <c r="K221" s="43" t="str">
        <f t="shared" si="105"/>
        <v/>
      </c>
      <c r="L221" s="43" t="str">
        <f t="shared" si="105"/>
        <v/>
      </c>
      <c r="M221" s="43" t="str">
        <f t="shared" si="105"/>
        <v/>
      </c>
      <c r="N221" s="43" t="str">
        <f t="shared" si="105"/>
        <v/>
      </c>
      <c r="O221" s="43" t="str">
        <f t="shared" si="105"/>
        <v/>
      </c>
      <c r="P221" s="43" t="str">
        <f t="shared" si="105"/>
        <v/>
      </c>
      <c r="Q221" s="43" t="str">
        <f t="shared" si="105"/>
        <v/>
      </c>
      <c r="R221" s="43" t="str">
        <f t="shared" si="106"/>
        <v/>
      </c>
      <c r="S221" s="43" t="str">
        <f t="shared" si="106"/>
        <v/>
      </c>
      <c r="T221" s="43" t="str">
        <f t="shared" si="106"/>
        <v/>
      </c>
      <c r="U221" s="43" t="str">
        <f t="shared" si="106"/>
        <v/>
      </c>
      <c r="V221" s="43" t="str">
        <f t="shared" si="106"/>
        <v/>
      </c>
      <c r="W221" s="43" t="str">
        <f t="shared" si="106"/>
        <v/>
      </c>
      <c r="X221" s="43" t="str">
        <f t="shared" si="106"/>
        <v/>
      </c>
      <c r="Y221" s="43" t="str">
        <f t="shared" si="106"/>
        <v/>
      </c>
      <c r="Z221" s="43" t="str">
        <f t="shared" si="106"/>
        <v/>
      </c>
      <c r="AA221" s="43" t="str">
        <f t="shared" si="106"/>
        <v/>
      </c>
      <c r="AB221" s="43" t="str">
        <f t="shared" si="107"/>
        <v/>
      </c>
      <c r="AC221" s="43" t="str">
        <f t="shared" si="107"/>
        <v/>
      </c>
      <c r="AD221" s="43" t="str">
        <f t="shared" si="107"/>
        <v/>
      </c>
      <c r="AE221" s="43" t="str">
        <f t="shared" si="107"/>
        <v/>
      </c>
      <c r="AF221" s="43" t="str">
        <f t="shared" si="107"/>
        <v/>
      </c>
      <c r="AG221" s="43" t="str">
        <f t="shared" si="107"/>
        <v/>
      </c>
      <c r="AH221" s="43" t="str">
        <f t="shared" si="107"/>
        <v/>
      </c>
      <c r="AI221" s="43" t="str">
        <f t="shared" si="107"/>
        <v/>
      </c>
      <c r="AJ221" s="43" t="str">
        <f t="shared" si="107"/>
        <v/>
      </c>
      <c r="AK221" s="43" t="str">
        <f t="shared" si="107"/>
        <v/>
      </c>
      <c r="AL221" s="43" t="str">
        <f t="shared" si="108"/>
        <v/>
      </c>
      <c r="AM221" s="43" t="str">
        <f t="shared" si="108"/>
        <v/>
      </c>
      <c r="AN221" s="43" t="str">
        <f t="shared" si="108"/>
        <v/>
      </c>
      <c r="AO221" s="43" t="str">
        <f t="shared" si="108"/>
        <v/>
      </c>
      <c r="AP221" s="43" t="str">
        <f t="shared" si="108"/>
        <v/>
      </c>
      <c r="AQ221" s="43" t="str">
        <f t="shared" si="108"/>
        <v/>
      </c>
      <c r="AR221" s="43" t="str">
        <f t="shared" si="108"/>
        <v/>
      </c>
      <c r="AS221" s="43" t="str">
        <f t="shared" si="108"/>
        <v/>
      </c>
      <c r="AT221" s="43" t="str">
        <f t="shared" si="108"/>
        <v/>
      </c>
      <c r="AU221" s="43" t="str">
        <f t="shared" si="108"/>
        <v/>
      </c>
      <c r="AV221" s="43" t="str">
        <f t="shared" si="109"/>
        <v/>
      </c>
      <c r="AW221" s="43" t="str">
        <f t="shared" si="109"/>
        <v/>
      </c>
      <c r="AX221" s="43" t="str">
        <f t="shared" si="109"/>
        <v/>
      </c>
      <c r="AY221" s="43" t="str">
        <f t="shared" si="109"/>
        <v/>
      </c>
      <c r="AZ221" s="43" t="str">
        <f t="shared" si="109"/>
        <v/>
      </c>
      <c r="BA221" s="43" t="str">
        <f t="shared" si="109"/>
        <v/>
      </c>
      <c r="BB221" s="43"/>
      <c r="BC221" s="43"/>
      <c r="BD221" s="43"/>
      <c r="BE221" s="43"/>
      <c r="BF221" s="43"/>
      <c r="BG221" s="43"/>
      <c r="BW221" s="1250"/>
    </row>
    <row r="222" spans="1:75" x14ac:dyDescent="0.25">
      <c r="A222" s="1251"/>
      <c r="B222" s="462">
        <v>216</v>
      </c>
      <c r="C222" s="462"/>
      <c r="D222" s="1244"/>
      <c r="E222" s="1050"/>
      <c r="F222" s="1244"/>
      <c r="H222" s="43" t="str">
        <f t="shared" si="105"/>
        <v/>
      </c>
      <c r="I222" s="43" t="str">
        <f t="shared" si="105"/>
        <v/>
      </c>
      <c r="J222" s="43" t="str">
        <f t="shared" si="105"/>
        <v/>
      </c>
      <c r="K222" s="43" t="str">
        <f t="shared" si="105"/>
        <v/>
      </c>
      <c r="L222" s="43" t="str">
        <f t="shared" si="105"/>
        <v/>
      </c>
      <c r="M222" s="43" t="str">
        <f t="shared" si="105"/>
        <v/>
      </c>
      <c r="N222" s="43" t="str">
        <f t="shared" si="105"/>
        <v/>
      </c>
      <c r="O222" s="43" t="str">
        <f t="shared" si="105"/>
        <v/>
      </c>
      <c r="P222" s="43" t="str">
        <f t="shared" si="105"/>
        <v/>
      </c>
      <c r="Q222" s="43" t="str">
        <f t="shared" si="105"/>
        <v/>
      </c>
      <c r="R222" s="43" t="str">
        <f t="shared" si="106"/>
        <v/>
      </c>
      <c r="S222" s="43" t="str">
        <f t="shared" si="106"/>
        <v/>
      </c>
      <c r="T222" s="43" t="str">
        <f t="shared" si="106"/>
        <v/>
      </c>
      <c r="U222" s="43" t="str">
        <f t="shared" si="106"/>
        <v/>
      </c>
      <c r="V222" s="43" t="str">
        <f t="shared" si="106"/>
        <v/>
      </c>
      <c r="W222" s="43" t="str">
        <f t="shared" si="106"/>
        <v/>
      </c>
      <c r="X222" s="43" t="str">
        <f t="shared" si="106"/>
        <v/>
      </c>
      <c r="Y222" s="43" t="str">
        <f t="shared" si="106"/>
        <v/>
      </c>
      <c r="Z222" s="43" t="str">
        <f t="shared" si="106"/>
        <v/>
      </c>
      <c r="AA222" s="43" t="str">
        <f t="shared" si="106"/>
        <v/>
      </c>
      <c r="AB222" s="43" t="str">
        <f t="shared" si="107"/>
        <v/>
      </c>
      <c r="AC222" s="43" t="str">
        <f t="shared" si="107"/>
        <v/>
      </c>
      <c r="AD222" s="43" t="str">
        <f t="shared" si="107"/>
        <v/>
      </c>
      <c r="AE222" s="43" t="str">
        <f t="shared" si="107"/>
        <v/>
      </c>
      <c r="AF222" s="43" t="str">
        <f t="shared" si="107"/>
        <v/>
      </c>
      <c r="AG222" s="43" t="str">
        <f t="shared" si="107"/>
        <v/>
      </c>
      <c r="AH222" s="43" t="str">
        <f t="shared" si="107"/>
        <v/>
      </c>
      <c r="AI222" s="43" t="str">
        <f t="shared" si="107"/>
        <v/>
      </c>
      <c r="AJ222" s="43" t="str">
        <f t="shared" si="107"/>
        <v/>
      </c>
      <c r="AK222" s="43" t="str">
        <f t="shared" si="107"/>
        <v/>
      </c>
      <c r="AL222" s="43" t="str">
        <f t="shared" si="108"/>
        <v/>
      </c>
      <c r="AM222" s="43" t="str">
        <f t="shared" si="108"/>
        <v/>
      </c>
      <c r="AN222" s="43" t="str">
        <f t="shared" si="108"/>
        <v/>
      </c>
      <c r="AO222" s="43" t="str">
        <f t="shared" si="108"/>
        <v/>
      </c>
      <c r="AP222" s="43" t="str">
        <f t="shared" si="108"/>
        <v/>
      </c>
      <c r="AQ222" s="43" t="str">
        <f t="shared" si="108"/>
        <v/>
      </c>
      <c r="AR222" s="43" t="str">
        <f t="shared" si="108"/>
        <v/>
      </c>
      <c r="AS222" s="43" t="str">
        <f t="shared" si="108"/>
        <v/>
      </c>
      <c r="AT222" s="43" t="str">
        <f t="shared" si="108"/>
        <v/>
      </c>
      <c r="AU222" s="43" t="str">
        <f t="shared" si="108"/>
        <v/>
      </c>
      <c r="AV222" s="43" t="str">
        <f t="shared" si="109"/>
        <v/>
      </c>
      <c r="AW222" s="43" t="str">
        <f t="shared" si="109"/>
        <v/>
      </c>
      <c r="AX222" s="43" t="str">
        <f t="shared" si="109"/>
        <v/>
      </c>
      <c r="AY222" s="43" t="str">
        <f t="shared" si="109"/>
        <v/>
      </c>
      <c r="AZ222" s="43" t="str">
        <f t="shared" si="109"/>
        <v/>
      </c>
      <c r="BA222" s="43" t="str">
        <f t="shared" si="109"/>
        <v/>
      </c>
      <c r="BB222" s="43"/>
      <c r="BC222" s="43"/>
      <c r="BD222" s="43"/>
      <c r="BE222" s="43"/>
      <c r="BF222" s="43"/>
      <c r="BG222" s="43"/>
      <c r="BW222" s="1250"/>
    </row>
    <row r="223" spans="1:75" x14ac:dyDescent="0.25">
      <c r="A223" s="1251"/>
      <c r="B223" s="462">
        <v>217</v>
      </c>
      <c r="C223" s="462"/>
      <c r="D223" s="1244"/>
      <c r="E223" s="1050"/>
      <c r="F223" s="1244"/>
      <c r="H223" s="43" t="str">
        <f t="shared" si="105"/>
        <v/>
      </c>
      <c r="I223" s="43" t="str">
        <f t="shared" si="105"/>
        <v/>
      </c>
      <c r="J223" s="43" t="str">
        <f t="shared" si="105"/>
        <v/>
      </c>
      <c r="K223" s="43" t="str">
        <f t="shared" si="105"/>
        <v/>
      </c>
      <c r="L223" s="43" t="str">
        <f t="shared" si="105"/>
        <v/>
      </c>
      <c r="M223" s="43" t="str">
        <f t="shared" si="105"/>
        <v/>
      </c>
      <c r="N223" s="43" t="str">
        <f t="shared" si="105"/>
        <v/>
      </c>
      <c r="O223" s="43" t="str">
        <f t="shared" si="105"/>
        <v/>
      </c>
      <c r="P223" s="43" t="str">
        <f t="shared" si="105"/>
        <v/>
      </c>
      <c r="Q223" s="43" t="str">
        <f t="shared" si="105"/>
        <v/>
      </c>
      <c r="R223" s="43" t="str">
        <f t="shared" si="106"/>
        <v/>
      </c>
      <c r="S223" s="43" t="str">
        <f t="shared" si="106"/>
        <v/>
      </c>
      <c r="T223" s="43" t="str">
        <f t="shared" si="106"/>
        <v/>
      </c>
      <c r="U223" s="43" t="str">
        <f t="shared" si="106"/>
        <v/>
      </c>
      <c r="V223" s="43" t="str">
        <f t="shared" si="106"/>
        <v/>
      </c>
      <c r="W223" s="43" t="str">
        <f t="shared" si="106"/>
        <v/>
      </c>
      <c r="X223" s="43" t="str">
        <f t="shared" si="106"/>
        <v/>
      </c>
      <c r="Y223" s="43" t="str">
        <f t="shared" si="106"/>
        <v/>
      </c>
      <c r="Z223" s="43" t="str">
        <f t="shared" si="106"/>
        <v/>
      </c>
      <c r="AA223" s="43" t="str">
        <f t="shared" si="106"/>
        <v/>
      </c>
      <c r="AB223" s="43" t="str">
        <f t="shared" si="107"/>
        <v/>
      </c>
      <c r="AC223" s="43" t="str">
        <f t="shared" si="107"/>
        <v/>
      </c>
      <c r="AD223" s="43" t="str">
        <f t="shared" si="107"/>
        <v/>
      </c>
      <c r="AE223" s="43" t="str">
        <f t="shared" si="107"/>
        <v/>
      </c>
      <c r="AF223" s="43" t="str">
        <f t="shared" si="107"/>
        <v/>
      </c>
      <c r="AG223" s="43" t="str">
        <f t="shared" si="107"/>
        <v/>
      </c>
      <c r="AH223" s="43" t="str">
        <f t="shared" si="107"/>
        <v/>
      </c>
      <c r="AI223" s="43" t="str">
        <f t="shared" si="107"/>
        <v/>
      </c>
      <c r="AJ223" s="43" t="str">
        <f t="shared" si="107"/>
        <v/>
      </c>
      <c r="AK223" s="43" t="str">
        <f t="shared" si="107"/>
        <v/>
      </c>
      <c r="AL223" s="43" t="str">
        <f t="shared" si="108"/>
        <v/>
      </c>
      <c r="AM223" s="43" t="str">
        <f t="shared" si="108"/>
        <v/>
      </c>
      <c r="AN223" s="43" t="str">
        <f t="shared" si="108"/>
        <v/>
      </c>
      <c r="AO223" s="43" t="str">
        <f t="shared" si="108"/>
        <v/>
      </c>
      <c r="AP223" s="43" t="str">
        <f t="shared" si="108"/>
        <v/>
      </c>
      <c r="AQ223" s="43" t="str">
        <f t="shared" si="108"/>
        <v/>
      </c>
      <c r="AR223" s="43" t="str">
        <f t="shared" si="108"/>
        <v/>
      </c>
      <c r="AS223" s="43" t="str">
        <f t="shared" si="108"/>
        <v/>
      </c>
      <c r="AT223" s="43" t="str">
        <f t="shared" si="108"/>
        <v/>
      </c>
      <c r="AU223" s="43" t="str">
        <f t="shared" si="108"/>
        <v/>
      </c>
      <c r="AV223" s="43" t="str">
        <f t="shared" si="109"/>
        <v/>
      </c>
      <c r="AW223" s="43" t="str">
        <f t="shared" si="109"/>
        <v/>
      </c>
      <c r="AX223" s="43" t="str">
        <f t="shared" si="109"/>
        <v/>
      </c>
      <c r="AY223" s="43" t="str">
        <f t="shared" si="109"/>
        <v/>
      </c>
      <c r="AZ223" s="43" t="str">
        <f t="shared" si="109"/>
        <v/>
      </c>
      <c r="BA223" s="43" t="str">
        <f t="shared" si="109"/>
        <v/>
      </c>
      <c r="BB223" s="43"/>
      <c r="BC223" s="43"/>
      <c r="BD223" s="43"/>
      <c r="BE223" s="43"/>
      <c r="BF223" s="43"/>
      <c r="BG223" s="43"/>
      <c r="BW223" s="1250"/>
    </row>
    <row r="224" spans="1:75" x14ac:dyDescent="0.25">
      <c r="A224" s="1251"/>
      <c r="B224" s="462">
        <v>218</v>
      </c>
      <c r="C224" s="462"/>
      <c r="D224" s="1244"/>
      <c r="E224" s="1050"/>
      <c r="F224" s="1244"/>
      <c r="H224" s="43" t="str">
        <f t="shared" si="105"/>
        <v/>
      </c>
      <c r="I224" s="43" t="str">
        <f t="shared" si="105"/>
        <v/>
      </c>
      <c r="J224" s="43" t="str">
        <f t="shared" si="105"/>
        <v/>
      </c>
      <c r="K224" s="43" t="str">
        <f t="shared" si="105"/>
        <v/>
      </c>
      <c r="L224" s="43" t="str">
        <f t="shared" si="105"/>
        <v/>
      </c>
      <c r="M224" s="43" t="str">
        <f t="shared" si="105"/>
        <v/>
      </c>
      <c r="N224" s="43" t="str">
        <f t="shared" si="105"/>
        <v/>
      </c>
      <c r="O224" s="43" t="str">
        <f t="shared" si="105"/>
        <v/>
      </c>
      <c r="P224" s="43" t="str">
        <f t="shared" si="105"/>
        <v/>
      </c>
      <c r="Q224" s="43" t="str">
        <f t="shared" si="105"/>
        <v/>
      </c>
      <c r="R224" s="43" t="str">
        <f t="shared" si="106"/>
        <v/>
      </c>
      <c r="S224" s="43" t="str">
        <f t="shared" si="106"/>
        <v/>
      </c>
      <c r="T224" s="43" t="str">
        <f t="shared" si="106"/>
        <v/>
      </c>
      <c r="U224" s="43" t="str">
        <f t="shared" si="106"/>
        <v/>
      </c>
      <c r="V224" s="43" t="str">
        <f t="shared" si="106"/>
        <v/>
      </c>
      <c r="W224" s="43" t="str">
        <f t="shared" si="106"/>
        <v/>
      </c>
      <c r="X224" s="43" t="str">
        <f t="shared" si="106"/>
        <v/>
      </c>
      <c r="Y224" s="43" t="str">
        <f t="shared" si="106"/>
        <v/>
      </c>
      <c r="Z224" s="43" t="str">
        <f t="shared" si="106"/>
        <v/>
      </c>
      <c r="AA224" s="43" t="str">
        <f t="shared" si="106"/>
        <v/>
      </c>
      <c r="AB224" s="43" t="str">
        <f t="shared" si="107"/>
        <v/>
      </c>
      <c r="AC224" s="43" t="str">
        <f t="shared" si="107"/>
        <v/>
      </c>
      <c r="AD224" s="43" t="str">
        <f t="shared" si="107"/>
        <v/>
      </c>
      <c r="AE224" s="43" t="str">
        <f t="shared" si="107"/>
        <v/>
      </c>
      <c r="AF224" s="43" t="str">
        <f t="shared" si="107"/>
        <v/>
      </c>
      <c r="AG224" s="43" t="str">
        <f t="shared" si="107"/>
        <v/>
      </c>
      <c r="AH224" s="43" t="str">
        <f t="shared" si="107"/>
        <v/>
      </c>
      <c r="AI224" s="43" t="str">
        <f t="shared" si="107"/>
        <v/>
      </c>
      <c r="AJ224" s="43" t="str">
        <f t="shared" si="107"/>
        <v/>
      </c>
      <c r="AK224" s="43" t="str">
        <f t="shared" si="107"/>
        <v/>
      </c>
      <c r="AL224" s="43" t="str">
        <f t="shared" si="108"/>
        <v/>
      </c>
      <c r="AM224" s="43" t="str">
        <f t="shared" si="108"/>
        <v/>
      </c>
      <c r="AN224" s="43" t="str">
        <f t="shared" si="108"/>
        <v/>
      </c>
      <c r="AO224" s="43" t="str">
        <f t="shared" si="108"/>
        <v/>
      </c>
      <c r="AP224" s="43" t="str">
        <f t="shared" si="108"/>
        <v/>
      </c>
      <c r="AQ224" s="43" t="str">
        <f t="shared" si="108"/>
        <v/>
      </c>
      <c r="AR224" s="43" t="str">
        <f t="shared" si="108"/>
        <v/>
      </c>
      <c r="AS224" s="43" t="str">
        <f t="shared" si="108"/>
        <v/>
      </c>
      <c r="AT224" s="43" t="str">
        <f t="shared" si="108"/>
        <v/>
      </c>
      <c r="AU224" s="43" t="str">
        <f t="shared" si="108"/>
        <v/>
      </c>
      <c r="AV224" s="43" t="str">
        <f t="shared" si="109"/>
        <v/>
      </c>
      <c r="AW224" s="43" t="str">
        <f t="shared" si="109"/>
        <v/>
      </c>
      <c r="AX224" s="43" t="str">
        <f t="shared" si="109"/>
        <v/>
      </c>
      <c r="AY224" s="43" t="str">
        <f t="shared" si="109"/>
        <v/>
      </c>
      <c r="AZ224" s="43" t="str">
        <f t="shared" si="109"/>
        <v/>
      </c>
      <c r="BA224" s="43" t="str">
        <f t="shared" si="109"/>
        <v/>
      </c>
      <c r="BB224" s="43"/>
      <c r="BC224" s="43"/>
      <c r="BD224" s="43"/>
      <c r="BE224" s="43"/>
      <c r="BF224" s="43"/>
      <c r="BG224" s="43"/>
      <c r="BW224" s="1250"/>
    </row>
    <row r="225" spans="1:75" x14ac:dyDescent="0.25">
      <c r="A225" s="1251"/>
      <c r="B225" s="462">
        <v>219</v>
      </c>
      <c r="C225" s="462"/>
      <c r="D225" s="1244"/>
      <c r="E225" s="1050"/>
      <c r="F225" s="1244"/>
      <c r="H225" s="43" t="str">
        <f t="shared" si="105"/>
        <v/>
      </c>
      <c r="I225" s="43" t="str">
        <f t="shared" si="105"/>
        <v/>
      </c>
      <c r="J225" s="43" t="str">
        <f t="shared" si="105"/>
        <v/>
      </c>
      <c r="K225" s="43" t="str">
        <f t="shared" si="105"/>
        <v/>
      </c>
      <c r="L225" s="43" t="str">
        <f t="shared" si="105"/>
        <v/>
      </c>
      <c r="M225" s="43" t="str">
        <f t="shared" si="105"/>
        <v/>
      </c>
      <c r="N225" s="43" t="str">
        <f t="shared" si="105"/>
        <v/>
      </c>
      <c r="O225" s="43" t="str">
        <f t="shared" si="105"/>
        <v/>
      </c>
      <c r="P225" s="43" t="str">
        <f t="shared" si="105"/>
        <v/>
      </c>
      <c r="Q225" s="43" t="str">
        <f t="shared" si="105"/>
        <v/>
      </c>
      <c r="R225" s="43" t="str">
        <f t="shared" si="106"/>
        <v/>
      </c>
      <c r="S225" s="43" t="str">
        <f t="shared" si="106"/>
        <v/>
      </c>
      <c r="T225" s="43" t="str">
        <f t="shared" si="106"/>
        <v/>
      </c>
      <c r="U225" s="43" t="str">
        <f t="shared" si="106"/>
        <v/>
      </c>
      <c r="V225" s="43" t="str">
        <f t="shared" si="106"/>
        <v/>
      </c>
      <c r="W225" s="43" t="str">
        <f t="shared" si="106"/>
        <v/>
      </c>
      <c r="X225" s="43" t="str">
        <f t="shared" si="106"/>
        <v/>
      </c>
      <c r="Y225" s="43" t="str">
        <f t="shared" si="106"/>
        <v/>
      </c>
      <c r="Z225" s="43" t="str">
        <f t="shared" si="106"/>
        <v/>
      </c>
      <c r="AA225" s="43" t="str">
        <f t="shared" si="106"/>
        <v/>
      </c>
      <c r="AB225" s="43" t="str">
        <f t="shared" si="107"/>
        <v/>
      </c>
      <c r="AC225" s="43" t="str">
        <f t="shared" si="107"/>
        <v/>
      </c>
      <c r="AD225" s="43" t="str">
        <f t="shared" si="107"/>
        <v/>
      </c>
      <c r="AE225" s="43" t="str">
        <f t="shared" si="107"/>
        <v/>
      </c>
      <c r="AF225" s="43" t="str">
        <f t="shared" si="107"/>
        <v/>
      </c>
      <c r="AG225" s="43" t="str">
        <f t="shared" si="107"/>
        <v/>
      </c>
      <c r="AH225" s="43" t="str">
        <f t="shared" si="107"/>
        <v/>
      </c>
      <c r="AI225" s="43" t="str">
        <f t="shared" si="107"/>
        <v/>
      </c>
      <c r="AJ225" s="43" t="str">
        <f t="shared" si="107"/>
        <v/>
      </c>
      <c r="AK225" s="43" t="str">
        <f t="shared" si="107"/>
        <v/>
      </c>
      <c r="AL225" s="43" t="str">
        <f t="shared" si="108"/>
        <v/>
      </c>
      <c r="AM225" s="43" t="str">
        <f t="shared" si="108"/>
        <v/>
      </c>
      <c r="AN225" s="43" t="str">
        <f t="shared" si="108"/>
        <v/>
      </c>
      <c r="AO225" s="43" t="str">
        <f t="shared" si="108"/>
        <v/>
      </c>
      <c r="AP225" s="43" t="str">
        <f t="shared" si="108"/>
        <v/>
      </c>
      <c r="AQ225" s="43" t="str">
        <f t="shared" si="108"/>
        <v/>
      </c>
      <c r="AR225" s="43" t="str">
        <f t="shared" si="108"/>
        <v/>
      </c>
      <c r="AS225" s="43" t="str">
        <f t="shared" si="108"/>
        <v/>
      </c>
      <c r="AT225" s="43" t="str">
        <f t="shared" si="108"/>
        <v/>
      </c>
      <c r="AU225" s="43" t="str">
        <f t="shared" si="108"/>
        <v/>
      </c>
      <c r="AV225" s="43" t="str">
        <f t="shared" si="109"/>
        <v/>
      </c>
      <c r="AW225" s="43" t="str">
        <f t="shared" si="109"/>
        <v/>
      </c>
      <c r="AX225" s="43" t="str">
        <f t="shared" si="109"/>
        <v/>
      </c>
      <c r="AY225" s="43" t="str">
        <f t="shared" si="109"/>
        <v/>
      </c>
      <c r="AZ225" s="43" t="str">
        <f t="shared" si="109"/>
        <v/>
      </c>
      <c r="BA225" s="43" t="str">
        <f t="shared" si="109"/>
        <v/>
      </c>
      <c r="BB225" s="43"/>
      <c r="BC225" s="43"/>
      <c r="BD225" s="43"/>
      <c r="BE225" s="43"/>
      <c r="BF225" s="43"/>
      <c r="BG225" s="43"/>
      <c r="BW225" s="1250"/>
    </row>
    <row r="226" spans="1:75" x14ac:dyDescent="0.25">
      <c r="A226" s="1251"/>
      <c r="B226" s="462">
        <v>220</v>
      </c>
      <c r="C226" s="462"/>
      <c r="D226" s="1244"/>
      <c r="E226" s="1050"/>
      <c r="F226" s="1244"/>
      <c r="H226" s="43" t="str">
        <f t="shared" si="105"/>
        <v/>
      </c>
      <c r="I226" s="43" t="str">
        <f t="shared" si="105"/>
        <v/>
      </c>
      <c r="J226" s="43" t="str">
        <f t="shared" si="105"/>
        <v/>
      </c>
      <c r="K226" s="43" t="str">
        <f t="shared" si="105"/>
        <v/>
      </c>
      <c r="L226" s="43" t="str">
        <f t="shared" si="105"/>
        <v/>
      </c>
      <c r="M226" s="43" t="str">
        <f t="shared" si="105"/>
        <v/>
      </c>
      <c r="N226" s="43" t="str">
        <f t="shared" si="105"/>
        <v/>
      </c>
      <c r="O226" s="43" t="str">
        <f t="shared" si="105"/>
        <v/>
      </c>
      <c r="P226" s="43" t="str">
        <f t="shared" si="105"/>
        <v/>
      </c>
      <c r="Q226" s="43" t="str">
        <f t="shared" si="105"/>
        <v/>
      </c>
      <c r="R226" s="43" t="str">
        <f t="shared" si="106"/>
        <v/>
      </c>
      <c r="S226" s="43" t="str">
        <f t="shared" si="106"/>
        <v/>
      </c>
      <c r="T226" s="43" t="str">
        <f t="shared" si="106"/>
        <v/>
      </c>
      <c r="U226" s="43" t="str">
        <f t="shared" si="106"/>
        <v/>
      </c>
      <c r="V226" s="43" t="str">
        <f t="shared" si="106"/>
        <v/>
      </c>
      <c r="W226" s="43" t="str">
        <f t="shared" si="106"/>
        <v/>
      </c>
      <c r="X226" s="43" t="str">
        <f t="shared" si="106"/>
        <v/>
      </c>
      <c r="Y226" s="43" t="str">
        <f t="shared" si="106"/>
        <v/>
      </c>
      <c r="Z226" s="43" t="str">
        <f t="shared" si="106"/>
        <v/>
      </c>
      <c r="AA226" s="43" t="str">
        <f t="shared" si="106"/>
        <v/>
      </c>
      <c r="AB226" s="43" t="str">
        <f t="shared" si="107"/>
        <v/>
      </c>
      <c r="AC226" s="43" t="str">
        <f t="shared" si="107"/>
        <v/>
      </c>
      <c r="AD226" s="43" t="str">
        <f t="shared" si="107"/>
        <v/>
      </c>
      <c r="AE226" s="43" t="str">
        <f t="shared" si="107"/>
        <v/>
      </c>
      <c r="AF226" s="43" t="str">
        <f t="shared" si="107"/>
        <v/>
      </c>
      <c r="AG226" s="43" t="str">
        <f t="shared" si="107"/>
        <v/>
      </c>
      <c r="AH226" s="43" t="str">
        <f t="shared" si="107"/>
        <v/>
      </c>
      <c r="AI226" s="43" t="str">
        <f t="shared" si="107"/>
        <v/>
      </c>
      <c r="AJ226" s="43" t="str">
        <f t="shared" si="107"/>
        <v/>
      </c>
      <c r="AK226" s="43" t="str">
        <f t="shared" si="107"/>
        <v/>
      </c>
      <c r="AL226" s="43" t="str">
        <f t="shared" si="108"/>
        <v/>
      </c>
      <c r="AM226" s="43" t="str">
        <f t="shared" si="108"/>
        <v/>
      </c>
      <c r="AN226" s="43" t="str">
        <f t="shared" si="108"/>
        <v/>
      </c>
      <c r="AO226" s="43" t="str">
        <f t="shared" si="108"/>
        <v/>
      </c>
      <c r="AP226" s="43" t="str">
        <f t="shared" si="108"/>
        <v/>
      </c>
      <c r="AQ226" s="43" t="str">
        <f t="shared" si="108"/>
        <v/>
      </c>
      <c r="AR226" s="43" t="str">
        <f t="shared" si="108"/>
        <v/>
      </c>
      <c r="AS226" s="43" t="str">
        <f t="shared" si="108"/>
        <v/>
      </c>
      <c r="AT226" s="43" t="str">
        <f t="shared" si="108"/>
        <v/>
      </c>
      <c r="AU226" s="43" t="str">
        <f t="shared" si="108"/>
        <v/>
      </c>
      <c r="AV226" s="43" t="str">
        <f t="shared" si="109"/>
        <v/>
      </c>
      <c r="AW226" s="43" t="str">
        <f t="shared" si="109"/>
        <v/>
      </c>
      <c r="AX226" s="43" t="str">
        <f t="shared" si="109"/>
        <v/>
      </c>
      <c r="AY226" s="43" t="str">
        <f t="shared" si="109"/>
        <v/>
      </c>
      <c r="AZ226" s="43" t="str">
        <f t="shared" si="109"/>
        <v/>
      </c>
      <c r="BA226" s="43" t="str">
        <f t="shared" si="109"/>
        <v/>
      </c>
      <c r="BB226" s="43"/>
      <c r="BC226" s="43"/>
      <c r="BD226" s="43"/>
      <c r="BE226" s="43"/>
      <c r="BF226" s="43"/>
      <c r="BG226" s="43"/>
      <c r="BW226" s="1250"/>
    </row>
    <row r="227" spans="1:75" x14ac:dyDescent="0.25">
      <c r="A227" s="1251"/>
      <c r="B227" s="462">
        <v>221</v>
      </c>
      <c r="C227" s="462"/>
      <c r="D227" s="1244"/>
      <c r="E227" s="1050"/>
      <c r="F227" s="1244"/>
      <c r="H227" s="43" t="str">
        <f t="shared" ref="H227:Q236" si="110">IF($D227=H$6,$B227&amp;", ","")</f>
        <v/>
      </c>
      <c r="I227" s="43" t="str">
        <f t="shared" si="110"/>
        <v/>
      </c>
      <c r="J227" s="43" t="str">
        <f t="shared" si="110"/>
        <v/>
      </c>
      <c r="K227" s="43" t="str">
        <f t="shared" si="110"/>
        <v/>
      </c>
      <c r="L227" s="43" t="str">
        <f t="shared" si="110"/>
        <v/>
      </c>
      <c r="M227" s="43" t="str">
        <f t="shared" si="110"/>
        <v/>
      </c>
      <c r="N227" s="43" t="str">
        <f t="shared" si="110"/>
        <v/>
      </c>
      <c r="O227" s="43" t="str">
        <f t="shared" si="110"/>
        <v/>
      </c>
      <c r="P227" s="43" t="str">
        <f t="shared" si="110"/>
        <v/>
      </c>
      <c r="Q227" s="43" t="str">
        <f t="shared" si="110"/>
        <v/>
      </c>
      <c r="R227" s="43" t="str">
        <f t="shared" ref="R227:AA236" si="111">IF($D227=R$6,$B227&amp;", ","")</f>
        <v/>
      </c>
      <c r="S227" s="43" t="str">
        <f t="shared" si="111"/>
        <v/>
      </c>
      <c r="T227" s="43" t="str">
        <f t="shared" si="111"/>
        <v/>
      </c>
      <c r="U227" s="43" t="str">
        <f t="shared" si="111"/>
        <v/>
      </c>
      <c r="V227" s="43" t="str">
        <f t="shared" si="111"/>
        <v/>
      </c>
      <c r="W227" s="43" t="str">
        <f t="shared" si="111"/>
        <v/>
      </c>
      <c r="X227" s="43" t="str">
        <f t="shared" si="111"/>
        <v/>
      </c>
      <c r="Y227" s="43" t="str">
        <f t="shared" si="111"/>
        <v/>
      </c>
      <c r="Z227" s="43" t="str">
        <f t="shared" si="111"/>
        <v/>
      </c>
      <c r="AA227" s="43" t="str">
        <f t="shared" si="111"/>
        <v/>
      </c>
      <c r="AB227" s="43" t="str">
        <f t="shared" ref="AB227:AK236" si="112">IF($D227=AB$6,$B227&amp;", ","")</f>
        <v/>
      </c>
      <c r="AC227" s="43" t="str">
        <f t="shared" si="112"/>
        <v/>
      </c>
      <c r="AD227" s="43" t="str">
        <f t="shared" si="112"/>
        <v/>
      </c>
      <c r="AE227" s="43" t="str">
        <f t="shared" si="112"/>
        <v/>
      </c>
      <c r="AF227" s="43" t="str">
        <f t="shared" si="112"/>
        <v/>
      </c>
      <c r="AG227" s="43" t="str">
        <f t="shared" si="112"/>
        <v/>
      </c>
      <c r="AH227" s="43" t="str">
        <f t="shared" si="112"/>
        <v/>
      </c>
      <c r="AI227" s="43" t="str">
        <f t="shared" si="112"/>
        <v/>
      </c>
      <c r="AJ227" s="43" t="str">
        <f t="shared" si="112"/>
        <v/>
      </c>
      <c r="AK227" s="43" t="str">
        <f t="shared" si="112"/>
        <v/>
      </c>
      <c r="AL227" s="43" t="str">
        <f t="shared" ref="AL227:AU236" si="113">IF($D227=AL$6,$B227&amp;", ","")</f>
        <v/>
      </c>
      <c r="AM227" s="43" t="str">
        <f t="shared" si="113"/>
        <v/>
      </c>
      <c r="AN227" s="43" t="str">
        <f t="shared" si="113"/>
        <v/>
      </c>
      <c r="AO227" s="43" t="str">
        <f t="shared" si="113"/>
        <v/>
      </c>
      <c r="AP227" s="43" t="str">
        <f t="shared" si="113"/>
        <v/>
      </c>
      <c r="AQ227" s="43" t="str">
        <f t="shared" si="113"/>
        <v/>
      </c>
      <c r="AR227" s="43" t="str">
        <f t="shared" si="113"/>
        <v/>
      </c>
      <c r="AS227" s="43" t="str">
        <f t="shared" si="113"/>
        <v/>
      </c>
      <c r="AT227" s="43" t="str">
        <f t="shared" si="113"/>
        <v/>
      </c>
      <c r="AU227" s="43" t="str">
        <f t="shared" si="113"/>
        <v/>
      </c>
      <c r="AV227" s="43" t="str">
        <f t="shared" ref="AV227:BA236" si="114">IF($D227=AV$6,$B227&amp;", ","")</f>
        <v/>
      </c>
      <c r="AW227" s="43" t="str">
        <f t="shared" si="114"/>
        <v/>
      </c>
      <c r="AX227" s="43" t="str">
        <f t="shared" si="114"/>
        <v/>
      </c>
      <c r="AY227" s="43" t="str">
        <f t="shared" si="114"/>
        <v/>
      </c>
      <c r="AZ227" s="43" t="str">
        <f t="shared" si="114"/>
        <v/>
      </c>
      <c r="BA227" s="43" t="str">
        <f t="shared" si="114"/>
        <v/>
      </c>
      <c r="BB227" s="43"/>
      <c r="BC227" s="43"/>
      <c r="BD227" s="43"/>
      <c r="BE227" s="43"/>
      <c r="BF227" s="43"/>
      <c r="BG227" s="43"/>
      <c r="BW227" s="1250"/>
    </row>
    <row r="228" spans="1:75" x14ac:dyDescent="0.25">
      <c r="A228" s="1251"/>
      <c r="B228" s="462">
        <v>222</v>
      </c>
      <c r="C228" s="462"/>
      <c r="D228" s="1244"/>
      <c r="E228" s="1050"/>
      <c r="F228" s="1244"/>
      <c r="H228" s="43" t="str">
        <f t="shared" si="110"/>
        <v/>
      </c>
      <c r="I228" s="43" t="str">
        <f t="shared" si="110"/>
        <v/>
      </c>
      <c r="J228" s="43" t="str">
        <f t="shared" si="110"/>
        <v/>
      </c>
      <c r="K228" s="43" t="str">
        <f t="shared" si="110"/>
        <v/>
      </c>
      <c r="L228" s="43" t="str">
        <f t="shared" si="110"/>
        <v/>
      </c>
      <c r="M228" s="43" t="str">
        <f t="shared" si="110"/>
        <v/>
      </c>
      <c r="N228" s="43" t="str">
        <f t="shared" si="110"/>
        <v/>
      </c>
      <c r="O228" s="43" t="str">
        <f t="shared" si="110"/>
        <v/>
      </c>
      <c r="P228" s="43" t="str">
        <f t="shared" si="110"/>
        <v/>
      </c>
      <c r="Q228" s="43" t="str">
        <f t="shared" si="110"/>
        <v/>
      </c>
      <c r="R228" s="43" t="str">
        <f t="shared" si="111"/>
        <v/>
      </c>
      <c r="S228" s="43" t="str">
        <f t="shared" si="111"/>
        <v/>
      </c>
      <c r="T228" s="43" t="str">
        <f t="shared" si="111"/>
        <v/>
      </c>
      <c r="U228" s="43" t="str">
        <f t="shared" si="111"/>
        <v/>
      </c>
      <c r="V228" s="43" t="str">
        <f t="shared" si="111"/>
        <v/>
      </c>
      <c r="W228" s="43" t="str">
        <f t="shared" si="111"/>
        <v/>
      </c>
      <c r="X228" s="43" t="str">
        <f t="shared" si="111"/>
        <v/>
      </c>
      <c r="Y228" s="43" t="str">
        <f t="shared" si="111"/>
        <v/>
      </c>
      <c r="Z228" s="43" t="str">
        <f t="shared" si="111"/>
        <v/>
      </c>
      <c r="AA228" s="43" t="str">
        <f t="shared" si="111"/>
        <v/>
      </c>
      <c r="AB228" s="43" t="str">
        <f t="shared" si="112"/>
        <v/>
      </c>
      <c r="AC228" s="43" t="str">
        <f t="shared" si="112"/>
        <v/>
      </c>
      <c r="AD228" s="43" t="str">
        <f t="shared" si="112"/>
        <v/>
      </c>
      <c r="AE228" s="43" t="str">
        <f t="shared" si="112"/>
        <v/>
      </c>
      <c r="AF228" s="43" t="str">
        <f t="shared" si="112"/>
        <v/>
      </c>
      <c r="AG228" s="43" t="str">
        <f t="shared" si="112"/>
        <v/>
      </c>
      <c r="AH228" s="43" t="str">
        <f t="shared" si="112"/>
        <v/>
      </c>
      <c r="AI228" s="43" t="str">
        <f t="shared" si="112"/>
        <v/>
      </c>
      <c r="AJ228" s="43" t="str">
        <f t="shared" si="112"/>
        <v/>
      </c>
      <c r="AK228" s="43" t="str">
        <f t="shared" si="112"/>
        <v/>
      </c>
      <c r="AL228" s="43" t="str">
        <f t="shared" si="113"/>
        <v/>
      </c>
      <c r="AM228" s="43" t="str">
        <f t="shared" si="113"/>
        <v/>
      </c>
      <c r="AN228" s="43" t="str">
        <f t="shared" si="113"/>
        <v/>
      </c>
      <c r="AO228" s="43" t="str">
        <f t="shared" si="113"/>
        <v/>
      </c>
      <c r="AP228" s="43" t="str">
        <f t="shared" si="113"/>
        <v/>
      </c>
      <c r="AQ228" s="43" t="str">
        <f t="shared" si="113"/>
        <v/>
      </c>
      <c r="AR228" s="43" t="str">
        <f t="shared" si="113"/>
        <v/>
      </c>
      <c r="AS228" s="43" t="str">
        <f t="shared" si="113"/>
        <v/>
      </c>
      <c r="AT228" s="43" t="str">
        <f t="shared" si="113"/>
        <v/>
      </c>
      <c r="AU228" s="43" t="str">
        <f t="shared" si="113"/>
        <v/>
      </c>
      <c r="AV228" s="43" t="str">
        <f t="shared" si="114"/>
        <v/>
      </c>
      <c r="AW228" s="43" t="str">
        <f t="shared" si="114"/>
        <v/>
      </c>
      <c r="AX228" s="43" t="str">
        <f t="shared" si="114"/>
        <v/>
      </c>
      <c r="AY228" s="43" t="str">
        <f t="shared" si="114"/>
        <v/>
      </c>
      <c r="AZ228" s="43" t="str">
        <f t="shared" si="114"/>
        <v/>
      </c>
      <c r="BA228" s="43" t="str">
        <f t="shared" si="114"/>
        <v/>
      </c>
      <c r="BB228" s="43"/>
      <c r="BC228" s="43"/>
      <c r="BD228" s="43"/>
      <c r="BE228" s="43"/>
      <c r="BF228" s="43"/>
      <c r="BG228" s="43"/>
      <c r="BW228" s="1250"/>
    </row>
    <row r="229" spans="1:75" x14ac:dyDescent="0.25">
      <c r="A229" s="1251"/>
      <c r="B229" s="462">
        <v>223</v>
      </c>
      <c r="C229" s="462"/>
      <c r="D229" s="1244"/>
      <c r="E229" s="1050"/>
      <c r="F229" s="1244"/>
      <c r="H229" s="43" t="str">
        <f t="shared" si="110"/>
        <v/>
      </c>
      <c r="I229" s="43" t="str">
        <f t="shared" si="110"/>
        <v/>
      </c>
      <c r="J229" s="43" t="str">
        <f t="shared" si="110"/>
        <v/>
      </c>
      <c r="K229" s="43" t="str">
        <f t="shared" si="110"/>
        <v/>
      </c>
      <c r="L229" s="43" t="str">
        <f t="shared" si="110"/>
        <v/>
      </c>
      <c r="M229" s="43" t="str">
        <f t="shared" si="110"/>
        <v/>
      </c>
      <c r="N229" s="43" t="str">
        <f t="shared" si="110"/>
        <v/>
      </c>
      <c r="O229" s="43" t="str">
        <f t="shared" si="110"/>
        <v/>
      </c>
      <c r="P229" s="43" t="str">
        <f t="shared" si="110"/>
        <v/>
      </c>
      <c r="Q229" s="43" t="str">
        <f t="shared" si="110"/>
        <v/>
      </c>
      <c r="R229" s="43" t="str">
        <f t="shared" si="111"/>
        <v/>
      </c>
      <c r="S229" s="43" t="str">
        <f t="shared" si="111"/>
        <v/>
      </c>
      <c r="T229" s="43" t="str">
        <f t="shared" si="111"/>
        <v/>
      </c>
      <c r="U229" s="43" t="str">
        <f t="shared" si="111"/>
        <v/>
      </c>
      <c r="V229" s="43" t="str">
        <f t="shared" si="111"/>
        <v/>
      </c>
      <c r="W229" s="43" t="str">
        <f t="shared" si="111"/>
        <v/>
      </c>
      <c r="X229" s="43" t="str">
        <f t="shared" si="111"/>
        <v/>
      </c>
      <c r="Y229" s="43" t="str">
        <f t="shared" si="111"/>
        <v/>
      </c>
      <c r="Z229" s="43" t="str">
        <f t="shared" si="111"/>
        <v/>
      </c>
      <c r="AA229" s="43" t="str">
        <f t="shared" si="111"/>
        <v/>
      </c>
      <c r="AB229" s="43" t="str">
        <f t="shared" si="112"/>
        <v/>
      </c>
      <c r="AC229" s="43" t="str">
        <f t="shared" si="112"/>
        <v/>
      </c>
      <c r="AD229" s="43" t="str">
        <f t="shared" si="112"/>
        <v/>
      </c>
      <c r="AE229" s="43" t="str">
        <f t="shared" si="112"/>
        <v/>
      </c>
      <c r="AF229" s="43" t="str">
        <f t="shared" si="112"/>
        <v/>
      </c>
      <c r="AG229" s="43" t="str">
        <f t="shared" si="112"/>
        <v/>
      </c>
      <c r="AH229" s="43" t="str">
        <f t="shared" si="112"/>
        <v/>
      </c>
      <c r="AI229" s="43" t="str">
        <f t="shared" si="112"/>
        <v/>
      </c>
      <c r="AJ229" s="43" t="str">
        <f t="shared" si="112"/>
        <v/>
      </c>
      <c r="AK229" s="43" t="str">
        <f t="shared" si="112"/>
        <v/>
      </c>
      <c r="AL229" s="43" t="str">
        <f t="shared" si="113"/>
        <v/>
      </c>
      <c r="AM229" s="43" t="str">
        <f t="shared" si="113"/>
        <v/>
      </c>
      <c r="AN229" s="43" t="str">
        <f t="shared" si="113"/>
        <v/>
      </c>
      <c r="AO229" s="43" t="str">
        <f t="shared" si="113"/>
        <v/>
      </c>
      <c r="AP229" s="43" t="str">
        <f t="shared" si="113"/>
        <v/>
      </c>
      <c r="AQ229" s="43" t="str">
        <f t="shared" si="113"/>
        <v/>
      </c>
      <c r="AR229" s="43" t="str">
        <f t="shared" si="113"/>
        <v/>
      </c>
      <c r="AS229" s="43" t="str">
        <f t="shared" si="113"/>
        <v/>
      </c>
      <c r="AT229" s="43" t="str">
        <f t="shared" si="113"/>
        <v/>
      </c>
      <c r="AU229" s="43" t="str">
        <f t="shared" si="113"/>
        <v/>
      </c>
      <c r="AV229" s="43" t="str">
        <f t="shared" si="114"/>
        <v/>
      </c>
      <c r="AW229" s="43" t="str">
        <f t="shared" si="114"/>
        <v/>
      </c>
      <c r="AX229" s="43" t="str">
        <f t="shared" si="114"/>
        <v/>
      </c>
      <c r="AY229" s="43" t="str">
        <f t="shared" si="114"/>
        <v/>
      </c>
      <c r="AZ229" s="43" t="str">
        <f t="shared" si="114"/>
        <v/>
      </c>
      <c r="BA229" s="43" t="str">
        <f t="shared" si="114"/>
        <v/>
      </c>
      <c r="BB229" s="43"/>
      <c r="BC229" s="43"/>
      <c r="BD229" s="43"/>
      <c r="BE229" s="43"/>
      <c r="BF229" s="43"/>
      <c r="BG229" s="43"/>
      <c r="BW229" s="1250"/>
    </row>
    <row r="230" spans="1:75" x14ac:dyDescent="0.25">
      <c r="A230" s="1251"/>
      <c r="B230" s="462">
        <v>224</v>
      </c>
      <c r="C230" s="462"/>
      <c r="D230" s="1244"/>
      <c r="E230" s="1050"/>
      <c r="F230" s="1244"/>
      <c r="H230" s="43" t="str">
        <f t="shared" si="110"/>
        <v/>
      </c>
      <c r="I230" s="43" t="str">
        <f t="shared" si="110"/>
        <v/>
      </c>
      <c r="J230" s="43" t="str">
        <f t="shared" si="110"/>
        <v/>
      </c>
      <c r="K230" s="43" t="str">
        <f t="shared" si="110"/>
        <v/>
      </c>
      <c r="L230" s="43" t="str">
        <f t="shared" si="110"/>
        <v/>
      </c>
      <c r="M230" s="43" t="str">
        <f t="shared" si="110"/>
        <v/>
      </c>
      <c r="N230" s="43" t="str">
        <f t="shared" si="110"/>
        <v/>
      </c>
      <c r="O230" s="43" t="str">
        <f t="shared" si="110"/>
        <v/>
      </c>
      <c r="P230" s="43" t="str">
        <f t="shared" si="110"/>
        <v/>
      </c>
      <c r="Q230" s="43" t="str">
        <f t="shared" si="110"/>
        <v/>
      </c>
      <c r="R230" s="43" t="str">
        <f t="shared" si="111"/>
        <v/>
      </c>
      <c r="S230" s="43" t="str">
        <f t="shared" si="111"/>
        <v/>
      </c>
      <c r="T230" s="43" t="str">
        <f t="shared" si="111"/>
        <v/>
      </c>
      <c r="U230" s="43" t="str">
        <f t="shared" si="111"/>
        <v/>
      </c>
      <c r="V230" s="43" t="str">
        <f t="shared" si="111"/>
        <v/>
      </c>
      <c r="W230" s="43" t="str">
        <f t="shared" si="111"/>
        <v/>
      </c>
      <c r="X230" s="43" t="str">
        <f t="shared" si="111"/>
        <v/>
      </c>
      <c r="Y230" s="43" t="str">
        <f t="shared" si="111"/>
        <v/>
      </c>
      <c r="Z230" s="43" t="str">
        <f t="shared" si="111"/>
        <v/>
      </c>
      <c r="AA230" s="43" t="str">
        <f t="shared" si="111"/>
        <v/>
      </c>
      <c r="AB230" s="43" t="str">
        <f t="shared" si="112"/>
        <v/>
      </c>
      <c r="AC230" s="43" t="str">
        <f t="shared" si="112"/>
        <v/>
      </c>
      <c r="AD230" s="43" t="str">
        <f t="shared" si="112"/>
        <v/>
      </c>
      <c r="AE230" s="43" t="str">
        <f t="shared" si="112"/>
        <v/>
      </c>
      <c r="AF230" s="43" t="str">
        <f t="shared" si="112"/>
        <v/>
      </c>
      <c r="AG230" s="43" t="str">
        <f t="shared" si="112"/>
        <v/>
      </c>
      <c r="AH230" s="43" t="str">
        <f t="shared" si="112"/>
        <v/>
      </c>
      <c r="AI230" s="43" t="str">
        <f t="shared" si="112"/>
        <v/>
      </c>
      <c r="AJ230" s="43" t="str">
        <f t="shared" si="112"/>
        <v/>
      </c>
      <c r="AK230" s="43" t="str">
        <f t="shared" si="112"/>
        <v/>
      </c>
      <c r="AL230" s="43" t="str">
        <f t="shared" si="113"/>
        <v/>
      </c>
      <c r="AM230" s="43" t="str">
        <f t="shared" si="113"/>
        <v/>
      </c>
      <c r="AN230" s="43" t="str">
        <f t="shared" si="113"/>
        <v/>
      </c>
      <c r="AO230" s="43" t="str">
        <f t="shared" si="113"/>
        <v/>
      </c>
      <c r="AP230" s="43" t="str">
        <f t="shared" si="113"/>
        <v/>
      </c>
      <c r="AQ230" s="43" t="str">
        <f t="shared" si="113"/>
        <v/>
      </c>
      <c r="AR230" s="43" t="str">
        <f t="shared" si="113"/>
        <v/>
      </c>
      <c r="AS230" s="43" t="str">
        <f t="shared" si="113"/>
        <v/>
      </c>
      <c r="AT230" s="43" t="str">
        <f t="shared" si="113"/>
        <v/>
      </c>
      <c r="AU230" s="43" t="str">
        <f t="shared" si="113"/>
        <v/>
      </c>
      <c r="AV230" s="43" t="str">
        <f t="shared" si="114"/>
        <v/>
      </c>
      <c r="AW230" s="43" t="str">
        <f t="shared" si="114"/>
        <v/>
      </c>
      <c r="AX230" s="43" t="str">
        <f t="shared" si="114"/>
        <v/>
      </c>
      <c r="AY230" s="43" t="str">
        <f t="shared" si="114"/>
        <v/>
      </c>
      <c r="AZ230" s="43" t="str">
        <f t="shared" si="114"/>
        <v/>
      </c>
      <c r="BA230" s="43" t="str">
        <f t="shared" si="114"/>
        <v/>
      </c>
      <c r="BB230" s="43"/>
      <c r="BC230" s="43"/>
      <c r="BD230" s="43"/>
      <c r="BE230" s="43"/>
      <c r="BF230" s="43"/>
      <c r="BG230" s="43"/>
      <c r="BW230" s="1250"/>
    </row>
    <row r="231" spans="1:75" x14ac:dyDescent="0.25">
      <c r="A231" s="1251"/>
      <c r="B231" s="462">
        <v>225</v>
      </c>
      <c r="C231" s="462"/>
      <c r="D231" s="1244"/>
      <c r="E231" s="1050"/>
      <c r="F231" s="1244"/>
      <c r="H231" s="43" t="str">
        <f t="shared" si="110"/>
        <v/>
      </c>
      <c r="I231" s="43" t="str">
        <f t="shared" si="110"/>
        <v/>
      </c>
      <c r="J231" s="43" t="str">
        <f t="shared" si="110"/>
        <v/>
      </c>
      <c r="K231" s="43" t="str">
        <f t="shared" si="110"/>
        <v/>
      </c>
      <c r="L231" s="43" t="str">
        <f t="shared" si="110"/>
        <v/>
      </c>
      <c r="M231" s="43" t="str">
        <f t="shared" si="110"/>
        <v/>
      </c>
      <c r="N231" s="43" t="str">
        <f t="shared" si="110"/>
        <v/>
      </c>
      <c r="O231" s="43" t="str">
        <f t="shared" si="110"/>
        <v/>
      </c>
      <c r="P231" s="43" t="str">
        <f t="shared" si="110"/>
        <v/>
      </c>
      <c r="Q231" s="43" t="str">
        <f t="shared" si="110"/>
        <v/>
      </c>
      <c r="R231" s="43" t="str">
        <f t="shared" si="111"/>
        <v/>
      </c>
      <c r="S231" s="43" t="str">
        <f t="shared" si="111"/>
        <v/>
      </c>
      <c r="T231" s="43" t="str">
        <f t="shared" si="111"/>
        <v/>
      </c>
      <c r="U231" s="43" t="str">
        <f t="shared" si="111"/>
        <v/>
      </c>
      <c r="V231" s="43" t="str">
        <f t="shared" si="111"/>
        <v/>
      </c>
      <c r="W231" s="43" t="str">
        <f t="shared" si="111"/>
        <v/>
      </c>
      <c r="X231" s="43" t="str">
        <f t="shared" si="111"/>
        <v/>
      </c>
      <c r="Y231" s="43" t="str">
        <f t="shared" si="111"/>
        <v/>
      </c>
      <c r="Z231" s="43" t="str">
        <f t="shared" si="111"/>
        <v/>
      </c>
      <c r="AA231" s="43" t="str">
        <f t="shared" si="111"/>
        <v/>
      </c>
      <c r="AB231" s="43" t="str">
        <f t="shared" si="112"/>
        <v/>
      </c>
      <c r="AC231" s="43" t="str">
        <f t="shared" si="112"/>
        <v/>
      </c>
      <c r="AD231" s="43" t="str">
        <f t="shared" si="112"/>
        <v/>
      </c>
      <c r="AE231" s="43" t="str">
        <f t="shared" si="112"/>
        <v/>
      </c>
      <c r="AF231" s="43" t="str">
        <f t="shared" si="112"/>
        <v/>
      </c>
      <c r="AG231" s="43" t="str">
        <f t="shared" si="112"/>
        <v/>
      </c>
      <c r="AH231" s="43" t="str">
        <f t="shared" si="112"/>
        <v/>
      </c>
      <c r="AI231" s="43" t="str">
        <f t="shared" si="112"/>
        <v/>
      </c>
      <c r="AJ231" s="43" t="str">
        <f t="shared" si="112"/>
        <v/>
      </c>
      <c r="AK231" s="43" t="str">
        <f t="shared" si="112"/>
        <v/>
      </c>
      <c r="AL231" s="43" t="str">
        <f t="shared" si="113"/>
        <v/>
      </c>
      <c r="AM231" s="43" t="str">
        <f t="shared" si="113"/>
        <v/>
      </c>
      <c r="AN231" s="43" t="str">
        <f t="shared" si="113"/>
        <v/>
      </c>
      <c r="AO231" s="43" t="str">
        <f t="shared" si="113"/>
        <v/>
      </c>
      <c r="AP231" s="43" t="str">
        <f t="shared" si="113"/>
        <v/>
      </c>
      <c r="AQ231" s="43" t="str">
        <f t="shared" si="113"/>
        <v/>
      </c>
      <c r="AR231" s="43" t="str">
        <f t="shared" si="113"/>
        <v/>
      </c>
      <c r="AS231" s="43" t="str">
        <f t="shared" si="113"/>
        <v/>
      </c>
      <c r="AT231" s="43" t="str">
        <f t="shared" si="113"/>
        <v/>
      </c>
      <c r="AU231" s="43" t="str">
        <f t="shared" si="113"/>
        <v/>
      </c>
      <c r="AV231" s="43" t="str">
        <f t="shared" si="114"/>
        <v/>
      </c>
      <c r="AW231" s="43" t="str">
        <f t="shared" si="114"/>
        <v/>
      </c>
      <c r="AX231" s="43" t="str">
        <f t="shared" si="114"/>
        <v/>
      </c>
      <c r="AY231" s="43" t="str">
        <f t="shared" si="114"/>
        <v/>
      </c>
      <c r="AZ231" s="43" t="str">
        <f t="shared" si="114"/>
        <v/>
      </c>
      <c r="BA231" s="43" t="str">
        <f t="shared" si="114"/>
        <v/>
      </c>
      <c r="BB231" s="43"/>
      <c r="BC231" s="43"/>
      <c r="BD231" s="43"/>
      <c r="BE231" s="43"/>
      <c r="BF231" s="43"/>
      <c r="BG231" s="43"/>
      <c r="BW231" s="1250"/>
    </row>
    <row r="232" spans="1:75" x14ac:dyDescent="0.25">
      <c r="A232" s="1251"/>
      <c r="B232" s="462">
        <v>226</v>
      </c>
      <c r="C232" s="462"/>
      <c r="D232" s="1244"/>
      <c r="E232" s="1050"/>
      <c r="F232" s="1244"/>
      <c r="H232" s="43" t="str">
        <f t="shared" si="110"/>
        <v/>
      </c>
      <c r="I232" s="43" t="str">
        <f t="shared" si="110"/>
        <v/>
      </c>
      <c r="J232" s="43" t="str">
        <f t="shared" si="110"/>
        <v/>
      </c>
      <c r="K232" s="43" t="str">
        <f t="shared" si="110"/>
        <v/>
      </c>
      <c r="L232" s="43" t="str">
        <f t="shared" si="110"/>
        <v/>
      </c>
      <c r="M232" s="43" t="str">
        <f t="shared" si="110"/>
        <v/>
      </c>
      <c r="N232" s="43" t="str">
        <f t="shared" si="110"/>
        <v/>
      </c>
      <c r="O232" s="43" t="str">
        <f t="shared" si="110"/>
        <v/>
      </c>
      <c r="P232" s="43" t="str">
        <f t="shared" si="110"/>
        <v/>
      </c>
      <c r="Q232" s="43" t="str">
        <f t="shared" si="110"/>
        <v/>
      </c>
      <c r="R232" s="43" t="str">
        <f t="shared" si="111"/>
        <v/>
      </c>
      <c r="S232" s="43" t="str">
        <f t="shared" si="111"/>
        <v/>
      </c>
      <c r="T232" s="43" t="str">
        <f t="shared" si="111"/>
        <v/>
      </c>
      <c r="U232" s="43" t="str">
        <f t="shared" si="111"/>
        <v/>
      </c>
      <c r="V232" s="43" t="str">
        <f t="shared" si="111"/>
        <v/>
      </c>
      <c r="W232" s="43" t="str">
        <f t="shared" si="111"/>
        <v/>
      </c>
      <c r="X232" s="43" t="str">
        <f t="shared" si="111"/>
        <v/>
      </c>
      <c r="Y232" s="43" t="str">
        <f t="shared" si="111"/>
        <v/>
      </c>
      <c r="Z232" s="43" t="str">
        <f t="shared" si="111"/>
        <v/>
      </c>
      <c r="AA232" s="43" t="str">
        <f t="shared" si="111"/>
        <v/>
      </c>
      <c r="AB232" s="43" t="str">
        <f t="shared" si="112"/>
        <v/>
      </c>
      <c r="AC232" s="43" t="str">
        <f t="shared" si="112"/>
        <v/>
      </c>
      <c r="AD232" s="43" t="str">
        <f t="shared" si="112"/>
        <v/>
      </c>
      <c r="AE232" s="43" t="str">
        <f t="shared" si="112"/>
        <v/>
      </c>
      <c r="AF232" s="43" t="str">
        <f t="shared" si="112"/>
        <v/>
      </c>
      <c r="AG232" s="43" t="str">
        <f t="shared" si="112"/>
        <v/>
      </c>
      <c r="AH232" s="43" t="str">
        <f t="shared" si="112"/>
        <v/>
      </c>
      <c r="AI232" s="43" t="str">
        <f t="shared" si="112"/>
        <v/>
      </c>
      <c r="AJ232" s="43" t="str">
        <f t="shared" si="112"/>
        <v/>
      </c>
      <c r="AK232" s="43" t="str">
        <f t="shared" si="112"/>
        <v/>
      </c>
      <c r="AL232" s="43" t="str">
        <f t="shared" si="113"/>
        <v/>
      </c>
      <c r="AM232" s="43" t="str">
        <f t="shared" si="113"/>
        <v/>
      </c>
      <c r="AN232" s="43" t="str">
        <f t="shared" si="113"/>
        <v/>
      </c>
      <c r="AO232" s="43" t="str">
        <f t="shared" si="113"/>
        <v/>
      </c>
      <c r="AP232" s="43" t="str">
        <f t="shared" si="113"/>
        <v/>
      </c>
      <c r="AQ232" s="43" t="str">
        <f t="shared" si="113"/>
        <v/>
      </c>
      <c r="AR232" s="43" t="str">
        <f t="shared" si="113"/>
        <v/>
      </c>
      <c r="AS232" s="43" t="str">
        <f t="shared" si="113"/>
        <v/>
      </c>
      <c r="AT232" s="43" t="str">
        <f t="shared" si="113"/>
        <v/>
      </c>
      <c r="AU232" s="43" t="str">
        <f t="shared" si="113"/>
        <v/>
      </c>
      <c r="AV232" s="43" t="str">
        <f t="shared" si="114"/>
        <v/>
      </c>
      <c r="AW232" s="43" t="str">
        <f t="shared" si="114"/>
        <v/>
      </c>
      <c r="AX232" s="43" t="str">
        <f t="shared" si="114"/>
        <v/>
      </c>
      <c r="AY232" s="43" t="str">
        <f t="shared" si="114"/>
        <v/>
      </c>
      <c r="AZ232" s="43" t="str">
        <f t="shared" si="114"/>
        <v/>
      </c>
      <c r="BA232" s="43" t="str">
        <f t="shared" si="114"/>
        <v/>
      </c>
      <c r="BB232" s="43"/>
      <c r="BC232" s="43"/>
      <c r="BD232" s="43"/>
      <c r="BE232" s="43"/>
      <c r="BF232" s="43"/>
      <c r="BG232" s="43"/>
      <c r="BW232" s="1250"/>
    </row>
    <row r="233" spans="1:75" x14ac:dyDescent="0.25">
      <c r="A233" s="1251"/>
      <c r="B233" s="462">
        <v>227</v>
      </c>
      <c r="C233" s="462"/>
      <c r="D233" s="1244"/>
      <c r="E233" s="1050"/>
      <c r="F233" s="1244"/>
      <c r="H233" s="43" t="str">
        <f t="shared" si="110"/>
        <v/>
      </c>
      <c r="I233" s="43" t="str">
        <f t="shared" si="110"/>
        <v/>
      </c>
      <c r="J233" s="43" t="str">
        <f t="shared" si="110"/>
        <v/>
      </c>
      <c r="K233" s="43" t="str">
        <f t="shared" si="110"/>
        <v/>
      </c>
      <c r="L233" s="43" t="str">
        <f t="shared" si="110"/>
        <v/>
      </c>
      <c r="M233" s="43" t="str">
        <f t="shared" si="110"/>
        <v/>
      </c>
      <c r="N233" s="43" t="str">
        <f t="shared" si="110"/>
        <v/>
      </c>
      <c r="O233" s="43" t="str">
        <f t="shared" si="110"/>
        <v/>
      </c>
      <c r="P233" s="43" t="str">
        <f t="shared" si="110"/>
        <v/>
      </c>
      <c r="Q233" s="43" t="str">
        <f t="shared" si="110"/>
        <v/>
      </c>
      <c r="R233" s="43" t="str">
        <f t="shared" si="111"/>
        <v/>
      </c>
      <c r="S233" s="43" t="str">
        <f t="shared" si="111"/>
        <v/>
      </c>
      <c r="T233" s="43" t="str">
        <f t="shared" si="111"/>
        <v/>
      </c>
      <c r="U233" s="43" t="str">
        <f t="shared" si="111"/>
        <v/>
      </c>
      <c r="V233" s="43" t="str">
        <f t="shared" si="111"/>
        <v/>
      </c>
      <c r="W233" s="43" t="str">
        <f t="shared" si="111"/>
        <v/>
      </c>
      <c r="X233" s="43" t="str">
        <f t="shared" si="111"/>
        <v/>
      </c>
      <c r="Y233" s="43" t="str">
        <f t="shared" si="111"/>
        <v/>
      </c>
      <c r="Z233" s="43" t="str">
        <f t="shared" si="111"/>
        <v/>
      </c>
      <c r="AA233" s="43" t="str">
        <f t="shared" si="111"/>
        <v/>
      </c>
      <c r="AB233" s="43" t="str">
        <f t="shared" si="112"/>
        <v/>
      </c>
      <c r="AC233" s="43" t="str">
        <f t="shared" si="112"/>
        <v/>
      </c>
      <c r="AD233" s="43" t="str">
        <f t="shared" si="112"/>
        <v/>
      </c>
      <c r="AE233" s="43" t="str">
        <f t="shared" si="112"/>
        <v/>
      </c>
      <c r="AF233" s="43" t="str">
        <f t="shared" si="112"/>
        <v/>
      </c>
      <c r="AG233" s="43" t="str">
        <f t="shared" si="112"/>
        <v/>
      </c>
      <c r="AH233" s="43" t="str">
        <f t="shared" si="112"/>
        <v/>
      </c>
      <c r="AI233" s="43" t="str">
        <f t="shared" si="112"/>
        <v/>
      </c>
      <c r="AJ233" s="43" t="str">
        <f t="shared" si="112"/>
        <v/>
      </c>
      <c r="AK233" s="43" t="str">
        <f t="shared" si="112"/>
        <v/>
      </c>
      <c r="AL233" s="43" t="str">
        <f t="shared" si="113"/>
        <v/>
      </c>
      <c r="AM233" s="43" t="str">
        <f t="shared" si="113"/>
        <v/>
      </c>
      <c r="AN233" s="43" t="str">
        <f t="shared" si="113"/>
        <v/>
      </c>
      <c r="AO233" s="43" t="str">
        <f t="shared" si="113"/>
        <v/>
      </c>
      <c r="AP233" s="43" t="str">
        <f t="shared" si="113"/>
        <v/>
      </c>
      <c r="AQ233" s="43" t="str">
        <f t="shared" si="113"/>
        <v/>
      </c>
      <c r="AR233" s="43" t="str">
        <f t="shared" si="113"/>
        <v/>
      </c>
      <c r="AS233" s="43" t="str">
        <f t="shared" si="113"/>
        <v/>
      </c>
      <c r="AT233" s="43" t="str">
        <f t="shared" si="113"/>
        <v/>
      </c>
      <c r="AU233" s="43" t="str">
        <f t="shared" si="113"/>
        <v/>
      </c>
      <c r="AV233" s="43" t="str">
        <f t="shared" si="114"/>
        <v/>
      </c>
      <c r="AW233" s="43" t="str">
        <f t="shared" si="114"/>
        <v/>
      </c>
      <c r="AX233" s="43" t="str">
        <f t="shared" si="114"/>
        <v/>
      </c>
      <c r="AY233" s="43" t="str">
        <f t="shared" si="114"/>
        <v/>
      </c>
      <c r="AZ233" s="43" t="str">
        <f t="shared" si="114"/>
        <v/>
      </c>
      <c r="BA233" s="43" t="str">
        <f t="shared" si="114"/>
        <v/>
      </c>
      <c r="BB233" s="43"/>
      <c r="BC233" s="43"/>
      <c r="BD233" s="43"/>
      <c r="BE233" s="43"/>
      <c r="BF233" s="43"/>
      <c r="BG233" s="43"/>
      <c r="BW233" s="1250"/>
    </row>
    <row r="234" spans="1:75" x14ac:dyDescent="0.25">
      <c r="A234" s="1251"/>
      <c r="B234" s="462">
        <v>228</v>
      </c>
      <c r="C234" s="462"/>
      <c r="D234" s="1244"/>
      <c r="E234" s="1050"/>
      <c r="F234" s="1244"/>
      <c r="H234" s="43" t="str">
        <f t="shared" si="110"/>
        <v/>
      </c>
      <c r="I234" s="43" t="str">
        <f t="shared" si="110"/>
        <v/>
      </c>
      <c r="J234" s="43" t="str">
        <f t="shared" si="110"/>
        <v/>
      </c>
      <c r="K234" s="43" t="str">
        <f t="shared" si="110"/>
        <v/>
      </c>
      <c r="L234" s="43" t="str">
        <f t="shared" si="110"/>
        <v/>
      </c>
      <c r="M234" s="43" t="str">
        <f t="shared" si="110"/>
        <v/>
      </c>
      <c r="N234" s="43" t="str">
        <f t="shared" si="110"/>
        <v/>
      </c>
      <c r="O234" s="43" t="str">
        <f t="shared" si="110"/>
        <v/>
      </c>
      <c r="P234" s="43" t="str">
        <f t="shared" si="110"/>
        <v/>
      </c>
      <c r="Q234" s="43" t="str">
        <f t="shared" si="110"/>
        <v/>
      </c>
      <c r="R234" s="43" t="str">
        <f t="shared" si="111"/>
        <v/>
      </c>
      <c r="S234" s="43" t="str">
        <f t="shared" si="111"/>
        <v/>
      </c>
      <c r="T234" s="43" t="str">
        <f t="shared" si="111"/>
        <v/>
      </c>
      <c r="U234" s="43" t="str">
        <f t="shared" si="111"/>
        <v/>
      </c>
      <c r="V234" s="43" t="str">
        <f t="shared" si="111"/>
        <v/>
      </c>
      <c r="W234" s="43" t="str">
        <f t="shared" si="111"/>
        <v/>
      </c>
      <c r="X234" s="43" t="str">
        <f t="shared" si="111"/>
        <v/>
      </c>
      <c r="Y234" s="43" t="str">
        <f t="shared" si="111"/>
        <v/>
      </c>
      <c r="Z234" s="43" t="str">
        <f t="shared" si="111"/>
        <v/>
      </c>
      <c r="AA234" s="43" t="str">
        <f t="shared" si="111"/>
        <v/>
      </c>
      <c r="AB234" s="43" t="str">
        <f t="shared" si="112"/>
        <v/>
      </c>
      <c r="AC234" s="43" t="str">
        <f t="shared" si="112"/>
        <v/>
      </c>
      <c r="AD234" s="43" t="str">
        <f t="shared" si="112"/>
        <v/>
      </c>
      <c r="AE234" s="43" t="str">
        <f t="shared" si="112"/>
        <v/>
      </c>
      <c r="AF234" s="43" t="str">
        <f t="shared" si="112"/>
        <v/>
      </c>
      <c r="AG234" s="43" t="str">
        <f t="shared" si="112"/>
        <v/>
      </c>
      <c r="AH234" s="43" t="str">
        <f t="shared" si="112"/>
        <v/>
      </c>
      <c r="AI234" s="43" t="str">
        <f t="shared" si="112"/>
        <v/>
      </c>
      <c r="AJ234" s="43" t="str">
        <f t="shared" si="112"/>
        <v/>
      </c>
      <c r="AK234" s="43" t="str">
        <f t="shared" si="112"/>
        <v/>
      </c>
      <c r="AL234" s="43" t="str">
        <f t="shared" si="113"/>
        <v/>
      </c>
      <c r="AM234" s="43" t="str">
        <f t="shared" si="113"/>
        <v/>
      </c>
      <c r="AN234" s="43" t="str">
        <f t="shared" si="113"/>
        <v/>
      </c>
      <c r="AO234" s="43" t="str">
        <f t="shared" si="113"/>
        <v/>
      </c>
      <c r="AP234" s="43" t="str">
        <f t="shared" si="113"/>
        <v/>
      </c>
      <c r="AQ234" s="43" t="str">
        <f t="shared" si="113"/>
        <v/>
      </c>
      <c r="AR234" s="43" t="str">
        <f t="shared" si="113"/>
        <v/>
      </c>
      <c r="AS234" s="43" t="str">
        <f t="shared" si="113"/>
        <v/>
      </c>
      <c r="AT234" s="43" t="str">
        <f t="shared" si="113"/>
        <v/>
      </c>
      <c r="AU234" s="43" t="str">
        <f t="shared" si="113"/>
        <v/>
      </c>
      <c r="AV234" s="43" t="str">
        <f t="shared" si="114"/>
        <v/>
      </c>
      <c r="AW234" s="43" t="str">
        <f t="shared" si="114"/>
        <v/>
      </c>
      <c r="AX234" s="43" t="str">
        <f t="shared" si="114"/>
        <v/>
      </c>
      <c r="AY234" s="43" t="str">
        <f t="shared" si="114"/>
        <v/>
      </c>
      <c r="AZ234" s="43" t="str">
        <f t="shared" si="114"/>
        <v/>
      </c>
      <c r="BA234" s="43" t="str">
        <f t="shared" si="114"/>
        <v/>
      </c>
      <c r="BB234" s="43"/>
      <c r="BC234" s="43"/>
      <c r="BD234" s="43"/>
      <c r="BE234" s="43"/>
      <c r="BF234" s="43"/>
      <c r="BG234" s="43"/>
      <c r="BW234" s="1250"/>
    </row>
    <row r="235" spans="1:75" x14ac:dyDescent="0.25">
      <c r="A235" s="1251"/>
      <c r="B235" s="462">
        <v>229</v>
      </c>
      <c r="C235" s="462"/>
      <c r="D235" s="1244"/>
      <c r="E235" s="1050"/>
      <c r="F235" s="1244"/>
      <c r="H235" s="43" t="str">
        <f t="shared" si="110"/>
        <v/>
      </c>
      <c r="I235" s="43" t="str">
        <f t="shared" si="110"/>
        <v/>
      </c>
      <c r="J235" s="43" t="str">
        <f t="shared" si="110"/>
        <v/>
      </c>
      <c r="K235" s="43" t="str">
        <f t="shared" si="110"/>
        <v/>
      </c>
      <c r="L235" s="43" t="str">
        <f t="shared" si="110"/>
        <v/>
      </c>
      <c r="M235" s="43" t="str">
        <f t="shared" si="110"/>
        <v/>
      </c>
      <c r="N235" s="43" t="str">
        <f t="shared" si="110"/>
        <v/>
      </c>
      <c r="O235" s="43" t="str">
        <f t="shared" si="110"/>
        <v/>
      </c>
      <c r="P235" s="43" t="str">
        <f t="shared" si="110"/>
        <v/>
      </c>
      <c r="Q235" s="43" t="str">
        <f t="shared" si="110"/>
        <v/>
      </c>
      <c r="R235" s="43" t="str">
        <f t="shared" si="111"/>
        <v/>
      </c>
      <c r="S235" s="43" t="str">
        <f t="shared" si="111"/>
        <v/>
      </c>
      <c r="T235" s="43" t="str">
        <f t="shared" si="111"/>
        <v/>
      </c>
      <c r="U235" s="43" t="str">
        <f t="shared" si="111"/>
        <v/>
      </c>
      <c r="V235" s="43" t="str">
        <f t="shared" si="111"/>
        <v/>
      </c>
      <c r="W235" s="43" t="str">
        <f t="shared" si="111"/>
        <v/>
      </c>
      <c r="X235" s="43" t="str">
        <f t="shared" si="111"/>
        <v/>
      </c>
      <c r="Y235" s="43" t="str">
        <f t="shared" si="111"/>
        <v/>
      </c>
      <c r="Z235" s="43" t="str">
        <f t="shared" si="111"/>
        <v/>
      </c>
      <c r="AA235" s="43" t="str">
        <f t="shared" si="111"/>
        <v/>
      </c>
      <c r="AB235" s="43" t="str">
        <f t="shared" si="112"/>
        <v/>
      </c>
      <c r="AC235" s="43" t="str">
        <f t="shared" si="112"/>
        <v/>
      </c>
      <c r="AD235" s="43" t="str">
        <f t="shared" si="112"/>
        <v/>
      </c>
      <c r="AE235" s="43" t="str">
        <f t="shared" si="112"/>
        <v/>
      </c>
      <c r="AF235" s="43" t="str">
        <f t="shared" si="112"/>
        <v/>
      </c>
      <c r="AG235" s="43" t="str">
        <f t="shared" si="112"/>
        <v/>
      </c>
      <c r="AH235" s="43" t="str">
        <f t="shared" si="112"/>
        <v/>
      </c>
      <c r="AI235" s="43" t="str">
        <f t="shared" si="112"/>
        <v/>
      </c>
      <c r="AJ235" s="43" t="str">
        <f t="shared" si="112"/>
        <v/>
      </c>
      <c r="AK235" s="43" t="str">
        <f t="shared" si="112"/>
        <v/>
      </c>
      <c r="AL235" s="43" t="str">
        <f t="shared" si="113"/>
        <v/>
      </c>
      <c r="AM235" s="43" t="str">
        <f t="shared" si="113"/>
        <v/>
      </c>
      <c r="AN235" s="43" t="str">
        <f t="shared" si="113"/>
        <v/>
      </c>
      <c r="AO235" s="43" t="str">
        <f t="shared" si="113"/>
        <v/>
      </c>
      <c r="AP235" s="43" t="str">
        <f t="shared" si="113"/>
        <v/>
      </c>
      <c r="AQ235" s="43" t="str">
        <f t="shared" si="113"/>
        <v/>
      </c>
      <c r="AR235" s="43" t="str">
        <f t="shared" si="113"/>
        <v/>
      </c>
      <c r="AS235" s="43" t="str">
        <f t="shared" si="113"/>
        <v/>
      </c>
      <c r="AT235" s="43" t="str">
        <f t="shared" si="113"/>
        <v/>
      </c>
      <c r="AU235" s="43" t="str">
        <f t="shared" si="113"/>
        <v/>
      </c>
      <c r="AV235" s="43" t="str">
        <f t="shared" si="114"/>
        <v/>
      </c>
      <c r="AW235" s="43" t="str">
        <f t="shared" si="114"/>
        <v/>
      </c>
      <c r="AX235" s="43" t="str">
        <f t="shared" si="114"/>
        <v/>
      </c>
      <c r="AY235" s="43" t="str">
        <f t="shared" si="114"/>
        <v/>
      </c>
      <c r="AZ235" s="43" t="str">
        <f t="shared" si="114"/>
        <v/>
      </c>
      <c r="BA235" s="43" t="str">
        <f t="shared" si="114"/>
        <v/>
      </c>
      <c r="BB235" s="43"/>
      <c r="BC235" s="43"/>
      <c r="BD235" s="43"/>
      <c r="BE235" s="43"/>
      <c r="BF235" s="43"/>
      <c r="BG235" s="43"/>
      <c r="BW235" s="1250"/>
    </row>
    <row r="236" spans="1:75" x14ac:dyDescent="0.25">
      <c r="A236" s="1251"/>
      <c r="B236" s="462">
        <v>230</v>
      </c>
      <c r="C236" s="462"/>
      <c r="D236" s="1244"/>
      <c r="E236" s="1050"/>
      <c r="F236" s="1244"/>
      <c r="H236" s="43" t="str">
        <f t="shared" si="110"/>
        <v/>
      </c>
      <c r="I236" s="43" t="str">
        <f t="shared" si="110"/>
        <v/>
      </c>
      <c r="J236" s="43" t="str">
        <f t="shared" si="110"/>
        <v/>
      </c>
      <c r="K236" s="43" t="str">
        <f t="shared" si="110"/>
        <v/>
      </c>
      <c r="L236" s="43" t="str">
        <f t="shared" si="110"/>
        <v/>
      </c>
      <c r="M236" s="43" t="str">
        <f t="shared" si="110"/>
        <v/>
      </c>
      <c r="N236" s="43" t="str">
        <f t="shared" si="110"/>
        <v/>
      </c>
      <c r="O236" s="43" t="str">
        <f t="shared" si="110"/>
        <v/>
      </c>
      <c r="P236" s="43" t="str">
        <f t="shared" si="110"/>
        <v/>
      </c>
      <c r="Q236" s="43" t="str">
        <f t="shared" si="110"/>
        <v/>
      </c>
      <c r="R236" s="43" t="str">
        <f t="shared" si="111"/>
        <v/>
      </c>
      <c r="S236" s="43" t="str">
        <f t="shared" si="111"/>
        <v/>
      </c>
      <c r="T236" s="43" t="str">
        <f t="shared" si="111"/>
        <v/>
      </c>
      <c r="U236" s="43" t="str">
        <f t="shared" si="111"/>
        <v/>
      </c>
      <c r="V236" s="43" t="str">
        <f t="shared" si="111"/>
        <v/>
      </c>
      <c r="W236" s="43" t="str">
        <f t="shared" si="111"/>
        <v/>
      </c>
      <c r="X236" s="43" t="str">
        <f t="shared" si="111"/>
        <v/>
      </c>
      <c r="Y236" s="43" t="str">
        <f t="shared" si="111"/>
        <v/>
      </c>
      <c r="Z236" s="43" t="str">
        <f t="shared" si="111"/>
        <v/>
      </c>
      <c r="AA236" s="43" t="str">
        <f t="shared" si="111"/>
        <v/>
      </c>
      <c r="AB236" s="43" t="str">
        <f t="shared" si="112"/>
        <v/>
      </c>
      <c r="AC236" s="43" t="str">
        <f t="shared" si="112"/>
        <v/>
      </c>
      <c r="AD236" s="43" t="str">
        <f t="shared" si="112"/>
        <v/>
      </c>
      <c r="AE236" s="43" t="str">
        <f t="shared" si="112"/>
        <v/>
      </c>
      <c r="AF236" s="43" t="str">
        <f t="shared" si="112"/>
        <v/>
      </c>
      <c r="AG236" s="43" t="str">
        <f t="shared" si="112"/>
        <v/>
      </c>
      <c r="AH236" s="43" t="str">
        <f t="shared" si="112"/>
        <v/>
      </c>
      <c r="AI236" s="43" t="str">
        <f t="shared" si="112"/>
        <v/>
      </c>
      <c r="AJ236" s="43" t="str">
        <f t="shared" si="112"/>
        <v/>
      </c>
      <c r="AK236" s="43" t="str">
        <f t="shared" si="112"/>
        <v/>
      </c>
      <c r="AL236" s="43" t="str">
        <f t="shared" si="113"/>
        <v/>
      </c>
      <c r="AM236" s="43" t="str">
        <f t="shared" si="113"/>
        <v/>
      </c>
      <c r="AN236" s="43" t="str">
        <f t="shared" si="113"/>
        <v/>
      </c>
      <c r="AO236" s="43" t="str">
        <f t="shared" si="113"/>
        <v/>
      </c>
      <c r="AP236" s="43" t="str">
        <f t="shared" si="113"/>
        <v/>
      </c>
      <c r="AQ236" s="43" t="str">
        <f t="shared" si="113"/>
        <v/>
      </c>
      <c r="AR236" s="43" t="str">
        <f t="shared" si="113"/>
        <v/>
      </c>
      <c r="AS236" s="43" t="str">
        <f t="shared" si="113"/>
        <v/>
      </c>
      <c r="AT236" s="43" t="str">
        <f t="shared" si="113"/>
        <v/>
      </c>
      <c r="AU236" s="43" t="str">
        <f t="shared" si="113"/>
        <v/>
      </c>
      <c r="AV236" s="43" t="str">
        <f t="shared" si="114"/>
        <v/>
      </c>
      <c r="AW236" s="43" t="str">
        <f t="shared" si="114"/>
        <v/>
      </c>
      <c r="AX236" s="43" t="str">
        <f t="shared" si="114"/>
        <v/>
      </c>
      <c r="AY236" s="43" t="str">
        <f t="shared" si="114"/>
        <v/>
      </c>
      <c r="AZ236" s="43" t="str">
        <f t="shared" si="114"/>
        <v/>
      </c>
      <c r="BA236" s="43" t="str">
        <f t="shared" si="114"/>
        <v/>
      </c>
      <c r="BB236" s="43"/>
      <c r="BC236" s="43"/>
      <c r="BD236" s="43"/>
      <c r="BE236" s="43"/>
      <c r="BF236" s="43"/>
      <c r="BG236" s="43"/>
      <c r="BW236" s="1250"/>
    </row>
    <row r="237" spans="1:75" x14ac:dyDescent="0.25">
      <c r="A237" s="1251"/>
      <c r="B237" s="462">
        <v>231</v>
      </c>
      <c r="C237" s="462"/>
      <c r="D237" s="1244"/>
      <c r="E237" s="1050"/>
      <c r="F237" s="1244"/>
      <c r="H237" s="43" t="str">
        <f t="shared" ref="H237:Q246" si="115">IF($D237=H$6,$B237&amp;", ","")</f>
        <v/>
      </c>
      <c r="I237" s="43" t="str">
        <f t="shared" si="115"/>
        <v/>
      </c>
      <c r="J237" s="43" t="str">
        <f t="shared" si="115"/>
        <v/>
      </c>
      <c r="K237" s="43" t="str">
        <f t="shared" si="115"/>
        <v/>
      </c>
      <c r="L237" s="43" t="str">
        <f t="shared" si="115"/>
        <v/>
      </c>
      <c r="M237" s="43" t="str">
        <f t="shared" si="115"/>
        <v/>
      </c>
      <c r="N237" s="43" t="str">
        <f t="shared" si="115"/>
        <v/>
      </c>
      <c r="O237" s="43" t="str">
        <f t="shared" si="115"/>
        <v/>
      </c>
      <c r="P237" s="43" t="str">
        <f t="shared" si="115"/>
        <v/>
      </c>
      <c r="Q237" s="43" t="str">
        <f t="shared" si="115"/>
        <v/>
      </c>
      <c r="R237" s="43" t="str">
        <f t="shared" ref="R237:AA246" si="116">IF($D237=R$6,$B237&amp;", ","")</f>
        <v/>
      </c>
      <c r="S237" s="43" t="str">
        <f t="shared" si="116"/>
        <v/>
      </c>
      <c r="T237" s="43" t="str">
        <f t="shared" si="116"/>
        <v/>
      </c>
      <c r="U237" s="43" t="str">
        <f t="shared" si="116"/>
        <v/>
      </c>
      <c r="V237" s="43" t="str">
        <f t="shared" si="116"/>
        <v/>
      </c>
      <c r="W237" s="43" t="str">
        <f t="shared" si="116"/>
        <v/>
      </c>
      <c r="X237" s="43" t="str">
        <f t="shared" si="116"/>
        <v/>
      </c>
      <c r="Y237" s="43" t="str">
        <f t="shared" si="116"/>
        <v/>
      </c>
      <c r="Z237" s="43" t="str">
        <f t="shared" si="116"/>
        <v/>
      </c>
      <c r="AA237" s="43" t="str">
        <f t="shared" si="116"/>
        <v/>
      </c>
      <c r="AB237" s="43" t="str">
        <f t="shared" ref="AB237:AK246" si="117">IF($D237=AB$6,$B237&amp;", ","")</f>
        <v/>
      </c>
      <c r="AC237" s="43" t="str">
        <f t="shared" si="117"/>
        <v/>
      </c>
      <c r="AD237" s="43" t="str">
        <f t="shared" si="117"/>
        <v/>
      </c>
      <c r="AE237" s="43" t="str">
        <f t="shared" si="117"/>
        <v/>
      </c>
      <c r="AF237" s="43" t="str">
        <f t="shared" si="117"/>
        <v/>
      </c>
      <c r="AG237" s="43" t="str">
        <f t="shared" si="117"/>
        <v/>
      </c>
      <c r="AH237" s="43" t="str">
        <f t="shared" si="117"/>
        <v/>
      </c>
      <c r="AI237" s="43" t="str">
        <f t="shared" si="117"/>
        <v/>
      </c>
      <c r="AJ237" s="43" t="str">
        <f t="shared" si="117"/>
        <v/>
      </c>
      <c r="AK237" s="43" t="str">
        <f t="shared" si="117"/>
        <v/>
      </c>
      <c r="AL237" s="43" t="str">
        <f t="shared" ref="AL237:AU246" si="118">IF($D237=AL$6,$B237&amp;", ","")</f>
        <v/>
      </c>
      <c r="AM237" s="43" t="str">
        <f t="shared" si="118"/>
        <v/>
      </c>
      <c r="AN237" s="43" t="str">
        <f t="shared" si="118"/>
        <v/>
      </c>
      <c r="AO237" s="43" t="str">
        <f t="shared" si="118"/>
        <v/>
      </c>
      <c r="AP237" s="43" t="str">
        <f t="shared" si="118"/>
        <v/>
      </c>
      <c r="AQ237" s="43" t="str">
        <f t="shared" si="118"/>
        <v/>
      </c>
      <c r="AR237" s="43" t="str">
        <f t="shared" si="118"/>
        <v/>
      </c>
      <c r="AS237" s="43" t="str">
        <f t="shared" si="118"/>
        <v/>
      </c>
      <c r="AT237" s="43" t="str">
        <f t="shared" si="118"/>
        <v/>
      </c>
      <c r="AU237" s="43" t="str">
        <f t="shared" si="118"/>
        <v/>
      </c>
      <c r="AV237" s="43" t="str">
        <f t="shared" ref="AV237:BA246" si="119">IF($D237=AV$6,$B237&amp;", ","")</f>
        <v/>
      </c>
      <c r="AW237" s="43" t="str">
        <f t="shared" si="119"/>
        <v/>
      </c>
      <c r="AX237" s="43" t="str">
        <f t="shared" si="119"/>
        <v/>
      </c>
      <c r="AY237" s="43" t="str">
        <f t="shared" si="119"/>
        <v/>
      </c>
      <c r="AZ237" s="43" t="str">
        <f t="shared" si="119"/>
        <v/>
      </c>
      <c r="BA237" s="43" t="str">
        <f t="shared" si="119"/>
        <v/>
      </c>
      <c r="BB237" s="43"/>
      <c r="BC237" s="43"/>
      <c r="BD237" s="43"/>
      <c r="BE237" s="43"/>
      <c r="BF237" s="43"/>
      <c r="BG237" s="43"/>
      <c r="BW237" s="1250"/>
    </row>
    <row r="238" spans="1:75" x14ac:dyDescent="0.25">
      <c r="A238" s="1251"/>
      <c r="B238" s="462">
        <v>232</v>
      </c>
      <c r="C238" s="462"/>
      <c r="D238" s="1244"/>
      <c r="E238" s="1050"/>
      <c r="F238" s="1244"/>
      <c r="H238" s="43" t="str">
        <f t="shared" si="115"/>
        <v/>
      </c>
      <c r="I238" s="43" t="str">
        <f t="shared" si="115"/>
        <v/>
      </c>
      <c r="J238" s="43" t="str">
        <f t="shared" si="115"/>
        <v/>
      </c>
      <c r="K238" s="43" t="str">
        <f t="shared" si="115"/>
        <v/>
      </c>
      <c r="L238" s="43" t="str">
        <f t="shared" si="115"/>
        <v/>
      </c>
      <c r="M238" s="43" t="str">
        <f t="shared" si="115"/>
        <v/>
      </c>
      <c r="N238" s="43" t="str">
        <f t="shared" si="115"/>
        <v/>
      </c>
      <c r="O238" s="43" t="str">
        <f t="shared" si="115"/>
        <v/>
      </c>
      <c r="P238" s="43" t="str">
        <f t="shared" si="115"/>
        <v/>
      </c>
      <c r="Q238" s="43" t="str">
        <f t="shared" si="115"/>
        <v/>
      </c>
      <c r="R238" s="43" t="str">
        <f t="shared" si="116"/>
        <v/>
      </c>
      <c r="S238" s="43" t="str">
        <f t="shared" si="116"/>
        <v/>
      </c>
      <c r="T238" s="43" t="str">
        <f t="shared" si="116"/>
        <v/>
      </c>
      <c r="U238" s="43" t="str">
        <f t="shared" si="116"/>
        <v/>
      </c>
      <c r="V238" s="43" t="str">
        <f t="shared" si="116"/>
        <v/>
      </c>
      <c r="W238" s="43" t="str">
        <f t="shared" si="116"/>
        <v/>
      </c>
      <c r="X238" s="43" t="str">
        <f t="shared" si="116"/>
        <v/>
      </c>
      <c r="Y238" s="43" t="str">
        <f t="shared" si="116"/>
        <v/>
      </c>
      <c r="Z238" s="43" t="str">
        <f t="shared" si="116"/>
        <v/>
      </c>
      <c r="AA238" s="43" t="str">
        <f t="shared" si="116"/>
        <v/>
      </c>
      <c r="AB238" s="43" t="str">
        <f t="shared" si="117"/>
        <v/>
      </c>
      <c r="AC238" s="43" t="str">
        <f t="shared" si="117"/>
        <v/>
      </c>
      <c r="AD238" s="43" t="str">
        <f t="shared" si="117"/>
        <v/>
      </c>
      <c r="AE238" s="43" t="str">
        <f t="shared" si="117"/>
        <v/>
      </c>
      <c r="AF238" s="43" t="str">
        <f t="shared" si="117"/>
        <v/>
      </c>
      <c r="AG238" s="43" t="str">
        <f t="shared" si="117"/>
        <v/>
      </c>
      <c r="AH238" s="43" t="str">
        <f t="shared" si="117"/>
        <v/>
      </c>
      <c r="AI238" s="43" t="str">
        <f t="shared" si="117"/>
        <v/>
      </c>
      <c r="AJ238" s="43" t="str">
        <f t="shared" si="117"/>
        <v/>
      </c>
      <c r="AK238" s="43" t="str">
        <f t="shared" si="117"/>
        <v/>
      </c>
      <c r="AL238" s="43" t="str">
        <f t="shared" si="118"/>
        <v/>
      </c>
      <c r="AM238" s="43" t="str">
        <f t="shared" si="118"/>
        <v/>
      </c>
      <c r="AN238" s="43" t="str">
        <f t="shared" si="118"/>
        <v/>
      </c>
      <c r="AO238" s="43" t="str">
        <f t="shared" si="118"/>
        <v/>
      </c>
      <c r="AP238" s="43" t="str">
        <f t="shared" si="118"/>
        <v/>
      </c>
      <c r="AQ238" s="43" t="str">
        <f t="shared" si="118"/>
        <v/>
      </c>
      <c r="AR238" s="43" t="str">
        <f t="shared" si="118"/>
        <v/>
      </c>
      <c r="AS238" s="43" t="str">
        <f t="shared" si="118"/>
        <v/>
      </c>
      <c r="AT238" s="43" t="str">
        <f t="shared" si="118"/>
        <v/>
      </c>
      <c r="AU238" s="43" t="str">
        <f t="shared" si="118"/>
        <v/>
      </c>
      <c r="AV238" s="43" t="str">
        <f t="shared" si="119"/>
        <v/>
      </c>
      <c r="AW238" s="43" t="str">
        <f t="shared" si="119"/>
        <v/>
      </c>
      <c r="AX238" s="43" t="str">
        <f t="shared" si="119"/>
        <v/>
      </c>
      <c r="AY238" s="43" t="str">
        <f t="shared" si="119"/>
        <v/>
      </c>
      <c r="AZ238" s="43" t="str">
        <f t="shared" si="119"/>
        <v/>
      </c>
      <c r="BA238" s="43" t="str">
        <f t="shared" si="119"/>
        <v/>
      </c>
      <c r="BB238" s="43"/>
      <c r="BC238" s="43"/>
      <c r="BD238" s="43"/>
      <c r="BE238" s="43"/>
      <c r="BF238" s="43"/>
      <c r="BG238" s="43"/>
      <c r="BW238" s="1250"/>
    </row>
    <row r="239" spans="1:75" x14ac:dyDescent="0.25">
      <c r="A239" s="1251"/>
      <c r="B239" s="462">
        <v>233</v>
      </c>
      <c r="C239" s="462"/>
      <c r="D239" s="1244"/>
      <c r="E239" s="1050"/>
      <c r="F239" s="1244"/>
      <c r="H239" s="43" t="str">
        <f t="shared" si="115"/>
        <v/>
      </c>
      <c r="I239" s="43" t="str">
        <f t="shared" si="115"/>
        <v/>
      </c>
      <c r="J239" s="43" t="str">
        <f t="shared" si="115"/>
        <v/>
      </c>
      <c r="K239" s="43" t="str">
        <f t="shared" si="115"/>
        <v/>
      </c>
      <c r="L239" s="43" t="str">
        <f t="shared" si="115"/>
        <v/>
      </c>
      <c r="M239" s="43" t="str">
        <f t="shared" si="115"/>
        <v/>
      </c>
      <c r="N239" s="43" t="str">
        <f t="shared" si="115"/>
        <v/>
      </c>
      <c r="O239" s="43" t="str">
        <f t="shared" si="115"/>
        <v/>
      </c>
      <c r="P239" s="43" t="str">
        <f t="shared" si="115"/>
        <v/>
      </c>
      <c r="Q239" s="43" t="str">
        <f t="shared" si="115"/>
        <v/>
      </c>
      <c r="R239" s="43" t="str">
        <f t="shared" si="116"/>
        <v/>
      </c>
      <c r="S239" s="43" t="str">
        <f t="shared" si="116"/>
        <v/>
      </c>
      <c r="T239" s="43" t="str">
        <f t="shared" si="116"/>
        <v/>
      </c>
      <c r="U239" s="43" t="str">
        <f t="shared" si="116"/>
        <v/>
      </c>
      <c r="V239" s="43" t="str">
        <f t="shared" si="116"/>
        <v/>
      </c>
      <c r="W239" s="43" t="str">
        <f t="shared" si="116"/>
        <v/>
      </c>
      <c r="X239" s="43" t="str">
        <f t="shared" si="116"/>
        <v/>
      </c>
      <c r="Y239" s="43" t="str">
        <f t="shared" si="116"/>
        <v/>
      </c>
      <c r="Z239" s="43" t="str">
        <f t="shared" si="116"/>
        <v/>
      </c>
      <c r="AA239" s="43" t="str">
        <f t="shared" si="116"/>
        <v/>
      </c>
      <c r="AB239" s="43" t="str">
        <f t="shared" si="117"/>
        <v/>
      </c>
      <c r="AC239" s="43" t="str">
        <f t="shared" si="117"/>
        <v/>
      </c>
      <c r="AD239" s="43" t="str">
        <f t="shared" si="117"/>
        <v/>
      </c>
      <c r="AE239" s="43" t="str">
        <f t="shared" si="117"/>
        <v/>
      </c>
      <c r="AF239" s="43" t="str">
        <f t="shared" si="117"/>
        <v/>
      </c>
      <c r="AG239" s="43" t="str">
        <f t="shared" si="117"/>
        <v/>
      </c>
      <c r="AH239" s="43" t="str">
        <f t="shared" si="117"/>
        <v/>
      </c>
      <c r="AI239" s="43" t="str">
        <f t="shared" si="117"/>
        <v/>
      </c>
      <c r="AJ239" s="43" t="str">
        <f t="shared" si="117"/>
        <v/>
      </c>
      <c r="AK239" s="43" t="str">
        <f t="shared" si="117"/>
        <v/>
      </c>
      <c r="AL239" s="43" t="str">
        <f t="shared" si="118"/>
        <v/>
      </c>
      <c r="AM239" s="43" t="str">
        <f t="shared" si="118"/>
        <v/>
      </c>
      <c r="AN239" s="43" t="str">
        <f t="shared" si="118"/>
        <v/>
      </c>
      <c r="AO239" s="43" t="str">
        <f t="shared" si="118"/>
        <v/>
      </c>
      <c r="AP239" s="43" t="str">
        <f t="shared" si="118"/>
        <v/>
      </c>
      <c r="AQ239" s="43" t="str">
        <f t="shared" si="118"/>
        <v/>
      </c>
      <c r="AR239" s="43" t="str">
        <f t="shared" si="118"/>
        <v/>
      </c>
      <c r="AS239" s="43" t="str">
        <f t="shared" si="118"/>
        <v/>
      </c>
      <c r="AT239" s="43" t="str">
        <f t="shared" si="118"/>
        <v/>
      </c>
      <c r="AU239" s="43" t="str">
        <f t="shared" si="118"/>
        <v/>
      </c>
      <c r="AV239" s="43" t="str">
        <f t="shared" si="119"/>
        <v/>
      </c>
      <c r="AW239" s="43" t="str">
        <f t="shared" si="119"/>
        <v/>
      </c>
      <c r="AX239" s="43" t="str">
        <f t="shared" si="119"/>
        <v/>
      </c>
      <c r="AY239" s="43" t="str">
        <f t="shared" si="119"/>
        <v/>
      </c>
      <c r="AZ239" s="43" t="str">
        <f t="shared" si="119"/>
        <v/>
      </c>
      <c r="BA239" s="43" t="str">
        <f t="shared" si="119"/>
        <v/>
      </c>
      <c r="BB239" s="43"/>
      <c r="BC239" s="43"/>
      <c r="BD239" s="43"/>
      <c r="BE239" s="43"/>
      <c r="BF239" s="43"/>
      <c r="BG239" s="43"/>
      <c r="BW239" s="1250"/>
    </row>
    <row r="240" spans="1:75" x14ac:dyDescent="0.25">
      <c r="A240" s="1251"/>
      <c r="B240" s="462">
        <v>234</v>
      </c>
      <c r="C240" s="462"/>
      <c r="D240" s="1244"/>
      <c r="E240" s="1050"/>
      <c r="F240" s="1244"/>
      <c r="H240" s="43" t="str">
        <f t="shared" si="115"/>
        <v/>
      </c>
      <c r="I240" s="43" t="str">
        <f t="shared" si="115"/>
        <v/>
      </c>
      <c r="J240" s="43" t="str">
        <f t="shared" si="115"/>
        <v/>
      </c>
      <c r="K240" s="43" t="str">
        <f t="shared" si="115"/>
        <v/>
      </c>
      <c r="L240" s="43" t="str">
        <f t="shared" si="115"/>
        <v/>
      </c>
      <c r="M240" s="43" t="str">
        <f t="shared" si="115"/>
        <v/>
      </c>
      <c r="N240" s="43" t="str">
        <f t="shared" si="115"/>
        <v/>
      </c>
      <c r="O240" s="43" t="str">
        <f t="shared" si="115"/>
        <v/>
      </c>
      <c r="P240" s="43" t="str">
        <f t="shared" si="115"/>
        <v/>
      </c>
      <c r="Q240" s="43" t="str">
        <f t="shared" si="115"/>
        <v/>
      </c>
      <c r="R240" s="43" t="str">
        <f t="shared" si="116"/>
        <v/>
      </c>
      <c r="S240" s="43" t="str">
        <f t="shared" si="116"/>
        <v/>
      </c>
      <c r="T240" s="43" t="str">
        <f t="shared" si="116"/>
        <v/>
      </c>
      <c r="U240" s="43" t="str">
        <f t="shared" si="116"/>
        <v/>
      </c>
      <c r="V240" s="43" t="str">
        <f t="shared" si="116"/>
        <v/>
      </c>
      <c r="W240" s="43" t="str">
        <f t="shared" si="116"/>
        <v/>
      </c>
      <c r="X240" s="43" t="str">
        <f t="shared" si="116"/>
        <v/>
      </c>
      <c r="Y240" s="43" t="str">
        <f t="shared" si="116"/>
        <v/>
      </c>
      <c r="Z240" s="43" t="str">
        <f t="shared" si="116"/>
        <v/>
      </c>
      <c r="AA240" s="43" t="str">
        <f t="shared" si="116"/>
        <v/>
      </c>
      <c r="AB240" s="43" t="str">
        <f t="shared" si="117"/>
        <v/>
      </c>
      <c r="AC240" s="43" t="str">
        <f t="shared" si="117"/>
        <v/>
      </c>
      <c r="AD240" s="43" t="str">
        <f t="shared" si="117"/>
        <v/>
      </c>
      <c r="AE240" s="43" t="str">
        <f t="shared" si="117"/>
        <v/>
      </c>
      <c r="AF240" s="43" t="str">
        <f t="shared" si="117"/>
        <v/>
      </c>
      <c r="AG240" s="43" t="str">
        <f t="shared" si="117"/>
        <v/>
      </c>
      <c r="AH240" s="43" t="str">
        <f t="shared" si="117"/>
        <v/>
      </c>
      <c r="AI240" s="43" t="str">
        <f t="shared" si="117"/>
        <v/>
      </c>
      <c r="AJ240" s="43" t="str">
        <f t="shared" si="117"/>
        <v/>
      </c>
      <c r="AK240" s="43" t="str">
        <f t="shared" si="117"/>
        <v/>
      </c>
      <c r="AL240" s="43" t="str">
        <f t="shared" si="118"/>
        <v/>
      </c>
      <c r="AM240" s="43" t="str">
        <f t="shared" si="118"/>
        <v/>
      </c>
      <c r="AN240" s="43" t="str">
        <f t="shared" si="118"/>
        <v/>
      </c>
      <c r="AO240" s="43" t="str">
        <f t="shared" si="118"/>
        <v/>
      </c>
      <c r="AP240" s="43" t="str">
        <f t="shared" si="118"/>
        <v/>
      </c>
      <c r="AQ240" s="43" t="str">
        <f t="shared" si="118"/>
        <v/>
      </c>
      <c r="AR240" s="43" t="str">
        <f t="shared" si="118"/>
        <v/>
      </c>
      <c r="AS240" s="43" t="str">
        <f t="shared" si="118"/>
        <v/>
      </c>
      <c r="AT240" s="43" t="str">
        <f t="shared" si="118"/>
        <v/>
      </c>
      <c r="AU240" s="43" t="str">
        <f t="shared" si="118"/>
        <v/>
      </c>
      <c r="AV240" s="43" t="str">
        <f t="shared" si="119"/>
        <v/>
      </c>
      <c r="AW240" s="43" t="str">
        <f t="shared" si="119"/>
        <v/>
      </c>
      <c r="AX240" s="43" t="str">
        <f t="shared" si="119"/>
        <v/>
      </c>
      <c r="AY240" s="43" t="str">
        <f t="shared" si="119"/>
        <v/>
      </c>
      <c r="AZ240" s="43" t="str">
        <f t="shared" si="119"/>
        <v/>
      </c>
      <c r="BA240" s="43" t="str">
        <f t="shared" si="119"/>
        <v/>
      </c>
      <c r="BB240" s="43"/>
      <c r="BC240" s="43"/>
      <c r="BD240" s="43"/>
      <c r="BE240" s="43"/>
      <c r="BF240" s="43"/>
      <c r="BG240" s="43"/>
      <c r="BW240" s="1250"/>
    </row>
    <row r="241" spans="1:75" x14ac:dyDescent="0.25">
      <c r="A241" s="1251"/>
      <c r="B241" s="462">
        <v>235</v>
      </c>
      <c r="C241" s="462"/>
      <c r="D241" s="1244"/>
      <c r="E241" s="1050"/>
      <c r="F241" s="1244"/>
      <c r="H241" s="43" t="str">
        <f t="shared" si="115"/>
        <v/>
      </c>
      <c r="I241" s="43" t="str">
        <f t="shared" si="115"/>
        <v/>
      </c>
      <c r="J241" s="43" t="str">
        <f t="shared" si="115"/>
        <v/>
      </c>
      <c r="K241" s="43" t="str">
        <f t="shared" si="115"/>
        <v/>
      </c>
      <c r="L241" s="43" t="str">
        <f t="shared" si="115"/>
        <v/>
      </c>
      <c r="M241" s="43" t="str">
        <f t="shared" si="115"/>
        <v/>
      </c>
      <c r="N241" s="43" t="str">
        <f t="shared" si="115"/>
        <v/>
      </c>
      <c r="O241" s="43" t="str">
        <f t="shared" si="115"/>
        <v/>
      </c>
      <c r="P241" s="43" t="str">
        <f t="shared" si="115"/>
        <v/>
      </c>
      <c r="Q241" s="43" t="str">
        <f t="shared" si="115"/>
        <v/>
      </c>
      <c r="R241" s="43" t="str">
        <f t="shared" si="116"/>
        <v/>
      </c>
      <c r="S241" s="43" t="str">
        <f t="shared" si="116"/>
        <v/>
      </c>
      <c r="T241" s="43" t="str">
        <f t="shared" si="116"/>
        <v/>
      </c>
      <c r="U241" s="43" t="str">
        <f t="shared" si="116"/>
        <v/>
      </c>
      <c r="V241" s="43" t="str">
        <f t="shared" si="116"/>
        <v/>
      </c>
      <c r="W241" s="43" t="str">
        <f t="shared" si="116"/>
        <v/>
      </c>
      <c r="X241" s="43" t="str">
        <f t="shared" si="116"/>
        <v/>
      </c>
      <c r="Y241" s="43" t="str">
        <f t="shared" si="116"/>
        <v/>
      </c>
      <c r="Z241" s="43" t="str">
        <f t="shared" si="116"/>
        <v/>
      </c>
      <c r="AA241" s="43" t="str">
        <f t="shared" si="116"/>
        <v/>
      </c>
      <c r="AB241" s="43" t="str">
        <f t="shared" si="117"/>
        <v/>
      </c>
      <c r="AC241" s="43" t="str">
        <f t="shared" si="117"/>
        <v/>
      </c>
      <c r="AD241" s="43" t="str">
        <f t="shared" si="117"/>
        <v/>
      </c>
      <c r="AE241" s="43" t="str">
        <f t="shared" si="117"/>
        <v/>
      </c>
      <c r="AF241" s="43" t="str">
        <f t="shared" si="117"/>
        <v/>
      </c>
      <c r="AG241" s="43" t="str">
        <f t="shared" si="117"/>
        <v/>
      </c>
      <c r="AH241" s="43" t="str">
        <f t="shared" si="117"/>
        <v/>
      </c>
      <c r="AI241" s="43" t="str">
        <f t="shared" si="117"/>
        <v/>
      </c>
      <c r="AJ241" s="43" t="str">
        <f t="shared" si="117"/>
        <v/>
      </c>
      <c r="AK241" s="43" t="str">
        <f t="shared" si="117"/>
        <v/>
      </c>
      <c r="AL241" s="43" t="str">
        <f t="shared" si="118"/>
        <v/>
      </c>
      <c r="AM241" s="43" t="str">
        <f t="shared" si="118"/>
        <v/>
      </c>
      <c r="AN241" s="43" t="str">
        <f t="shared" si="118"/>
        <v/>
      </c>
      <c r="AO241" s="43" t="str">
        <f t="shared" si="118"/>
        <v/>
      </c>
      <c r="AP241" s="43" t="str">
        <f t="shared" si="118"/>
        <v/>
      </c>
      <c r="AQ241" s="43" t="str">
        <f t="shared" si="118"/>
        <v/>
      </c>
      <c r="AR241" s="43" t="str">
        <f t="shared" si="118"/>
        <v/>
      </c>
      <c r="AS241" s="43" t="str">
        <f t="shared" si="118"/>
        <v/>
      </c>
      <c r="AT241" s="43" t="str">
        <f t="shared" si="118"/>
        <v/>
      </c>
      <c r="AU241" s="43" t="str">
        <f t="shared" si="118"/>
        <v/>
      </c>
      <c r="AV241" s="43" t="str">
        <f t="shared" si="119"/>
        <v/>
      </c>
      <c r="AW241" s="43" t="str">
        <f t="shared" si="119"/>
        <v/>
      </c>
      <c r="AX241" s="43" t="str">
        <f t="shared" si="119"/>
        <v/>
      </c>
      <c r="AY241" s="43" t="str">
        <f t="shared" si="119"/>
        <v/>
      </c>
      <c r="AZ241" s="43" t="str">
        <f t="shared" si="119"/>
        <v/>
      </c>
      <c r="BA241" s="43" t="str">
        <f t="shared" si="119"/>
        <v/>
      </c>
      <c r="BB241" s="43"/>
      <c r="BC241" s="43"/>
      <c r="BD241" s="43"/>
      <c r="BE241" s="43"/>
      <c r="BF241" s="43"/>
      <c r="BG241" s="43"/>
      <c r="BW241" s="1250"/>
    </row>
    <row r="242" spans="1:75" x14ac:dyDescent="0.25">
      <c r="A242" s="1251"/>
      <c r="B242" s="462">
        <v>236</v>
      </c>
      <c r="C242" s="462"/>
      <c r="D242" s="1244"/>
      <c r="E242" s="1050"/>
      <c r="F242" s="1244"/>
      <c r="H242" s="43" t="str">
        <f t="shared" si="115"/>
        <v/>
      </c>
      <c r="I242" s="43" t="str">
        <f t="shared" si="115"/>
        <v/>
      </c>
      <c r="J242" s="43" t="str">
        <f t="shared" si="115"/>
        <v/>
      </c>
      <c r="K242" s="43" t="str">
        <f t="shared" si="115"/>
        <v/>
      </c>
      <c r="L242" s="43" t="str">
        <f t="shared" si="115"/>
        <v/>
      </c>
      <c r="M242" s="43" t="str">
        <f t="shared" si="115"/>
        <v/>
      </c>
      <c r="N242" s="43" t="str">
        <f t="shared" si="115"/>
        <v/>
      </c>
      <c r="O242" s="43" t="str">
        <f t="shared" si="115"/>
        <v/>
      </c>
      <c r="P242" s="43" t="str">
        <f t="shared" si="115"/>
        <v/>
      </c>
      <c r="Q242" s="43" t="str">
        <f t="shared" si="115"/>
        <v/>
      </c>
      <c r="R242" s="43" t="str">
        <f t="shared" si="116"/>
        <v/>
      </c>
      <c r="S242" s="43" t="str">
        <f t="shared" si="116"/>
        <v/>
      </c>
      <c r="T242" s="43" t="str">
        <f t="shared" si="116"/>
        <v/>
      </c>
      <c r="U242" s="43" t="str">
        <f t="shared" si="116"/>
        <v/>
      </c>
      <c r="V242" s="43" t="str">
        <f t="shared" si="116"/>
        <v/>
      </c>
      <c r="W242" s="43" t="str">
        <f t="shared" si="116"/>
        <v/>
      </c>
      <c r="X242" s="43" t="str">
        <f t="shared" si="116"/>
        <v/>
      </c>
      <c r="Y242" s="43" t="str">
        <f t="shared" si="116"/>
        <v/>
      </c>
      <c r="Z242" s="43" t="str">
        <f t="shared" si="116"/>
        <v/>
      </c>
      <c r="AA242" s="43" t="str">
        <f t="shared" si="116"/>
        <v/>
      </c>
      <c r="AB242" s="43" t="str">
        <f t="shared" si="117"/>
        <v/>
      </c>
      <c r="AC242" s="43" t="str">
        <f t="shared" si="117"/>
        <v/>
      </c>
      <c r="AD242" s="43" t="str">
        <f t="shared" si="117"/>
        <v/>
      </c>
      <c r="AE242" s="43" t="str">
        <f t="shared" si="117"/>
        <v/>
      </c>
      <c r="AF242" s="43" t="str">
        <f t="shared" si="117"/>
        <v/>
      </c>
      <c r="AG242" s="43" t="str">
        <f t="shared" si="117"/>
        <v/>
      </c>
      <c r="AH242" s="43" t="str">
        <f t="shared" si="117"/>
        <v/>
      </c>
      <c r="AI242" s="43" t="str">
        <f t="shared" si="117"/>
        <v/>
      </c>
      <c r="AJ242" s="43" t="str">
        <f t="shared" si="117"/>
        <v/>
      </c>
      <c r="AK242" s="43" t="str">
        <f t="shared" si="117"/>
        <v/>
      </c>
      <c r="AL242" s="43" t="str">
        <f t="shared" si="118"/>
        <v/>
      </c>
      <c r="AM242" s="43" t="str">
        <f t="shared" si="118"/>
        <v/>
      </c>
      <c r="AN242" s="43" t="str">
        <f t="shared" si="118"/>
        <v/>
      </c>
      <c r="AO242" s="43" t="str">
        <f t="shared" si="118"/>
        <v/>
      </c>
      <c r="AP242" s="43" t="str">
        <f t="shared" si="118"/>
        <v/>
      </c>
      <c r="AQ242" s="43" t="str">
        <f t="shared" si="118"/>
        <v/>
      </c>
      <c r="AR242" s="43" t="str">
        <f t="shared" si="118"/>
        <v/>
      </c>
      <c r="AS242" s="43" t="str">
        <f t="shared" si="118"/>
        <v/>
      </c>
      <c r="AT242" s="43" t="str">
        <f t="shared" si="118"/>
        <v/>
      </c>
      <c r="AU242" s="43" t="str">
        <f t="shared" si="118"/>
        <v/>
      </c>
      <c r="AV242" s="43" t="str">
        <f t="shared" si="119"/>
        <v/>
      </c>
      <c r="AW242" s="43" t="str">
        <f t="shared" si="119"/>
        <v/>
      </c>
      <c r="AX242" s="43" t="str">
        <f t="shared" si="119"/>
        <v/>
      </c>
      <c r="AY242" s="43" t="str">
        <f t="shared" si="119"/>
        <v/>
      </c>
      <c r="AZ242" s="43" t="str">
        <f t="shared" si="119"/>
        <v/>
      </c>
      <c r="BA242" s="43" t="str">
        <f t="shared" si="119"/>
        <v/>
      </c>
      <c r="BB242" s="43"/>
      <c r="BC242" s="43"/>
      <c r="BD242" s="43"/>
      <c r="BE242" s="43"/>
      <c r="BF242" s="43"/>
      <c r="BG242" s="43"/>
      <c r="BW242" s="1250"/>
    </row>
    <row r="243" spans="1:75" x14ac:dyDescent="0.25">
      <c r="A243" s="1251"/>
      <c r="B243" s="462">
        <v>237</v>
      </c>
      <c r="C243" s="462"/>
      <c r="D243" s="1244"/>
      <c r="E243" s="1050"/>
      <c r="F243" s="1244"/>
      <c r="H243" s="43" t="str">
        <f t="shared" si="115"/>
        <v/>
      </c>
      <c r="I243" s="43" t="str">
        <f t="shared" si="115"/>
        <v/>
      </c>
      <c r="J243" s="43" t="str">
        <f t="shared" si="115"/>
        <v/>
      </c>
      <c r="K243" s="43" t="str">
        <f t="shared" si="115"/>
        <v/>
      </c>
      <c r="L243" s="43" t="str">
        <f t="shared" si="115"/>
        <v/>
      </c>
      <c r="M243" s="43" t="str">
        <f t="shared" si="115"/>
        <v/>
      </c>
      <c r="N243" s="43" t="str">
        <f t="shared" si="115"/>
        <v/>
      </c>
      <c r="O243" s="43" t="str">
        <f t="shared" si="115"/>
        <v/>
      </c>
      <c r="P243" s="43" t="str">
        <f t="shared" si="115"/>
        <v/>
      </c>
      <c r="Q243" s="43" t="str">
        <f t="shared" si="115"/>
        <v/>
      </c>
      <c r="R243" s="43" t="str">
        <f t="shared" si="116"/>
        <v/>
      </c>
      <c r="S243" s="43" t="str">
        <f t="shared" si="116"/>
        <v/>
      </c>
      <c r="T243" s="43" t="str">
        <f t="shared" si="116"/>
        <v/>
      </c>
      <c r="U243" s="43" t="str">
        <f t="shared" si="116"/>
        <v/>
      </c>
      <c r="V243" s="43" t="str">
        <f t="shared" si="116"/>
        <v/>
      </c>
      <c r="W243" s="43" t="str">
        <f t="shared" si="116"/>
        <v/>
      </c>
      <c r="X243" s="43" t="str">
        <f t="shared" si="116"/>
        <v/>
      </c>
      <c r="Y243" s="43" t="str">
        <f t="shared" si="116"/>
        <v/>
      </c>
      <c r="Z243" s="43" t="str">
        <f t="shared" si="116"/>
        <v/>
      </c>
      <c r="AA243" s="43" t="str">
        <f t="shared" si="116"/>
        <v/>
      </c>
      <c r="AB243" s="43" t="str">
        <f t="shared" si="117"/>
        <v/>
      </c>
      <c r="AC243" s="43" t="str">
        <f t="shared" si="117"/>
        <v/>
      </c>
      <c r="AD243" s="43" t="str">
        <f t="shared" si="117"/>
        <v/>
      </c>
      <c r="AE243" s="43" t="str">
        <f t="shared" si="117"/>
        <v/>
      </c>
      <c r="AF243" s="43" t="str">
        <f t="shared" si="117"/>
        <v/>
      </c>
      <c r="AG243" s="43" t="str">
        <f t="shared" si="117"/>
        <v/>
      </c>
      <c r="AH243" s="43" t="str">
        <f t="shared" si="117"/>
        <v/>
      </c>
      <c r="AI243" s="43" t="str">
        <f t="shared" si="117"/>
        <v/>
      </c>
      <c r="AJ243" s="43" t="str">
        <f t="shared" si="117"/>
        <v/>
      </c>
      <c r="AK243" s="43" t="str">
        <f t="shared" si="117"/>
        <v/>
      </c>
      <c r="AL243" s="43" t="str">
        <f t="shared" si="118"/>
        <v/>
      </c>
      <c r="AM243" s="43" t="str">
        <f t="shared" si="118"/>
        <v/>
      </c>
      <c r="AN243" s="43" t="str">
        <f t="shared" si="118"/>
        <v/>
      </c>
      <c r="AO243" s="43" t="str">
        <f t="shared" si="118"/>
        <v/>
      </c>
      <c r="AP243" s="43" t="str">
        <f t="shared" si="118"/>
        <v/>
      </c>
      <c r="AQ243" s="43" t="str">
        <f t="shared" si="118"/>
        <v/>
      </c>
      <c r="AR243" s="43" t="str">
        <f t="shared" si="118"/>
        <v/>
      </c>
      <c r="AS243" s="43" t="str">
        <f t="shared" si="118"/>
        <v/>
      </c>
      <c r="AT243" s="43" t="str">
        <f t="shared" si="118"/>
        <v/>
      </c>
      <c r="AU243" s="43" t="str">
        <f t="shared" si="118"/>
        <v/>
      </c>
      <c r="AV243" s="43" t="str">
        <f t="shared" si="119"/>
        <v/>
      </c>
      <c r="AW243" s="43" t="str">
        <f t="shared" si="119"/>
        <v/>
      </c>
      <c r="AX243" s="43" t="str">
        <f t="shared" si="119"/>
        <v/>
      </c>
      <c r="AY243" s="43" t="str">
        <f t="shared" si="119"/>
        <v/>
      </c>
      <c r="AZ243" s="43" t="str">
        <f t="shared" si="119"/>
        <v/>
      </c>
      <c r="BA243" s="43" t="str">
        <f t="shared" si="119"/>
        <v/>
      </c>
      <c r="BB243" s="43"/>
      <c r="BC243" s="43"/>
      <c r="BD243" s="43"/>
      <c r="BE243" s="43"/>
      <c r="BF243" s="43"/>
      <c r="BG243" s="43"/>
      <c r="BW243" s="1250"/>
    </row>
    <row r="244" spans="1:75" x14ac:dyDescent="0.25">
      <c r="A244" s="1251"/>
      <c r="B244" s="462">
        <v>238</v>
      </c>
      <c r="C244" s="462"/>
      <c r="D244" s="1244"/>
      <c r="E244" s="1050"/>
      <c r="F244" s="1244"/>
      <c r="H244" s="43" t="str">
        <f t="shared" si="115"/>
        <v/>
      </c>
      <c r="I244" s="43" t="str">
        <f t="shared" si="115"/>
        <v/>
      </c>
      <c r="J244" s="43" t="str">
        <f t="shared" si="115"/>
        <v/>
      </c>
      <c r="K244" s="43" t="str">
        <f t="shared" si="115"/>
        <v/>
      </c>
      <c r="L244" s="43" t="str">
        <f t="shared" si="115"/>
        <v/>
      </c>
      <c r="M244" s="43" t="str">
        <f t="shared" si="115"/>
        <v/>
      </c>
      <c r="N244" s="43" t="str">
        <f t="shared" si="115"/>
        <v/>
      </c>
      <c r="O244" s="43" t="str">
        <f t="shared" si="115"/>
        <v/>
      </c>
      <c r="P244" s="43" t="str">
        <f t="shared" si="115"/>
        <v/>
      </c>
      <c r="Q244" s="43" t="str">
        <f t="shared" si="115"/>
        <v/>
      </c>
      <c r="R244" s="43" t="str">
        <f t="shared" si="116"/>
        <v/>
      </c>
      <c r="S244" s="43" t="str">
        <f t="shared" si="116"/>
        <v/>
      </c>
      <c r="T244" s="43" t="str">
        <f t="shared" si="116"/>
        <v/>
      </c>
      <c r="U244" s="43" t="str">
        <f t="shared" si="116"/>
        <v/>
      </c>
      <c r="V244" s="43" t="str">
        <f t="shared" si="116"/>
        <v/>
      </c>
      <c r="W244" s="43" t="str">
        <f t="shared" si="116"/>
        <v/>
      </c>
      <c r="X244" s="43" t="str">
        <f t="shared" si="116"/>
        <v/>
      </c>
      <c r="Y244" s="43" t="str">
        <f t="shared" si="116"/>
        <v/>
      </c>
      <c r="Z244" s="43" t="str">
        <f t="shared" si="116"/>
        <v/>
      </c>
      <c r="AA244" s="43" t="str">
        <f t="shared" si="116"/>
        <v/>
      </c>
      <c r="AB244" s="43" t="str">
        <f t="shared" si="117"/>
        <v/>
      </c>
      <c r="AC244" s="43" t="str">
        <f t="shared" si="117"/>
        <v/>
      </c>
      <c r="AD244" s="43" t="str">
        <f t="shared" si="117"/>
        <v/>
      </c>
      <c r="AE244" s="43" t="str">
        <f t="shared" si="117"/>
        <v/>
      </c>
      <c r="AF244" s="43" t="str">
        <f t="shared" si="117"/>
        <v/>
      </c>
      <c r="AG244" s="43" t="str">
        <f t="shared" si="117"/>
        <v/>
      </c>
      <c r="AH244" s="43" t="str">
        <f t="shared" si="117"/>
        <v/>
      </c>
      <c r="AI244" s="43" t="str">
        <f t="shared" si="117"/>
        <v/>
      </c>
      <c r="AJ244" s="43" t="str">
        <f t="shared" si="117"/>
        <v/>
      </c>
      <c r="AK244" s="43" t="str">
        <f t="shared" si="117"/>
        <v/>
      </c>
      <c r="AL244" s="43" t="str">
        <f t="shared" si="118"/>
        <v/>
      </c>
      <c r="AM244" s="43" t="str">
        <f t="shared" si="118"/>
        <v/>
      </c>
      <c r="AN244" s="43" t="str">
        <f t="shared" si="118"/>
        <v/>
      </c>
      <c r="AO244" s="43" t="str">
        <f t="shared" si="118"/>
        <v/>
      </c>
      <c r="AP244" s="43" t="str">
        <f t="shared" si="118"/>
        <v/>
      </c>
      <c r="AQ244" s="43" t="str">
        <f t="shared" si="118"/>
        <v/>
      </c>
      <c r="AR244" s="43" t="str">
        <f t="shared" si="118"/>
        <v/>
      </c>
      <c r="AS244" s="43" t="str">
        <f t="shared" si="118"/>
        <v/>
      </c>
      <c r="AT244" s="43" t="str">
        <f t="shared" si="118"/>
        <v/>
      </c>
      <c r="AU244" s="43" t="str">
        <f t="shared" si="118"/>
        <v/>
      </c>
      <c r="AV244" s="43" t="str">
        <f t="shared" si="119"/>
        <v/>
      </c>
      <c r="AW244" s="43" t="str">
        <f t="shared" si="119"/>
        <v/>
      </c>
      <c r="AX244" s="43" t="str">
        <f t="shared" si="119"/>
        <v/>
      </c>
      <c r="AY244" s="43" t="str">
        <f t="shared" si="119"/>
        <v/>
      </c>
      <c r="AZ244" s="43" t="str">
        <f t="shared" si="119"/>
        <v/>
      </c>
      <c r="BA244" s="43" t="str">
        <f t="shared" si="119"/>
        <v/>
      </c>
      <c r="BB244" s="43"/>
      <c r="BC244" s="43"/>
      <c r="BD244" s="43"/>
      <c r="BE244" s="43"/>
      <c r="BF244" s="43"/>
      <c r="BG244" s="43"/>
      <c r="BW244" s="1250"/>
    </row>
    <row r="245" spans="1:75" x14ac:dyDescent="0.25">
      <c r="A245" s="1251"/>
      <c r="B245" s="462">
        <v>239</v>
      </c>
      <c r="C245" s="462"/>
      <c r="D245" s="1244"/>
      <c r="E245" s="1050"/>
      <c r="F245" s="1244"/>
      <c r="H245" s="43" t="str">
        <f t="shared" si="115"/>
        <v/>
      </c>
      <c r="I245" s="43" t="str">
        <f t="shared" si="115"/>
        <v/>
      </c>
      <c r="J245" s="43" t="str">
        <f t="shared" si="115"/>
        <v/>
      </c>
      <c r="K245" s="43" t="str">
        <f t="shared" si="115"/>
        <v/>
      </c>
      <c r="L245" s="43" t="str">
        <f t="shared" si="115"/>
        <v/>
      </c>
      <c r="M245" s="43" t="str">
        <f t="shared" si="115"/>
        <v/>
      </c>
      <c r="N245" s="43" t="str">
        <f t="shared" si="115"/>
        <v/>
      </c>
      <c r="O245" s="43" t="str">
        <f t="shared" si="115"/>
        <v/>
      </c>
      <c r="P245" s="43" t="str">
        <f t="shared" si="115"/>
        <v/>
      </c>
      <c r="Q245" s="43" t="str">
        <f t="shared" si="115"/>
        <v/>
      </c>
      <c r="R245" s="43" t="str">
        <f t="shared" si="116"/>
        <v/>
      </c>
      <c r="S245" s="43" t="str">
        <f t="shared" si="116"/>
        <v/>
      </c>
      <c r="T245" s="43" t="str">
        <f t="shared" si="116"/>
        <v/>
      </c>
      <c r="U245" s="43" t="str">
        <f t="shared" si="116"/>
        <v/>
      </c>
      <c r="V245" s="43" t="str">
        <f t="shared" si="116"/>
        <v/>
      </c>
      <c r="W245" s="43" t="str">
        <f t="shared" si="116"/>
        <v/>
      </c>
      <c r="X245" s="43" t="str">
        <f t="shared" si="116"/>
        <v/>
      </c>
      <c r="Y245" s="43" t="str">
        <f t="shared" si="116"/>
        <v/>
      </c>
      <c r="Z245" s="43" t="str">
        <f t="shared" si="116"/>
        <v/>
      </c>
      <c r="AA245" s="43" t="str">
        <f t="shared" si="116"/>
        <v/>
      </c>
      <c r="AB245" s="43" t="str">
        <f t="shared" si="117"/>
        <v/>
      </c>
      <c r="AC245" s="43" t="str">
        <f t="shared" si="117"/>
        <v/>
      </c>
      <c r="AD245" s="43" t="str">
        <f t="shared" si="117"/>
        <v/>
      </c>
      <c r="AE245" s="43" t="str">
        <f t="shared" si="117"/>
        <v/>
      </c>
      <c r="AF245" s="43" t="str">
        <f t="shared" si="117"/>
        <v/>
      </c>
      <c r="AG245" s="43" t="str">
        <f t="shared" si="117"/>
        <v/>
      </c>
      <c r="AH245" s="43" t="str">
        <f t="shared" si="117"/>
        <v/>
      </c>
      <c r="AI245" s="43" t="str">
        <f t="shared" si="117"/>
        <v/>
      </c>
      <c r="AJ245" s="43" t="str">
        <f t="shared" si="117"/>
        <v/>
      </c>
      <c r="AK245" s="43" t="str">
        <f t="shared" si="117"/>
        <v/>
      </c>
      <c r="AL245" s="43" t="str">
        <f t="shared" si="118"/>
        <v/>
      </c>
      <c r="AM245" s="43" t="str">
        <f t="shared" si="118"/>
        <v/>
      </c>
      <c r="AN245" s="43" t="str">
        <f t="shared" si="118"/>
        <v/>
      </c>
      <c r="AO245" s="43" t="str">
        <f t="shared" si="118"/>
        <v/>
      </c>
      <c r="AP245" s="43" t="str">
        <f t="shared" si="118"/>
        <v/>
      </c>
      <c r="AQ245" s="43" t="str">
        <f t="shared" si="118"/>
        <v/>
      </c>
      <c r="AR245" s="43" t="str">
        <f t="shared" si="118"/>
        <v/>
      </c>
      <c r="AS245" s="43" t="str">
        <f t="shared" si="118"/>
        <v/>
      </c>
      <c r="AT245" s="43" t="str">
        <f t="shared" si="118"/>
        <v/>
      </c>
      <c r="AU245" s="43" t="str">
        <f t="shared" si="118"/>
        <v/>
      </c>
      <c r="AV245" s="43" t="str">
        <f t="shared" si="119"/>
        <v/>
      </c>
      <c r="AW245" s="43" t="str">
        <f t="shared" si="119"/>
        <v/>
      </c>
      <c r="AX245" s="43" t="str">
        <f t="shared" si="119"/>
        <v/>
      </c>
      <c r="AY245" s="43" t="str">
        <f t="shared" si="119"/>
        <v/>
      </c>
      <c r="AZ245" s="43" t="str">
        <f t="shared" si="119"/>
        <v/>
      </c>
      <c r="BA245" s="43" t="str">
        <f t="shared" si="119"/>
        <v/>
      </c>
      <c r="BB245" s="43"/>
      <c r="BC245" s="43"/>
      <c r="BD245" s="43"/>
      <c r="BE245" s="43"/>
      <c r="BF245" s="43"/>
      <c r="BG245" s="43"/>
      <c r="BW245" s="1250"/>
    </row>
    <row r="246" spans="1:75" x14ac:dyDescent="0.25">
      <c r="A246" s="1251"/>
      <c r="B246" s="462">
        <v>240</v>
      </c>
      <c r="C246" s="462"/>
      <c r="D246" s="1244"/>
      <c r="E246" s="1050"/>
      <c r="F246" s="1244"/>
      <c r="H246" s="43" t="str">
        <f t="shared" si="115"/>
        <v/>
      </c>
      <c r="I246" s="43" t="str">
        <f t="shared" si="115"/>
        <v/>
      </c>
      <c r="J246" s="43" t="str">
        <f t="shared" si="115"/>
        <v/>
      </c>
      <c r="K246" s="43" t="str">
        <f t="shared" si="115"/>
        <v/>
      </c>
      <c r="L246" s="43" t="str">
        <f t="shared" si="115"/>
        <v/>
      </c>
      <c r="M246" s="43" t="str">
        <f t="shared" si="115"/>
        <v/>
      </c>
      <c r="N246" s="43" t="str">
        <f t="shared" si="115"/>
        <v/>
      </c>
      <c r="O246" s="43" t="str">
        <f t="shared" si="115"/>
        <v/>
      </c>
      <c r="P246" s="43" t="str">
        <f t="shared" si="115"/>
        <v/>
      </c>
      <c r="Q246" s="43" t="str">
        <f t="shared" si="115"/>
        <v/>
      </c>
      <c r="R246" s="43" t="str">
        <f t="shared" si="116"/>
        <v/>
      </c>
      <c r="S246" s="43" t="str">
        <f t="shared" si="116"/>
        <v/>
      </c>
      <c r="T246" s="43" t="str">
        <f t="shared" si="116"/>
        <v/>
      </c>
      <c r="U246" s="43" t="str">
        <f t="shared" si="116"/>
        <v/>
      </c>
      <c r="V246" s="43" t="str">
        <f t="shared" si="116"/>
        <v/>
      </c>
      <c r="W246" s="43" t="str">
        <f t="shared" si="116"/>
        <v/>
      </c>
      <c r="X246" s="43" t="str">
        <f t="shared" si="116"/>
        <v/>
      </c>
      <c r="Y246" s="43" t="str">
        <f t="shared" si="116"/>
        <v/>
      </c>
      <c r="Z246" s="43" t="str">
        <f t="shared" si="116"/>
        <v/>
      </c>
      <c r="AA246" s="43" t="str">
        <f t="shared" si="116"/>
        <v/>
      </c>
      <c r="AB246" s="43" t="str">
        <f t="shared" si="117"/>
        <v/>
      </c>
      <c r="AC246" s="43" t="str">
        <f t="shared" si="117"/>
        <v/>
      </c>
      <c r="AD246" s="43" t="str">
        <f t="shared" si="117"/>
        <v/>
      </c>
      <c r="AE246" s="43" t="str">
        <f t="shared" si="117"/>
        <v/>
      </c>
      <c r="AF246" s="43" t="str">
        <f t="shared" si="117"/>
        <v/>
      </c>
      <c r="AG246" s="43" t="str">
        <f t="shared" si="117"/>
        <v/>
      </c>
      <c r="AH246" s="43" t="str">
        <f t="shared" si="117"/>
        <v/>
      </c>
      <c r="AI246" s="43" t="str">
        <f t="shared" si="117"/>
        <v/>
      </c>
      <c r="AJ246" s="43" t="str">
        <f t="shared" si="117"/>
        <v/>
      </c>
      <c r="AK246" s="43" t="str">
        <f t="shared" si="117"/>
        <v/>
      </c>
      <c r="AL246" s="43" t="str">
        <f t="shared" si="118"/>
        <v/>
      </c>
      <c r="AM246" s="43" t="str">
        <f t="shared" si="118"/>
        <v/>
      </c>
      <c r="AN246" s="43" t="str">
        <f t="shared" si="118"/>
        <v/>
      </c>
      <c r="AO246" s="43" t="str">
        <f t="shared" si="118"/>
        <v/>
      </c>
      <c r="AP246" s="43" t="str">
        <f t="shared" si="118"/>
        <v/>
      </c>
      <c r="AQ246" s="43" t="str">
        <f t="shared" si="118"/>
        <v/>
      </c>
      <c r="AR246" s="43" t="str">
        <f t="shared" si="118"/>
        <v/>
      </c>
      <c r="AS246" s="43" t="str">
        <f t="shared" si="118"/>
        <v/>
      </c>
      <c r="AT246" s="43" t="str">
        <f t="shared" si="118"/>
        <v/>
      </c>
      <c r="AU246" s="43" t="str">
        <f t="shared" si="118"/>
        <v/>
      </c>
      <c r="AV246" s="43" t="str">
        <f t="shared" si="119"/>
        <v/>
      </c>
      <c r="AW246" s="43" t="str">
        <f t="shared" si="119"/>
        <v/>
      </c>
      <c r="AX246" s="43" t="str">
        <f t="shared" si="119"/>
        <v/>
      </c>
      <c r="AY246" s="43" t="str">
        <f t="shared" si="119"/>
        <v/>
      </c>
      <c r="AZ246" s="43" t="str">
        <f t="shared" si="119"/>
        <v/>
      </c>
      <c r="BA246" s="43" t="str">
        <f t="shared" si="119"/>
        <v/>
      </c>
      <c r="BB246" s="43"/>
      <c r="BC246" s="43"/>
      <c r="BD246" s="43"/>
      <c r="BE246" s="43"/>
      <c r="BF246" s="43"/>
      <c r="BG246" s="43"/>
      <c r="BW246" s="1250"/>
    </row>
    <row r="247" spans="1:75" x14ac:dyDescent="0.25">
      <c r="A247" s="1251"/>
      <c r="B247" s="462">
        <v>241</v>
      </c>
      <c r="C247" s="462"/>
      <c r="D247" s="1244"/>
      <c r="E247" s="1050"/>
      <c r="F247" s="1244"/>
      <c r="H247" s="43" t="str">
        <f t="shared" ref="H247:Q256" si="120">IF($D247=H$6,$B247&amp;", ","")</f>
        <v/>
      </c>
      <c r="I247" s="43" t="str">
        <f t="shared" si="120"/>
        <v/>
      </c>
      <c r="J247" s="43" t="str">
        <f t="shared" si="120"/>
        <v/>
      </c>
      <c r="K247" s="43" t="str">
        <f t="shared" si="120"/>
        <v/>
      </c>
      <c r="L247" s="43" t="str">
        <f t="shared" si="120"/>
        <v/>
      </c>
      <c r="M247" s="43" t="str">
        <f t="shared" si="120"/>
        <v/>
      </c>
      <c r="N247" s="43" t="str">
        <f t="shared" si="120"/>
        <v/>
      </c>
      <c r="O247" s="43" t="str">
        <f t="shared" si="120"/>
        <v/>
      </c>
      <c r="P247" s="43" t="str">
        <f t="shared" si="120"/>
        <v/>
      </c>
      <c r="Q247" s="43" t="str">
        <f t="shared" si="120"/>
        <v/>
      </c>
      <c r="R247" s="43" t="str">
        <f t="shared" ref="R247:AA256" si="121">IF($D247=R$6,$B247&amp;", ","")</f>
        <v/>
      </c>
      <c r="S247" s="43" t="str">
        <f t="shared" si="121"/>
        <v/>
      </c>
      <c r="T247" s="43" t="str">
        <f t="shared" si="121"/>
        <v/>
      </c>
      <c r="U247" s="43" t="str">
        <f t="shared" si="121"/>
        <v/>
      </c>
      <c r="V247" s="43" t="str">
        <f t="shared" si="121"/>
        <v/>
      </c>
      <c r="W247" s="43" t="str">
        <f t="shared" si="121"/>
        <v/>
      </c>
      <c r="X247" s="43" t="str">
        <f t="shared" si="121"/>
        <v/>
      </c>
      <c r="Y247" s="43" t="str">
        <f t="shared" si="121"/>
        <v/>
      </c>
      <c r="Z247" s="43" t="str">
        <f t="shared" si="121"/>
        <v/>
      </c>
      <c r="AA247" s="43" t="str">
        <f t="shared" si="121"/>
        <v/>
      </c>
      <c r="AB247" s="43" t="str">
        <f t="shared" ref="AB247:AK256" si="122">IF($D247=AB$6,$B247&amp;", ","")</f>
        <v/>
      </c>
      <c r="AC247" s="43" t="str">
        <f t="shared" si="122"/>
        <v/>
      </c>
      <c r="AD247" s="43" t="str">
        <f t="shared" si="122"/>
        <v/>
      </c>
      <c r="AE247" s="43" t="str">
        <f t="shared" si="122"/>
        <v/>
      </c>
      <c r="AF247" s="43" t="str">
        <f t="shared" si="122"/>
        <v/>
      </c>
      <c r="AG247" s="43" t="str">
        <f t="shared" si="122"/>
        <v/>
      </c>
      <c r="AH247" s="43" t="str">
        <f t="shared" si="122"/>
        <v/>
      </c>
      <c r="AI247" s="43" t="str">
        <f t="shared" si="122"/>
        <v/>
      </c>
      <c r="AJ247" s="43" t="str">
        <f t="shared" si="122"/>
        <v/>
      </c>
      <c r="AK247" s="43" t="str">
        <f t="shared" si="122"/>
        <v/>
      </c>
      <c r="AL247" s="43" t="str">
        <f t="shared" ref="AL247:AU256" si="123">IF($D247=AL$6,$B247&amp;", ","")</f>
        <v/>
      </c>
      <c r="AM247" s="43" t="str">
        <f t="shared" si="123"/>
        <v/>
      </c>
      <c r="AN247" s="43" t="str">
        <f t="shared" si="123"/>
        <v/>
      </c>
      <c r="AO247" s="43" t="str">
        <f t="shared" si="123"/>
        <v/>
      </c>
      <c r="AP247" s="43" t="str">
        <f t="shared" si="123"/>
        <v/>
      </c>
      <c r="AQ247" s="43" t="str">
        <f t="shared" si="123"/>
        <v/>
      </c>
      <c r="AR247" s="43" t="str">
        <f t="shared" si="123"/>
        <v/>
      </c>
      <c r="AS247" s="43" t="str">
        <f t="shared" si="123"/>
        <v/>
      </c>
      <c r="AT247" s="43" t="str">
        <f t="shared" si="123"/>
        <v/>
      </c>
      <c r="AU247" s="43" t="str">
        <f t="shared" si="123"/>
        <v/>
      </c>
      <c r="AV247" s="43" t="str">
        <f t="shared" ref="AV247:BA256" si="124">IF($D247=AV$6,$B247&amp;", ","")</f>
        <v/>
      </c>
      <c r="AW247" s="43" t="str">
        <f t="shared" si="124"/>
        <v/>
      </c>
      <c r="AX247" s="43" t="str">
        <f t="shared" si="124"/>
        <v/>
      </c>
      <c r="AY247" s="43" t="str">
        <f t="shared" si="124"/>
        <v/>
      </c>
      <c r="AZ247" s="43" t="str">
        <f t="shared" si="124"/>
        <v/>
      </c>
      <c r="BA247" s="43" t="str">
        <f t="shared" si="124"/>
        <v/>
      </c>
      <c r="BB247" s="43"/>
      <c r="BC247" s="43"/>
      <c r="BD247" s="43"/>
      <c r="BE247" s="43"/>
      <c r="BF247" s="43"/>
      <c r="BG247" s="43"/>
      <c r="BW247" s="1250"/>
    </row>
    <row r="248" spans="1:75" x14ac:dyDescent="0.25">
      <c r="A248" s="1251"/>
      <c r="B248" s="462">
        <v>242</v>
      </c>
      <c r="C248" s="462"/>
      <c r="D248" s="1244"/>
      <c r="E248" s="1050"/>
      <c r="F248" s="1244"/>
      <c r="H248" s="43" t="str">
        <f t="shared" si="120"/>
        <v/>
      </c>
      <c r="I248" s="43" t="str">
        <f t="shared" si="120"/>
        <v/>
      </c>
      <c r="J248" s="43" t="str">
        <f t="shared" si="120"/>
        <v/>
      </c>
      <c r="K248" s="43" t="str">
        <f t="shared" si="120"/>
        <v/>
      </c>
      <c r="L248" s="43" t="str">
        <f t="shared" si="120"/>
        <v/>
      </c>
      <c r="M248" s="43" t="str">
        <f t="shared" si="120"/>
        <v/>
      </c>
      <c r="N248" s="43" t="str">
        <f t="shared" si="120"/>
        <v/>
      </c>
      <c r="O248" s="43" t="str">
        <f t="shared" si="120"/>
        <v/>
      </c>
      <c r="P248" s="43" t="str">
        <f t="shared" si="120"/>
        <v/>
      </c>
      <c r="Q248" s="43" t="str">
        <f t="shared" si="120"/>
        <v/>
      </c>
      <c r="R248" s="43" t="str">
        <f t="shared" si="121"/>
        <v/>
      </c>
      <c r="S248" s="43" t="str">
        <f t="shared" si="121"/>
        <v/>
      </c>
      <c r="T248" s="43" t="str">
        <f t="shared" si="121"/>
        <v/>
      </c>
      <c r="U248" s="43" t="str">
        <f t="shared" si="121"/>
        <v/>
      </c>
      <c r="V248" s="43" t="str">
        <f t="shared" si="121"/>
        <v/>
      </c>
      <c r="W248" s="43" t="str">
        <f t="shared" si="121"/>
        <v/>
      </c>
      <c r="X248" s="43" t="str">
        <f t="shared" si="121"/>
        <v/>
      </c>
      <c r="Y248" s="43" t="str">
        <f t="shared" si="121"/>
        <v/>
      </c>
      <c r="Z248" s="43" t="str">
        <f t="shared" si="121"/>
        <v/>
      </c>
      <c r="AA248" s="43" t="str">
        <f t="shared" si="121"/>
        <v/>
      </c>
      <c r="AB248" s="43" t="str">
        <f t="shared" si="122"/>
        <v/>
      </c>
      <c r="AC248" s="43" t="str">
        <f t="shared" si="122"/>
        <v/>
      </c>
      <c r="AD248" s="43" t="str">
        <f t="shared" si="122"/>
        <v/>
      </c>
      <c r="AE248" s="43" t="str">
        <f t="shared" si="122"/>
        <v/>
      </c>
      <c r="AF248" s="43" t="str">
        <f t="shared" si="122"/>
        <v/>
      </c>
      <c r="AG248" s="43" t="str">
        <f t="shared" si="122"/>
        <v/>
      </c>
      <c r="AH248" s="43" t="str">
        <f t="shared" si="122"/>
        <v/>
      </c>
      <c r="AI248" s="43" t="str">
        <f t="shared" si="122"/>
        <v/>
      </c>
      <c r="AJ248" s="43" t="str">
        <f t="shared" si="122"/>
        <v/>
      </c>
      <c r="AK248" s="43" t="str">
        <f t="shared" si="122"/>
        <v/>
      </c>
      <c r="AL248" s="43" t="str">
        <f t="shared" si="123"/>
        <v/>
      </c>
      <c r="AM248" s="43" t="str">
        <f t="shared" si="123"/>
        <v/>
      </c>
      <c r="AN248" s="43" t="str">
        <f t="shared" si="123"/>
        <v/>
      </c>
      <c r="AO248" s="43" t="str">
        <f t="shared" si="123"/>
        <v/>
      </c>
      <c r="AP248" s="43" t="str">
        <f t="shared" si="123"/>
        <v/>
      </c>
      <c r="AQ248" s="43" t="str">
        <f t="shared" si="123"/>
        <v/>
      </c>
      <c r="AR248" s="43" t="str">
        <f t="shared" si="123"/>
        <v/>
      </c>
      <c r="AS248" s="43" t="str">
        <f t="shared" si="123"/>
        <v/>
      </c>
      <c r="AT248" s="43" t="str">
        <f t="shared" si="123"/>
        <v/>
      </c>
      <c r="AU248" s="43" t="str">
        <f t="shared" si="123"/>
        <v/>
      </c>
      <c r="AV248" s="43" t="str">
        <f t="shared" si="124"/>
        <v/>
      </c>
      <c r="AW248" s="43" t="str">
        <f t="shared" si="124"/>
        <v/>
      </c>
      <c r="AX248" s="43" t="str">
        <f t="shared" si="124"/>
        <v/>
      </c>
      <c r="AY248" s="43" t="str">
        <f t="shared" si="124"/>
        <v/>
      </c>
      <c r="AZ248" s="43" t="str">
        <f t="shared" si="124"/>
        <v/>
      </c>
      <c r="BA248" s="43" t="str">
        <f t="shared" si="124"/>
        <v/>
      </c>
      <c r="BB248" s="43"/>
      <c r="BC248" s="43"/>
      <c r="BD248" s="43"/>
      <c r="BE248" s="43"/>
      <c r="BF248" s="43"/>
      <c r="BG248" s="43"/>
      <c r="BW248" s="1250"/>
    </row>
    <row r="249" spans="1:75" x14ac:dyDescent="0.25">
      <c r="A249" s="1251"/>
      <c r="B249" s="462">
        <v>243</v>
      </c>
      <c r="C249" s="462"/>
      <c r="D249" s="1244"/>
      <c r="E249" s="1050"/>
      <c r="F249" s="1244"/>
      <c r="H249" s="43" t="str">
        <f t="shared" si="120"/>
        <v/>
      </c>
      <c r="I249" s="43" t="str">
        <f t="shared" si="120"/>
        <v/>
      </c>
      <c r="J249" s="43" t="str">
        <f t="shared" si="120"/>
        <v/>
      </c>
      <c r="K249" s="43" t="str">
        <f t="shared" si="120"/>
        <v/>
      </c>
      <c r="L249" s="43" t="str">
        <f t="shared" si="120"/>
        <v/>
      </c>
      <c r="M249" s="43" t="str">
        <f t="shared" si="120"/>
        <v/>
      </c>
      <c r="N249" s="43" t="str">
        <f t="shared" si="120"/>
        <v/>
      </c>
      <c r="O249" s="43" t="str">
        <f t="shared" si="120"/>
        <v/>
      </c>
      <c r="P249" s="43" t="str">
        <f t="shared" si="120"/>
        <v/>
      </c>
      <c r="Q249" s="43" t="str">
        <f t="shared" si="120"/>
        <v/>
      </c>
      <c r="R249" s="43" t="str">
        <f t="shared" si="121"/>
        <v/>
      </c>
      <c r="S249" s="43" t="str">
        <f t="shared" si="121"/>
        <v/>
      </c>
      <c r="T249" s="43" t="str">
        <f t="shared" si="121"/>
        <v/>
      </c>
      <c r="U249" s="43" t="str">
        <f t="shared" si="121"/>
        <v/>
      </c>
      <c r="V249" s="43" t="str">
        <f t="shared" si="121"/>
        <v/>
      </c>
      <c r="W249" s="43" t="str">
        <f t="shared" si="121"/>
        <v/>
      </c>
      <c r="X249" s="43" t="str">
        <f t="shared" si="121"/>
        <v/>
      </c>
      <c r="Y249" s="43" t="str">
        <f t="shared" si="121"/>
        <v/>
      </c>
      <c r="Z249" s="43" t="str">
        <f t="shared" si="121"/>
        <v/>
      </c>
      <c r="AA249" s="43" t="str">
        <f t="shared" si="121"/>
        <v/>
      </c>
      <c r="AB249" s="43" t="str">
        <f t="shared" si="122"/>
        <v/>
      </c>
      <c r="AC249" s="43" t="str">
        <f t="shared" si="122"/>
        <v/>
      </c>
      <c r="AD249" s="43" t="str">
        <f t="shared" si="122"/>
        <v/>
      </c>
      <c r="AE249" s="43" t="str">
        <f t="shared" si="122"/>
        <v/>
      </c>
      <c r="AF249" s="43" t="str">
        <f t="shared" si="122"/>
        <v/>
      </c>
      <c r="AG249" s="43" t="str">
        <f t="shared" si="122"/>
        <v/>
      </c>
      <c r="AH249" s="43" t="str">
        <f t="shared" si="122"/>
        <v/>
      </c>
      <c r="AI249" s="43" t="str">
        <f t="shared" si="122"/>
        <v/>
      </c>
      <c r="AJ249" s="43" t="str">
        <f t="shared" si="122"/>
        <v/>
      </c>
      <c r="AK249" s="43" t="str">
        <f t="shared" si="122"/>
        <v/>
      </c>
      <c r="AL249" s="43" t="str">
        <f t="shared" si="123"/>
        <v/>
      </c>
      <c r="AM249" s="43" t="str">
        <f t="shared" si="123"/>
        <v/>
      </c>
      <c r="AN249" s="43" t="str">
        <f t="shared" si="123"/>
        <v/>
      </c>
      <c r="AO249" s="43" t="str">
        <f t="shared" si="123"/>
        <v/>
      </c>
      <c r="AP249" s="43" t="str">
        <f t="shared" si="123"/>
        <v/>
      </c>
      <c r="AQ249" s="43" t="str">
        <f t="shared" si="123"/>
        <v/>
      </c>
      <c r="AR249" s="43" t="str">
        <f t="shared" si="123"/>
        <v/>
      </c>
      <c r="AS249" s="43" t="str">
        <f t="shared" si="123"/>
        <v/>
      </c>
      <c r="AT249" s="43" t="str">
        <f t="shared" si="123"/>
        <v/>
      </c>
      <c r="AU249" s="43" t="str">
        <f t="shared" si="123"/>
        <v/>
      </c>
      <c r="AV249" s="43" t="str">
        <f t="shared" si="124"/>
        <v/>
      </c>
      <c r="AW249" s="43" t="str">
        <f t="shared" si="124"/>
        <v/>
      </c>
      <c r="AX249" s="43" t="str">
        <f t="shared" si="124"/>
        <v/>
      </c>
      <c r="AY249" s="43" t="str">
        <f t="shared" si="124"/>
        <v/>
      </c>
      <c r="AZ249" s="43" t="str">
        <f t="shared" si="124"/>
        <v/>
      </c>
      <c r="BA249" s="43" t="str">
        <f t="shared" si="124"/>
        <v/>
      </c>
      <c r="BB249" s="43"/>
      <c r="BC249" s="43"/>
      <c r="BD249" s="43"/>
      <c r="BE249" s="43"/>
      <c r="BF249" s="43"/>
      <c r="BG249" s="43"/>
      <c r="BW249" s="1250"/>
    </row>
    <row r="250" spans="1:75" x14ac:dyDescent="0.25">
      <c r="A250" s="1251"/>
      <c r="B250" s="462">
        <v>244</v>
      </c>
      <c r="C250" s="462"/>
      <c r="D250" s="1244"/>
      <c r="E250" s="1050"/>
      <c r="F250" s="1244"/>
      <c r="H250" s="43" t="str">
        <f t="shared" si="120"/>
        <v/>
      </c>
      <c r="I250" s="43" t="str">
        <f t="shared" si="120"/>
        <v/>
      </c>
      <c r="J250" s="43" t="str">
        <f t="shared" si="120"/>
        <v/>
      </c>
      <c r="K250" s="43" t="str">
        <f t="shared" si="120"/>
        <v/>
      </c>
      <c r="L250" s="43" t="str">
        <f t="shared" si="120"/>
        <v/>
      </c>
      <c r="M250" s="43" t="str">
        <f t="shared" si="120"/>
        <v/>
      </c>
      <c r="N250" s="43" t="str">
        <f t="shared" si="120"/>
        <v/>
      </c>
      <c r="O250" s="43" t="str">
        <f t="shared" si="120"/>
        <v/>
      </c>
      <c r="P250" s="43" t="str">
        <f t="shared" si="120"/>
        <v/>
      </c>
      <c r="Q250" s="43" t="str">
        <f t="shared" si="120"/>
        <v/>
      </c>
      <c r="R250" s="43" t="str">
        <f t="shared" si="121"/>
        <v/>
      </c>
      <c r="S250" s="43" t="str">
        <f t="shared" si="121"/>
        <v/>
      </c>
      <c r="T250" s="43" t="str">
        <f t="shared" si="121"/>
        <v/>
      </c>
      <c r="U250" s="43" t="str">
        <f t="shared" si="121"/>
        <v/>
      </c>
      <c r="V250" s="43" t="str">
        <f t="shared" si="121"/>
        <v/>
      </c>
      <c r="W250" s="43" t="str">
        <f t="shared" si="121"/>
        <v/>
      </c>
      <c r="X250" s="43" t="str">
        <f t="shared" si="121"/>
        <v/>
      </c>
      <c r="Y250" s="43" t="str">
        <f t="shared" si="121"/>
        <v/>
      </c>
      <c r="Z250" s="43" t="str">
        <f t="shared" si="121"/>
        <v/>
      </c>
      <c r="AA250" s="43" t="str">
        <f t="shared" si="121"/>
        <v/>
      </c>
      <c r="AB250" s="43" t="str">
        <f t="shared" si="122"/>
        <v/>
      </c>
      <c r="AC250" s="43" t="str">
        <f t="shared" si="122"/>
        <v/>
      </c>
      <c r="AD250" s="43" t="str">
        <f t="shared" si="122"/>
        <v/>
      </c>
      <c r="AE250" s="43" t="str">
        <f t="shared" si="122"/>
        <v/>
      </c>
      <c r="AF250" s="43" t="str">
        <f t="shared" si="122"/>
        <v/>
      </c>
      <c r="AG250" s="43" t="str">
        <f t="shared" si="122"/>
        <v/>
      </c>
      <c r="AH250" s="43" t="str">
        <f t="shared" si="122"/>
        <v/>
      </c>
      <c r="AI250" s="43" t="str">
        <f t="shared" si="122"/>
        <v/>
      </c>
      <c r="AJ250" s="43" t="str">
        <f t="shared" si="122"/>
        <v/>
      </c>
      <c r="AK250" s="43" t="str">
        <f t="shared" si="122"/>
        <v/>
      </c>
      <c r="AL250" s="43" t="str">
        <f t="shared" si="123"/>
        <v/>
      </c>
      <c r="AM250" s="43" t="str">
        <f t="shared" si="123"/>
        <v/>
      </c>
      <c r="AN250" s="43" t="str">
        <f t="shared" si="123"/>
        <v/>
      </c>
      <c r="AO250" s="43" t="str">
        <f t="shared" si="123"/>
        <v/>
      </c>
      <c r="AP250" s="43" t="str">
        <f t="shared" si="123"/>
        <v/>
      </c>
      <c r="AQ250" s="43" t="str">
        <f t="shared" si="123"/>
        <v/>
      </c>
      <c r="AR250" s="43" t="str">
        <f t="shared" si="123"/>
        <v/>
      </c>
      <c r="AS250" s="43" t="str">
        <f t="shared" si="123"/>
        <v/>
      </c>
      <c r="AT250" s="43" t="str">
        <f t="shared" si="123"/>
        <v/>
      </c>
      <c r="AU250" s="43" t="str">
        <f t="shared" si="123"/>
        <v/>
      </c>
      <c r="AV250" s="43" t="str">
        <f t="shared" si="124"/>
        <v/>
      </c>
      <c r="AW250" s="43" t="str">
        <f t="shared" si="124"/>
        <v/>
      </c>
      <c r="AX250" s="43" t="str">
        <f t="shared" si="124"/>
        <v/>
      </c>
      <c r="AY250" s="43" t="str">
        <f t="shared" si="124"/>
        <v/>
      </c>
      <c r="AZ250" s="43" t="str">
        <f t="shared" si="124"/>
        <v/>
      </c>
      <c r="BA250" s="43" t="str">
        <f t="shared" si="124"/>
        <v/>
      </c>
      <c r="BB250" s="43"/>
      <c r="BC250" s="43"/>
      <c r="BD250" s="43"/>
      <c r="BE250" s="43"/>
      <c r="BF250" s="43"/>
      <c r="BG250" s="43"/>
      <c r="BW250" s="1250"/>
    </row>
    <row r="251" spans="1:75" x14ac:dyDescent="0.25">
      <c r="A251" s="1251"/>
      <c r="B251" s="462">
        <v>245</v>
      </c>
      <c r="C251" s="462"/>
      <c r="D251" s="1244"/>
      <c r="E251" s="1050"/>
      <c r="F251" s="1244"/>
      <c r="H251" s="43" t="str">
        <f t="shared" si="120"/>
        <v/>
      </c>
      <c r="I251" s="43" t="str">
        <f t="shared" si="120"/>
        <v/>
      </c>
      <c r="J251" s="43" t="str">
        <f t="shared" si="120"/>
        <v/>
      </c>
      <c r="K251" s="43" t="str">
        <f t="shared" si="120"/>
        <v/>
      </c>
      <c r="L251" s="43" t="str">
        <f t="shared" si="120"/>
        <v/>
      </c>
      <c r="M251" s="43" t="str">
        <f t="shared" si="120"/>
        <v/>
      </c>
      <c r="N251" s="43" t="str">
        <f t="shared" si="120"/>
        <v/>
      </c>
      <c r="O251" s="43" t="str">
        <f t="shared" si="120"/>
        <v/>
      </c>
      <c r="P251" s="43" t="str">
        <f t="shared" si="120"/>
        <v/>
      </c>
      <c r="Q251" s="43" t="str">
        <f t="shared" si="120"/>
        <v/>
      </c>
      <c r="R251" s="43" t="str">
        <f t="shared" si="121"/>
        <v/>
      </c>
      <c r="S251" s="43" t="str">
        <f t="shared" si="121"/>
        <v/>
      </c>
      <c r="T251" s="43" t="str">
        <f t="shared" si="121"/>
        <v/>
      </c>
      <c r="U251" s="43" t="str">
        <f t="shared" si="121"/>
        <v/>
      </c>
      <c r="V251" s="43" t="str">
        <f t="shared" si="121"/>
        <v/>
      </c>
      <c r="W251" s="43" t="str">
        <f t="shared" si="121"/>
        <v/>
      </c>
      <c r="X251" s="43" t="str">
        <f t="shared" si="121"/>
        <v/>
      </c>
      <c r="Y251" s="43" t="str">
        <f t="shared" si="121"/>
        <v/>
      </c>
      <c r="Z251" s="43" t="str">
        <f t="shared" si="121"/>
        <v/>
      </c>
      <c r="AA251" s="43" t="str">
        <f t="shared" si="121"/>
        <v/>
      </c>
      <c r="AB251" s="43" t="str">
        <f t="shared" si="122"/>
        <v/>
      </c>
      <c r="AC251" s="43" t="str">
        <f t="shared" si="122"/>
        <v/>
      </c>
      <c r="AD251" s="43" t="str">
        <f t="shared" si="122"/>
        <v/>
      </c>
      <c r="AE251" s="43" t="str">
        <f t="shared" si="122"/>
        <v/>
      </c>
      <c r="AF251" s="43" t="str">
        <f t="shared" si="122"/>
        <v/>
      </c>
      <c r="AG251" s="43" t="str">
        <f t="shared" si="122"/>
        <v/>
      </c>
      <c r="AH251" s="43" t="str">
        <f t="shared" si="122"/>
        <v/>
      </c>
      <c r="AI251" s="43" t="str">
        <f t="shared" si="122"/>
        <v/>
      </c>
      <c r="AJ251" s="43" t="str">
        <f t="shared" si="122"/>
        <v/>
      </c>
      <c r="AK251" s="43" t="str">
        <f t="shared" si="122"/>
        <v/>
      </c>
      <c r="AL251" s="43" t="str">
        <f t="shared" si="123"/>
        <v/>
      </c>
      <c r="AM251" s="43" t="str">
        <f t="shared" si="123"/>
        <v/>
      </c>
      <c r="AN251" s="43" t="str">
        <f t="shared" si="123"/>
        <v/>
      </c>
      <c r="AO251" s="43" t="str">
        <f t="shared" si="123"/>
        <v/>
      </c>
      <c r="AP251" s="43" t="str">
        <f t="shared" si="123"/>
        <v/>
      </c>
      <c r="AQ251" s="43" t="str">
        <f t="shared" si="123"/>
        <v/>
      </c>
      <c r="AR251" s="43" t="str">
        <f t="shared" si="123"/>
        <v/>
      </c>
      <c r="AS251" s="43" t="str">
        <f t="shared" si="123"/>
        <v/>
      </c>
      <c r="AT251" s="43" t="str">
        <f t="shared" si="123"/>
        <v/>
      </c>
      <c r="AU251" s="43" t="str">
        <f t="shared" si="123"/>
        <v/>
      </c>
      <c r="AV251" s="43" t="str">
        <f t="shared" si="124"/>
        <v/>
      </c>
      <c r="AW251" s="43" t="str">
        <f t="shared" si="124"/>
        <v/>
      </c>
      <c r="AX251" s="43" t="str">
        <f t="shared" si="124"/>
        <v/>
      </c>
      <c r="AY251" s="43" t="str">
        <f t="shared" si="124"/>
        <v/>
      </c>
      <c r="AZ251" s="43" t="str">
        <f t="shared" si="124"/>
        <v/>
      </c>
      <c r="BA251" s="43" t="str">
        <f t="shared" si="124"/>
        <v/>
      </c>
      <c r="BB251" s="43"/>
      <c r="BC251" s="43"/>
      <c r="BD251" s="43"/>
      <c r="BE251" s="43"/>
      <c r="BF251" s="43"/>
      <c r="BG251" s="43"/>
      <c r="BW251" s="1250"/>
    </row>
    <row r="252" spans="1:75" x14ac:dyDescent="0.25">
      <c r="A252" s="1251"/>
      <c r="B252" s="462">
        <v>246</v>
      </c>
      <c r="C252" s="462"/>
      <c r="D252" s="1244"/>
      <c r="E252" s="1050"/>
      <c r="F252" s="1244"/>
      <c r="H252" s="43" t="str">
        <f t="shared" si="120"/>
        <v/>
      </c>
      <c r="I252" s="43" t="str">
        <f t="shared" si="120"/>
        <v/>
      </c>
      <c r="J252" s="43" t="str">
        <f t="shared" si="120"/>
        <v/>
      </c>
      <c r="K252" s="43" t="str">
        <f t="shared" si="120"/>
        <v/>
      </c>
      <c r="L252" s="43" t="str">
        <f t="shared" si="120"/>
        <v/>
      </c>
      <c r="M252" s="43" t="str">
        <f t="shared" si="120"/>
        <v/>
      </c>
      <c r="N252" s="43" t="str">
        <f t="shared" si="120"/>
        <v/>
      </c>
      <c r="O252" s="43" t="str">
        <f t="shared" si="120"/>
        <v/>
      </c>
      <c r="P252" s="43" t="str">
        <f t="shared" si="120"/>
        <v/>
      </c>
      <c r="Q252" s="43" t="str">
        <f t="shared" si="120"/>
        <v/>
      </c>
      <c r="R252" s="43" t="str">
        <f t="shared" si="121"/>
        <v/>
      </c>
      <c r="S252" s="43" t="str">
        <f t="shared" si="121"/>
        <v/>
      </c>
      <c r="T252" s="43" t="str">
        <f t="shared" si="121"/>
        <v/>
      </c>
      <c r="U252" s="43" t="str">
        <f t="shared" si="121"/>
        <v/>
      </c>
      <c r="V252" s="43" t="str">
        <f t="shared" si="121"/>
        <v/>
      </c>
      <c r="W252" s="43" t="str">
        <f t="shared" si="121"/>
        <v/>
      </c>
      <c r="X252" s="43" t="str">
        <f t="shared" si="121"/>
        <v/>
      </c>
      <c r="Y252" s="43" t="str">
        <f t="shared" si="121"/>
        <v/>
      </c>
      <c r="Z252" s="43" t="str">
        <f t="shared" si="121"/>
        <v/>
      </c>
      <c r="AA252" s="43" t="str">
        <f t="shared" si="121"/>
        <v/>
      </c>
      <c r="AB252" s="43" t="str">
        <f t="shared" si="122"/>
        <v/>
      </c>
      <c r="AC252" s="43" t="str">
        <f t="shared" si="122"/>
        <v/>
      </c>
      <c r="AD252" s="43" t="str">
        <f t="shared" si="122"/>
        <v/>
      </c>
      <c r="AE252" s="43" t="str">
        <f t="shared" si="122"/>
        <v/>
      </c>
      <c r="AF252" s="43" t="str">
        <f t="shared" si="122"/>
        <v/>
      </c>
      <c r="AG252" s="43" t="str">
        <f t="shared" si="122"/>
        <v/>
      </c>
      <c r="AH252" s="43" t="str">
        <f t="shared" si="122"/>
        <v/>
      </c>
      <c r="AI252" s="43" t="str">
        <f t="shared" si="122"/>
        <v/>
      </c>
      <c r="AJ252" s="43" t="str">
        <f t="shared" si="122"/>
        <v/>
      </c>
      <c r="AK252" s="43" t="str">
        <f t="shared" si="122"/>
        <v/>
      </c>
      <c r="AL252" s="43" t="str">
        <f t="shared" si="123"/>
        <v/>
      </c>
      <c r="AM252" s="43" t="str">
        <f t="shared" si="123"/>
        <v/>
      </c>
      <c r="AN252" s="43" t="str">
        <f t="shared" si="123"/>
        <v/>
      </c>
      <c r="AO252" s="43" t="str">
        <f t="shared" si="123"/>
        <v/>
      </c>
      <c r="AP252" s="43" t="str">
        <f t="shared" si="123"/>
        <v/>
      </c>
      <c r="AQ252" s="43" t="str">
        <f t="shared" si="123"/>
        <v/>
      </c>
      <c r="AR252" s="43" t="str">
        <f t="shared" si="123"/>
        <v/>
      </c>
      <c r="AS252" s="43" t="str">
        <f t="shared" si="123"/>
        <v/>
      </c>
      <c r="AT252" s="43" t="str">
        <f t="shared" si="123"/>
        <v/>
      </c>
      <c r="AU252" s="43" t="str">
        <f t="shared" si="123"/>
        <v/>
      </c>
      <c r="AV252" s="43" t="str">
        <f t="shared" si="124"/>
        <v/>
      </c>
      <c r="AW252" s="43" t="str">
        <f t="shared" si="124"/>
        <v/>
      </c>
      <c r="AX252" s="43" t="str">
        <f t="shared" si="124"/>
        <v/>
      </c>
      <c r="AY252" s="43" t="str">
        <f t="shared" si="124"/>
        <v/>
      </c>
      <c r="AZ252" s="43" t="str">
        <f t="shared" si="124"/>
        <v/>
      </c>
      <c r="BA252" s="43" t="str">
        <f t="shared" si="124"/>
        <v/>
      </c>
      <c r="BB252" s="43"/>
      <c r="BC252" s="43"/>
      <c r="BD252" s="43"/>
      <c r="BE252" s="43"/>
      <c r="BF252" s="43"/>
      <c r="BG252" s="43"/>
      <c r="BW252" s="1250"/>
    </row>
    <row r="253" spans="1:75" x14ac:dyDescent="0.25">
      <c r="A253" s="1251"/>
      <c r="B253" s="462">
        <v>247</v>
      </c>
      <c r="C253" s="462"/>
      <c r="D253" s="1244"/>
      <c r="E253" s="1050"/>
      <c r="F253" s="1244"/>
      <c r="H253" s="43" t="str">
        <f t="shared" si="120"/>
        <v/>
      </c>
      <c r="I253" s="43" t="str">
        <f t="shared" si="120"/>
        <v/>
      </c>
      <c r="J253" s="43" t="str">
        <f t="shared" si="120"/>
        <v/>
      </c>
      <c r="K253" s="43" t="str">
        <f t="shared" si="120"/>
        <v/>
      </c>
      <c r="L253" s="43" t="str">
        <f t="shared" si="120"/>
        <v/>
      </c>
      <c r="M253" s="43" t="str">
        <f t="shared" si="120"/>
        <v/>
      </c>
      <c r="N253" s="43" t="str">
        <f t="shared" si="120"/>
        <v/>
      </c>
      <c r="O253" s="43" t="str">
        <f t="shared" si="120"/>
        <v/>
      </c>
      <c r="P253" s="43" t="str">
        <f t="shared" si="120"/>
        <v/>
      </c>
      <c r="Q253" s="43" t="str">
        <f t="shared" si="120"/>
        <v/>
      </c>
      <c r="R253" s="43" t="str">
        <f t="shared" si="121"/>
        <v/>
      </c>
      <c r="S253" s="43" t="str">
        <f t="shared" si="121"/>
        <v/>
      </c>
      <c r="T253" s="43" t="str">
        <f t="shared" si="121"/>
        <v/>
      </c>
      <c r="U253" s="43" t="str">
        <f t="shared" si="121"/>
        <v/>
      </c>
      <c r="V253" s="43" t="str">
        <f t="shared" si="121"/>
        <v/>
      </c>
      <c r="W253" s="43" t="str">
        <f t="shared" si="121"/>
        <v/>
      </c>
      <c r="X253" s="43" t="str">
        <f t="shared" si="121"/>
        <v/>
      </c>
      <c r="Y253" s="43" t="str">
        <f t="shared" si="121"/>
        <v/>
      </c>
      <c r="Z253" s="43" t="str">
        <f t="shared" si="121"/>
        <v/>
      </c>
      <c r="AA253" s="43" t="str">
        <f t="shared" si="121"/>
        <v/>
      </c>
      <c r="AB253" s="43" t="str">
        <f t="shared" si="122"/>
        <v/>
      </c>
      <c r="AC253" s="43" t="str">
        <f t="shared" si="122"/>
        <v/>
      </c>
      <c r="AD253" s="43" t="str">
        <f t="shared" si="122"/>
        <v/>
      </c>
      <c r="AE253" s="43" t="str">
        <f t="shared" si="122"/>
        <v/>
      </c>
      <c r="AF253" s="43" t="str">
        <f t="shared" si="122"/>
        <v/>
      </c>
      <c r="AG253" s="43" t="str">
        <f t="shared" si="122"/>
        <v/>
      </c>
      <c r="AH253" s="43" t="str">
        <f t="shared" si="122"/>
        <v/>
      </c>
      <c r="AI253" s="43" t="str">
        <f t="shared" si="122"/>
        <v/>
      </c>
      <c r="AJ253" s="43" t="str">
        <f t="shared" si="122"/>
        <v/>
      </c>
      <c r="AK253" s="43" t="str">
        <f t="shared" si="122"/>
        <v/>
      </c>
      <c r="AL253" s="43" t="str">
        <f t="shared" si="123"/>
        <v/>
      </c>
      <c r="AM253" s="43" t="str">
        <f t="shared" si="123"/>
        <v/>
      </c>
      <c r="AN253" s="43" t="str">
        <f t="shared" si="123"/>
        <v/>
      </c>
      <c r="AO253" s="43" t="str">
        <f t="shared" si="123"/>
        <v/>
      </c>
      <c r="AP253" s="43" t="str">
        <f t="shared" si="123"/>
        <v/>
      </c>
      <c r="AQ253" s="43" t="str">
        <f t="shared" si="123"/>
        <v/>
      </c>
      <c r="AR253" s="43" t="str">
        <f t="shared" si="123"/>
        <v/>
      </c>
      <c r="AS253" s="43" t="str">
        <f t="shared" si="123"/>
        <v/>
      </c>
      <c r="AT253" s="43" t="str">
        <f t="shared" si="123"/>
        <v/>
      </c>
      <c r="AU253" s="43" t="str">
        <f t="shared" si="123"/>
        <v/>
      </c>
      <c r="AV253" s="43" t="str">
        <f t="shared" si="124"/>
        <v/>
      </c>
      <c r="AW253" s="43" t="str">
        <f t="shared" si="124"/>
        <v/>
      </c>
      <c r="AX253" s="43" t="str">
        <f t="shared" si="124"/>
        <v/>
      </c>
      <c r="AY253" s="43" t="str">
        <f t="shared" si="124"/>
        <v/>
      </c>
      <c r="AZ253" s="43" t="str">
        <f t="shared" si="124"/>
        <v/>
      </c>
      <c r="BA253" s="43" t="str">
        <f t="shared" si="124"/>
        <v/>
      </c>
      <c r="BB253" s="43"/>
      <c r="BC253" s="43"/>
      <c r="BD253" s="43"/>
      <c r="BE253" s="43"/>
      <c r="BF253" s="43"/>
      <c r="BG253" s="43"/>
      <c r="BW253" s="1250"/>
    </row>
    <row r="254" spans="1:75" x14ac:dyDescent="0.25">
      <c r="A254" s="1251"/>
      <c r="B254" s="462">
        <v>248</v>
      </c>
      <c r="C254" s="462"/>
      <c r="D254" s="1244"/>
      <c r="E254" s="1050"/>
      <c r="F254" s="1244"/>
      <c r="H254" s="43" t="str">
        <f t="shared" si="120"/>
        <v/>
      </c>
      <c r="I254" s="43" t="str">
        <f t="shared" si="120"/>
        <v/>
      </c>
      <c r="J254" s="43" t="str">
        <f t="shared" si="120"/>
        <v/>
      </c>
      <c r="K254" s="43" t="str">
        <f t="shared" si="120"/>
        <v/>
      </c>
      <c r="L254" s="43" t="str">
        <f t="shared" si="120"/>
        <v/>
      </c>
      <c r="M254" s="43" t="str">
        <f t="shared" si="120"/>
        <v/>
      </c>
      <c r="N254" s="43" t="str">
        <f t="shared" si="120"/>
        <v/>
      </c>
      <c r="O254" s="43" t="str">
        <f t="shared" si="120"/>
        <v/>
      </c>
      <c r="P254" s="43" t="str">
        <f t="shared" si="120"/>
        <v/>
      </c>
      <c r="Q254" s="43" t="str">
        <f t="shared" si="120"/>
        <v/>
      </c>
      <c r="R254" s="43" t="str">
        <f t="shared" si="121"/>
        <v/>
      </c>
      <c r="S254" s="43" t="str">
        <f t="shared" si="121"/>
        <v/>
      </c>
      <c r="T254" s="43" t="str">
        <f t="shared" si="121"/>
        <v/>
      </c>
      <c r="U254" s="43" t="str">
        <f t="shared" si="121"/>
        <v/>
      </c>
      <c r="V254" s="43" t="str">
        <f t="shared" si="121"/>
        <v/>
      </c>
      <c r="W254" s="43" t="str">
        <f t="shared" si="121"/>
        <v/>
      </c>
      <c r="X254" s="43" t="str">
        <f t="shared" si="121"/>
        <v/>
      </c>
      <c r="Y254" s="43" t="str">
        <f t="shared" si="121"/>
        <v/>
      </c>
      <c r="Z254" s="43" t="str">
        <f t="shared" si="121"/>
        <v/>
      </c>
      <c r="AA254" s="43" t="str">
        <f t="shared" si="121"/>
        <v/>
      </c>
      <c r="AB254" s="43" t="str">
        <f t="shared" si="122"/>
        <v/>
      </c>
      <c r="AC254" s="43" t="str">
        <f t="shared" si="122"/>
        <v/>
      </c>
      <c r="AD254" s="43" t="str">
        <f t="shared" si="122"/>
        <v/>
      </c>
      <c r="AE254" s="43" t="str">
        <f t="shared" si="122"/>
        <v/>
      </c>
      <c r="AF254" s="43" t="str">
        <f t="shared" si="122"/>
        <v/>
      </c>
      <c r="AG254" s="43" t="str">
        <f t="shared" si="122"/>
        <v/>
      </c>
      <c r="AH254" s="43" t="str">
        <f t="shared" si="122"/>
        <v/>
      </c>
      <c r="AI254" s="43" t="str">
        <f t="shared" si="122"/>
        <v/>
      </c>
      <c r="AJ254" s="43" t="str">
        <f t="shared" si="122"/>
        <v/>
      </c>
      <c r="AK254" s="43" t="str">
        <f t="shared" si="122"/>
        <v/>
      </c>
      <c r="AL254" s="43" t="str">
        <f t="shared" si="123"/>
        <v/>
      </c>
      <c r="AM254" s="43" t="str">
        <f t="shared" si="123"/>
        <v/>
      </c>
      <c r="AN254" s="43" t="str">
        <f t="shared" si="123"/>
        <v/>
      </c>
      <c r="AO254" s="43" t="str">
        <f t="shared" si="123"/>
        <v/>
      </c>
      <c r="AP254" s="43" t="str">
        <f t="shared" si="123"/>
        <v/>
      </c>
      <c r="AQ254" s="43" t="str">
        <f t="shared" si="123"/>
        <v/>
      </c>
      <c r="AR254" s="43" t="str">
        <f t="shared" si="123"/>
        <v/>
      </c>
      <c r="AS254" s="43" t="str">
        <f t="shared" si="123"/>
        <v/>
      </c>
      <c r="AT254" s="43" t="str">
        <f t="shared" si="123"/>
        <v/>
      </c>
      <c r="AU254" s="43" t="str">
        <f t="shared" si="123"/>
        <v/>
      </c>
      <c r="AV254" s="43" t="str">
        <f t="shared" si="124"/>
        <v/>
      </c>
      <c r="AW254" s="43" t="str">
        <f t="shared" si="124"/>
        <v/>
      </c>
      <c r="AX254" s="43" t="str">
        <f t="shared" si="124"/>
        <v/>
      </c>
      <c r="AY254" s="43" t="str">
        <f t="shared" si="124"/>
        <v/>
      </c>
      <c r="AZ254" s="43" t="str">
        <f t="shared" si="124"/>
        <v/>
      </c>
      <c r="BA254" s="43" t="str">
        <f t="shared" si="124"/>
        <v/>
      </c>
      <c r="BB254" s="43"/>
      <c r="BC254" s="43"/>
      <c r="BD254" s="43"/>
      <c r="BE254" s="43"/>
      <c r="BF254" s="43"/>
      <c r="BG254" s="43"/>
      <c r="BW254" s="1250"/>
    </row>
    <row r="255" spans="1:75" x14ac:dyDescent="0.25">
      <c r="A255" s="1251"/>
      <c r="B255" s="462">
        <v>249</v>
      </c>
      <c r="C255" s="462"/>
      <c r="D255" s="1244"/>
      <c r="E255" s="1050"/>
      <c r="F255" s="1244"/>
      <c r="H255" s="43" t="str">
        <f t="shared" si="120"/>
        <v/>
      </c>
      <c r="I255" s="43" t="str">
        <f t="shared" si="120"/>
        <v/>
      </c>
      <c r="J255" s="43" t="str">
        <f t="shared" si="120"/>
        <v/>
      </c>
      <c r="K255" s="43" t="str">
        <f t="shared" si="120"/>
        <v/>
      </c>
      <c r="L255" s="43" t="str">
        <f t="shared" si="120"/>
        <v/>
      </c>
      <c r="M255" s="43" t="str">
        <f t="shared" si="120"/>
        <v/>
      </c>
      <c r="N255" s="43" t="str">
        <f t="shared" si="120"/>
        <v/>
      </c>
      <c r="O255" s="43" t="str">
        <f t="shared" si="120"/>
        <v/>
      </c>
      <c r="P255" s="43" t="str">
        <f t="shared" si="120"/>
        <v/>
      </c>
      <c r="Q255" s="43" t="str">
        <f t="shared" si="120"/>
        <v/>
      </c>
      <c r="R255" s="43" t="str">
        <f t="shared" si="121"/>
        <v/>
      </c>
      <c r="S255" s="43" t="str">
        <f t="shared" si="121"/>
        <v/>
      </c>
      <c r="T255" s="43" t="str">
        <f t="shared" si="121"/>
        <v/>
      </c>
      <c r="U255" s="43" t="str">
        <f t="shared" si="121"/>
        <v/>
      </c>
      <c r="V255" s="43" t="str">
        <f t="shared" si="121"/>
        <v/>
      </c>
      <c r="W255" s="43" t="str">
        <f t="shared" si="121"/>
        <v/>
      </c>
      <c r="X255" s="43" t="str">
        <f t="shared" si="121"/>
        <v/>
      </c>
      <c r="Y255" s="43" t="str">
        <f t="shared" si="121"/>
        <v/>
      </c>
      <c r="Z255" s="43" t="str">
        <f t="shared" si="121"/>
        <v/>
      </c>
      <c r="AA255" s="43" t="str">
        <f t="shared" si="121"/>
        <v/>
      </c>
      <c r="AB255" s="43" t="str">
        <f t="shared" si="122"/>
        <v/>
      </c>
      <c r="AC255" s="43" t="str">
        <f t="shared" si="122"/>
        <v/>
      </c>
      <c r="AD255" s="43" t="str">
        <f t="shared" si="122"/>
        <v/>
      </c>
      <c r="AE255" s="43" t="str">
        <f t="shared" si="122"/>
        <v/>
      </c>
      <c r="AF255" s="43" t="str">
        <f t="shared" si="122"/>
        <v/>
      </c>
      <c r="AG255" s="43" t="str">
        <f t="shared" si="122"/>
        <v/>
      </c>
      <c r="AH255" s="43" t="str">
        <f t="shared" si="122"/>
        <v/>
      </c>
      <c r="AI255" s="43" t="str">
        <f t="shared" si="122"/>
        <v/>
      </c>
      <c r="AJ255" s="43" t="str">
        <f t="shared" si="122"/>
        <v/>
      </c>
      <c r="AK255" s="43" t="str">
        <f t="shared" si="122"/>
        <v/>
      </c>
      <c r="AL255" s="43" t="str">
        <f t="shared" si="123"/>
        <v/>
      </c>
      <c r="AM255" s="43" t="str">
        <f t="shared" si="123"/>
        <v/>
      </c>
      <c r="AN255" s="43" t="str">
        <f t="shared" si="123"/>
        <v/>
      </c>
      <c r="AO255" s="43" t="str">
        <f t="shared" si="123"/>
        <v/>
      </c>
      <c r="AP255" s="43" t="str">
        <f t="shared" si="123"/>
        <v/>
      </c>
      <c r="AQ255" s="43" t="str">
        <f t="shared" si="123"/>
        <v/>
      </c>
      <c r="AR255" s="43" t="str">
        <f t="shared" si="123"/>
        <v/>
      </c>
      <c r="AS255" s="43" t="str">
        <f t="shared" si="123"/>
        <v/>
      </c>
      <c r="AT255" s="43" t="str">
        <f t="shared" si="123"/>
        <v/>
      </c>
      <c r="AU255" s="43" t="str">
        <f t="shared" si="123"/>
        <v/>
      </c>
      <c r="AV255" s="43" t="str">
        <f t="shared" si="124"/>
        <v/>
      </c>
      <c r="AW255" s="43" t="str">
        <f t="shared" si="124"/>
        <v/>
      </c>
      <c r="AX255" s="43" t="str">
        <f t="shared" si="124"/>
        <v/>
      </c>
      <c r="AY255" s="43" t="str">
        <f t="shared" si="124"/>
        <v/>
      </c>
      <c r="AZ255" s="43" t="str">
        <f t="shared" si="124"/>
        <v/>
      </c>
      <c r="BA255" s="43" t="str">
        <f t="shared" si="124"/>
        <v/>
      </c>
      <c r="BB255" s="43"/>
      <c r="BC255" s="43"/>
      <c r="BD255" s="43"/>
      <c r="BE255" s="43"/>
      <c r="BF255" s="43"/>
      <c r="BG255" s="43"/>
      <c r="BW255" s="1250"/>
    </row>
    <row r="256" spans="1:75" x14ac:dyDescent="0.25">
      <c r="A256" s="1251"/>
      <c r="B256" s="462">
        <v>250</v>
      </c>
      <c r="C256" s="462"/>
      <c r="D256" s="1244"/>
      <c r="E256" s="1050"/>
      <c r="F256" s="1244"/>
      <c r="H256" s="43" t="str">
        <f t="shared" si="120"/>
        <v/>
      </c>
      <c r="I256" s="43" t="str">
        <f t="shared" si="120"/>
        <v/>
      </c>
      <c r="J256" s="43" t="str">
        <f t="shared" si="120"/>
        <v/>
      </c>
      <c r="K256" s="43" t="str">
        <f t="shared" si="120"/>
        <v/>
      </c>
      <c r="L256" s="43" t="str">
        <f t="shared" si="120"/>
        <v/>
      </c>
      <c r="M256" s="43" t="str">
        <f t="shared" si="120"/>
        <v/>
      </c>
      <c r="N256" s="43" t="str">
        <f t="shared" si="120"/>
        <v/>
      </c>
      <c r="O256" s="43" t="str">
        <f t="shared" si="120"/>
        <v/>
      </c>
      <c r="P256" s="43" t="str">
        <f t="shared" si="120"/>
        <v/>
      </c>
      <c r="Q256" s="43" t="str">
        <f t="shared" si="120"/>
        <v/>
      </c>
      <c r="R256" s="43" t="str">
        <f t="shared" si="121"/>
        <v/>
      </c>
      <c r="S256" s="43" t="str">
        <f t="shared" si="121"/>
        <v/>
      </c>
      <c r="T256" s="43" t="str">
        <f t="shared" si="121"/>
        <v/>
      </c>
      <c r="U256" s="43" t="str">
        <f t="shared" si="121"/>
        <v/>
      </c>
      <c r="V256" s="43" t="str">
        <f t="shared" si="121"/>
        <v/>
      </c>
      <c r="W256" s="43" t="str">
        <f t="shared" si="121"/>
        <v/>
      </c>
      <c r="X256" s="43" t="str">
        <f t="shared" si="121"/>
        <v/>
      </c>
      <c r="Y256" s="43" t="str">
        <f t="shared" si="121"/>
        <v/>
      </c>
      <c r="Z256" s="43" t="str">
        <f t="shared" si="121"/>
        <v/>
      </c>
      <c r="AA256" s="43" t="str">
        <f t="shared" si="121"/>
        <v/>
      </c>
      <c r="AB256" s="43" t="str">
        <f t="shared" si="122"/>
        <v/>
      </c>
      <c r="AC256" s="43" t="str">
        <f t="shared" si="122"/>
        <v/>
      </c>
      <c r="AD256" s="43" t="str">
        <f t="shared" si="122"/>
        <v/>
      </c>
      <c r="AE256" s="43" t="str">
        <f t="shared" si="122"/>
        <v/>
      </c>
      <c r="AF256" s="43" t="str">
        <f t="shared" si="122"/>
        <v/>
      </c>
      <c r="AG256" s="43" t="str">
        <f t="shared" si="122"/>
        <v/>
      </c>
      <c r="AH256" s="43" t="str">
        <f t="shared" si="122"/>
        <v/>
      </c>
      <c r="AI256" s="43" t="str">
        <f t="shared" si="122"/>
        <v/>
      </c>
      <c r="AJ256" s="43" t="str">
        <f t="shared" si="122"/>
        <v/>
      </c>
      <c r="AK256" s="43" t="str">
        <f t="shared" si="122"/>
        <v/>
      </c>
      <c r="AL256" s="43" t="str">
        <f t="shared" si="123"/>
        <v/>
      </c>
      <c r="AM256" s="43" t="str">
        <f t="shared" si="123"/>
        <v/>
      </c>
      <c r="AN256" s="43" t="str">
        <f t="shared" si="123"/>
        <v/>
      </c>
      <c r="AO256" s="43" t="str">
        <f t="shared" si="123"/>
        <v/>
      </c>
      <c r="AP256" s="43" t="str">
        <f t="shared" si="123"/>
        <v/>
      </c>
      <c r="AQ256" s="43" t="str">
        <f t="shared" si="123"/>
        <v/>
      </c>
      <c r="AR256" s="43" t="str">
        <f t="shared" si="123"/>
        <v/>
      </c>
      <c r="AS256" s="43" t="str">
        <f t="shared" si="123"/>
        <v/>
      </c>
      <c r="AT256" s="43" t="str">
        <f t="shared" si="123"/>
        <v/>
      </c>
      <c r="AU256" s="43" t="str">
        <f t="shared" si="123"/>
        <v/>
      </c>
      <c r="AV256" s="43" t="str">
        <f t="shared" si="124"/>
        <v/>
      </c>
      <c r="AW256" s="43" t="str">
        <f t="shared" si="124"/>
        <v/>
      </c>
      <c r="AX256" s="43" t="str">
        <f t="shared" si="124"/>
        <v/>
      </c>
      <c r="AY256" s="43" t="str">
        <f t="shared" si="124"/>
        <v/>
      </c>
      <c r="AZ256" s="43" t="str">
        <f t="shared" si="124"/>
        <v/>
      </c>
      <c r="BA256" s="43" t="str">
        <f t="shared" si="124"/>
        <v/>
      </c>
      <c r="BB256" s="43"/>
      <c r="BC256" s="43"/>
      <c r="BD256" s="43"/>
      <c r="BE256" s="43"/>
      <c r="BF256" s="43"/>
      <c r="BG256" s="43"/>
      <c r="BW256" s="1250"/>
    </row>
    <row r="257" spans="1:75" x14ac:dyDescent="0.25">
      <c r="A257" s="1251"/>
      <c r="B257" s="462">
        <v>251</v>
      </c>
      <c r="C257" s="462"/>
      <c r="D257" s="1244"/>
      <c r="E257" s="1050"/>
      <c r="F257" s="1244"/>
      <c r="H257" s="43" t="str">
        <f t="shared" ref="H257:Q266" si="125">IF($D257=H$6,$B257&amp;", ","")</f>
        <v/>
      </c>
      <c r="I257" s="43" t="str">
        <f t="shared" si="125"/>
        <v/>
      </c>
      <c r="J257" s="43" t="str">
        <f t="shared" si="125"/>
        <v/>
      </c>
      <c r="K257" s="43" t="str">
        <f t="shared" si="125"/>
        <v/>
      </c>
      <c r="L257" s="43" t="str">
        <f t="shared" si="125"/>
        <v/>
      </c>
      <c r="M257" s="43" t="str">
        <f t="shared" si="125"/>
        <v/>
      </c>
      <c r="N257" s="43" t="str">
        <f t="shared" si="125"/>
        <v/>
      </c>
      <c r="O257" s="43" t="str">
        <f t="shared" si="125"/>
        <v/>
      </c>
      <c r="P257" s="43" t="str">
        <f t="shared" si="125"/>
        <v/>
      </c>
      <c r="Q257" s="43" t="str">
        <f t="shared" si="125"/>
        <v/>
      </c>
      <c r="R257" s="43" t="str">
        <f t="shared" ref="R257:AA266" si="126">IF($D257=R$6,$B257&amp;", ","")</f>
        <v/>
      </c>
      <c r="S257" s="43" t="str">
        <f t="shared" si="126"/>
        <v/>
      </c>
      <c r="T257" s="43" t="str">
        <f t="shared" si="126"/>
        <v/>
      </c>
      <c r="U257" s="43" t="str">
        <f t="shared" si="126"/>
        <v/>
      </c>
      <c r="V257" s="43" t="str">
        <f t="shared" si="126"/>
        <v/>
      </c>
      <c r="W257" s="43" t="str">
        <f t="shared" si="126"/>
        <v/>
      </c>
      <c r="X257" s="43" t="str">
        <f t="shared" si="126"/>
        <v/>
      </c>
      <c r="Y257" s="43" t="str">
        <f t="shared" si="126"/>
        <v/>
      </c>
      <c r="Z257" s="43" t="str">
        <f t="shared" si="126"/>
        <v/>
      </c>
      <c r="AA257" s="43" t="str">
        <f t="shared" si="126"/>
        <v/>
      </c>
      <c r="AB257" s="43" t="str">
        <f t="shared" ref="AB257:AK266" si="127">IF($D257=AB$6,$B257&amp;", ","")</f>
        <v/>
      </c>
      <c r="AC257" s="43" t="str">
        <f t="shared" si="127"/>
        <v/>
      </c>
      <c r="AD257" s="43" t="str">
        <f t="shared" si="127"/>
        <v/>
      </c>
      <c r="AE257" s="43" t="str">
        <f t="shared" si="127"/>
        <v/>
      </c>
      <c r="AF257" s="43" t="str">
        <f t="shared" si="127"/>
        <v/>
      </c>
      <c r="AG257" s="43" t="str">
        <f t="shared" si="127"/>
        <v/>
      </c>
      <c r="AH257" s="43" t="str">
        <f t="shared" si="127"/>
        <v/>
      </c>
      <c r="AI257" s="43" t="str">
        <f t="shared" si="127"/>
        <v/>
      </c>
      <c r="AJ257" s="43" t="str">
        <f t="shared" si="127"/>
        <v/>
      </c>
      <c r="AK257" s="43" t="str">
        <f t="shared" si="127"/>
        <v/>
      </c>
      <c r="AL257" s="43" t="str">
        <f t="shared" ref="AL257:AU266" si="128">IF($D257=AL$6,$B257&amp;", ","")</f>
        <v/>
      </c>
      <c r="AM257" s="43" t="str">
        <f t="shared" si="128"/>
        <v/>
      </c>
      <c r="AN257" s="43" t="str">
        <f t="shared" si="128"/>
        <v/>
      </c>
      <c r="AO257" s="43" t="str">
        <f t="shared" si="128"/>
        <v/>
      </c>
      <c r="AP257" s="43" t="str">
        <f t="shared" si="128"/>
        <v/>
      </c>
      <c r="AQ257" s="43" t="str">
        <f t="shared" si="128"/>
        <v/>
      </c>
      <c r="AR257" s="43" t="str">
        <f t="shared" si="128"/>
        <v/>
      </c>
      <c r="AS257" s="43" t="str">
        <f t="shared" si="128"/>
        <v/>
      </c>
      <c r="AT257" s="43" t="str">
        <f t="shared" si="128"/>
        <v/>
      </c>
      <c r="AU257" s="43" t="str">
        <f t="shared" si="128"/>
        <v/>
      </c>
      <c r="AV257" s="43" t="str">
        <f t="shared" ref="AV257:BA266" si="129">IF($D257=AV$6,$B257&amp;", ","")</f>
        <v/>
      </c>
      <c r="AW257" s="43" t="str">
        <f t="shared" si="129"/>
        <v/>
      </c>
      <c r="AX257" s="43" t="str">
        <f t="shared" si="129"/>
        <v/>
      </c>
      <c r="AY257" s="43" t="str">
        <f t="shared" si="129"/>
        <v/>
      </c>
      <c r="AZ257" s="43" t="str">
        <f t="shared" si="129"/>
        <v/>
      </c>
      <c r="BA257" s="43" t="str">
        <f t="shared" si="129"/>
        <v/>
      </c>
      <c r="BB257" s="43"/>
      <c r="BC257" s="43"/>
      <c r="BD257" s="43"/>
      <c r="BE257" s="43"/>
      <c r="BF257" s="43"/>
      <c r="BG257" s="43"/>
      <c r="BW257" s="1250"/>
    </row>
    <row r="258" spans="1:75" x14ac:dyDescent="0.25">
      <c r="A258" s="1251"/>
      <c r="B258" s="462">
        <v>252</v>
      </c>
      <c r="C258" s="462"/>
      <c r="D258" s="1244"/>
      <c r="E258" s="1050"/>
      <c r="F258" s="1244"/>
      <c r="H258" s="43" t="str">
        <f t="shared" si="125"/>
        <v/>
      </c>
      <c r="I258" s="43" t="str">
        <f t="shared" si="125"/>
        <v/>
      </c>
      <c r="J258" s="43" t="str">
        <f t="shared" si="125"/>
        <v/>
      </c>
      <c r="K258" s="43" t="str">
        <f t="shared" si="125"/>
        <v/>
      </c>
      <c r="L258" s="43" t="str">
        <f t="shared" si="125"/>
        <v/>
      </c>
      <c r="M258" s="43" t="str">
        <f t="shared" si="125"/>
        <v/>
      </c>
      <c r="N258" s="43" t="str">
        <f t="shared" si="125"/>
        <v/>
      </c>
      <c r="O258" s="43" t="str">
        <f t="shared" si="125"/>
        <v/>
      </c>
      <c r="P258" s="43" t="str">
        <f t="shared" si="125"/>
        <v/>
      </c>
      <c r="Q258" s="43" t="str">
        <f t="shared" si="125"/>
        <v/>
      </c>
      <c r="R258" s="43" t="str">
        <f t="shared" si="126"/>
        <v/>
      </c>
      <c r="S258" s="43" t="str">
        <f t="shared" si="126"/>
        <v/>
      </c>
      <c r="T258" s="43" t="str">
        <f t="shared" si="126"/>
        <v/>
      </c>
      <c r="U258" s="43" t="str">
        <f t="shared" si="126"/>
        <v/>
      </c>
      <c r="V258" s="43" t="str">
        <f t="shared" si="126"/>
        <v/>
      </c>
      <c r="W258" s="43" t="str">
        <f t="shared" si="126"/>
        <v/>
      </c>
      <c r="X258" s="43" t="str">
        <f t="shared" si="126"/>
        <v/>
      </c>
      <c r="Y258" s="43" t="str">
        <f t="shared" si="126"/>
        <v/>
      </c>
      <c r="Z258" s="43" t="str">
        <f t="shared" si="126"/>
        <v/>
      </c>
      <c r="AA258" s="43" t="str">
        <f t="shared" si="126"/>
        <v/>
      </c>
      <c r="AB258" s="43" t="str">
        <f t="shared" si="127"/>
        <v/>
      </c>
      <c r="AC258" s="43" t="str">
        <f t="shared" si="127"/>
        <v/>
      </c>
      <c r="AD258" s="43" t="str">
        <f t="shared" si="127"/>
        <v/>
      </c>
      <c r="AE258" s="43" t="str">
        <f t="shared" si="127"/>
        <v/>
      </c>
      <c r="AF258" s="43" t="str">
        <f t="shared" si="127"/>
        <v/>
      </c>
      <c r="AG258" s="43" t="str">
        <f t="shared" si="127"/>
        <v/>
      </c>
      <c r="AH258" s="43" t="str">
        <f t="shared" si="127"/>
        <v/>
      </c>
      <c r="AI258" s="43" t="str">
        <f t="shared" si="127"/>
        <v/>
      </c>
      <c r="AJ258" s="43" t="str">
        <f t="shared" si="127"/>
        <v/>
      </c>
      <c r="AK258" s="43" t="str">
        <f t="shared" si="127"/>
        <v/>
      </c>
      <c r="AL258" s="43" t="str">
        <f t="shared" si="128"/>
        <v/>
      </c>
      <c r="AM258" s="43" t="str">
        <f t="shared" si="128"/>
        <v/>
      </c>
      <c r="AN258" s="43" t="str">
        <f t="shared" si="128"/>
        <v/>
      </c>
      <c r="AO258" s="43" t="str">
        <f t="shared" si="128"/>
        <v/>
      </c>
      <c r="AP258" s="43" t="str">
        <f t="shared" si="128"/>
        <v/>
      </c>
      <c r="AQ258" s="43" t="str">
        <f t="shared" si="128"/>
        <v/>
      </c>
      <c r="AR258" s="43" t="str">
        <f t="shared" si="128"/>
        <v/>
      </c>
      <c r="AS258" s="43" t="str">
        <f t="shared" si="128"/>
        <v/>
      </c>
      <c r="AT258" s="43" t="str">
        <f t="shared" si="128"/>
        <v/>
      </c>
      <c r="AU258" s="43" t="str">
        <f t="shared" si="128"/>
        <v/>
      </c>
      <c r="AV258" s="43" t="str">
        <f t="shared" si="129"/>
        <v/>
      </c>
      <c r="AW258" s="43" t="str">
        <f t="shared" si="129"/>
        <v/>
      </c>
      <c r="AX258" s="43" t="str">
        <f t="shared" si="129"/>
        <v/>
      </c>
      <c r="AY258" s="43" t="str">
        <f t="shared" si="129"/>
        <v/>
      </c>
      <c r="AZ258" s="43" t="str">
        <f t="shared" si="129"/>
        <v/>
      </c>
      <c r="BA258" s="43" t="str">
        <f t="shared" si="129"/>
        <v/>
      </c>
      <c r="BB258" s="43"/>
      <c r="BC258" s="43"/>
      <c r="BD258" s="43"/>
      <c r="BE258" s="43"/>
      <c r="BF258" s="43"/>
      <c r="BG258" s="43"/>
      <c r="BW258" s="1250"/>
    </row>
    <row r="259" spans="1:75" x14ac:dyDescent="0.25">
      <c r="A259" s="1251"/>
      <c r="B259" s="462">
        <v>253</v>
      </c>
      <c r="C259" s="462"/>
      <c r="D259" s="1244"/>
      <c r="E259" s="1050"/>
      <c r="F259" s="1244"/>
      <c r="H259" s="43" t="str">
        <f t="shared" si="125"/>
        <v/>
      </c>
      <c r="I259" s="43" t="str">
        <f t="shared" si="125"/>
        <v/>
      </c>
      <c r="J259" s="43" t="str">
        <f t="shared" si="125"/>
        <v/>
      </c>
      <c r="K259" s="43" t="str">
        <f t="shared" si="125"/>
        <v/>
      </c>
      <c r="L259" s="43" t="str">
        <f t="shared" si="125"/>
        <v/>
      </c>
      <c r="M259" s="43" t="str">
        <f t="shared" si="125"/>
        <v/>
      </c>
      <c r="N259" s="43" t="str">
        <f t="shared" si="125"/>
        <v/>
      </c>
      <c r="O259" s="43" t="str">
        <f t="shared" si="125"/>
        <v/>
      </c>
      <c r="P259" s="43" t="str">
        <f t="shared" si="125"/>
        <v/>
      </c>
      <c r="Q259" s="43" t="str">
        <f t="shared" si="125"/>
        <v/>
      </c>
      <c r="R259" s="43" t="str">
        <f t="shared" si="126"/>
        <v/>
      </c>
      <c r="S259" s="43" t="str">
        <f t="shared" si="126"/>
        <v/>
      </c>
      <c r="T259" s="43" t="str">
        <f t="shared" si="126"/>
        <v/>
      </c>
      <c r="U259" s="43" t="str">
        <f t="shared" si="126"/>
        <v/>
      </c>
      <c r="V259" s="43" t="str">
        <f t="shared" si="126"/>
        <v/>
      </c>
      <c r="W259" s="43" t="str">
        <f t="shared" si="126"/>
        <v/>
      </c>
      <c r="X259" s="43" t="str">
        <f t="shared" si="126"/>
        <v/>
      </c>
      <c r="Y259" s="43" t="str">
        <f t="shared" si="126"/>
        <v/>
      </c>
      <c r="Z259" s="43" t="str">
        <f t="shared" si="126"/>
        <v/>
      </c>
      <c r="AA259" s="43" t="str">
        <f t="shared" si="126"/>
        <v/>
      </c>
      <c r="AB259" s="43" t="str">
        <f t="shared" si="127"/>
        <v/>
      </c>
      <c r="AC259" s="43" t="str">
        <f t="shared" si="127"/>
        <v/>
      </c>
      <c r="AD259" s="43" t="str">
        <f t="shared" si="127"/>
        <v/>
      </c>
      <c r="AE259" s="43" t="str">
        <f t="shared" si="127"/>
        <v/>
      </c>
      <c r="AF259" s="43" t="str">
        <f t="shared" si="127"/>
        <v/>
      </c>
      <c r="AG259" s="43" t="str">
        <f t="shared" si="127"/>
        <v/>
      </c>
      <c r="AH259" s="43" t="str">
        <f t="shared" si="127"/>
        <v/>
      </c>
      <c r="AI259" s="43" t="str">
        <f t="shared" si="127"/>
        <v/>
      </c>
      <c r="AJ259" s="43" t="str">
        <f t="shared" si="127"/>
        <v/>
      </c>
      <c r="AK259" s="43" t="str">
        <f t="shared" si="127"/>
        <v/>
      </c>
      <c r="AL259" s="43" t="str">
        <f t="shared" si="128"/>
        <v/>
      </c>
      <c r="AM259" s="43" t="str">
        <f t="shared" si="128"/>
        <v/>
      </c>
      <c r="AN259" s="43" t="str">
        <f t="shared" si="128"/>
        <v/>
      </c>
      <c r="AO259" s="43" t="str">
        <f t="shared" si="128"/>
        <v/>
      </c>
      <c r="AP259" s="43" t="str">
        <f t="shared" si="128"/>
        <v/>
      </c>
      <c r="AQ259" s="43" t="str">
        <f t="shared" si="128"/>
        <v/>
      </c>
      <c r="AR259" s="43" t="str">
        <f t="shared" si="128"/>
        <v/>
      </c>
      <c r="AS259" s="43" t="str">
        <f t="shared" si="128"/>
        <v/>
      </c>
      <c r="AT259" s="43" t="str">
        <f t="shared" si="128"/>
        <v/>
      </c>
      <c r="AU259" s="43" t="str">
        <f t="shared" si="128"/>
        <v/>
      </c>
      <c r="AV259" s="43" t="str">
        <f t="shared" si="129"/>
        <v/>
      </c>
      <c r="AW259" s="43" t="str">
        <f t="shared" si="129"/>
        <v/>
      </c>
      <c r="AX259" s="43" t="str">
        <f t="shared" si="129"/>
        <v/>
      </c>
      <c r="AY259" s="43" t="str">
        <f t="shared" si="129"/>
        <v/>
      </c>
      <c r="AZ259" s="43" t="str">
        <f t="shared" si="129"/>
        <v/>
      </c>
      <c r="BA259" s="43" t="str">
        <f t="shared" si="129"/>
        <v/>
      </c>
      <c r="BB259" s="43"/>
      <c r="BC259" s="43"/>
      <c r="BD259" s="43"/>
      <c r="BE259" s="43"/>
      <c r="BF259" s="43"/>
      <c r="BG259" s="43"/>
      <c r="BW259" s="1250"/>
    </row>
    <row r="260" spans="1:75" x14ac:dyDescent="0.25">
      <c r="A260" s="1251"/>
      <c r="B260" s="462">
        <v>254</v>
      </c>
      <c r="C260" s="462"/>
      <c r="D260" s="1244"/>
      <c r="E260" s="1050"/>
      <c r="F260" s="1244"/>
      <c r="H260" s="43" t="str">
        <f t="shared" si="125"/>
        <v/>
      </c>
      <c r="I260" s="43" t="str">
        <f t="shared" si="125"/>
        <v/>
      </c>
      <c r="J260" s="43" t="str">
        <f t="shared" si="125"/>
        <v/>
      </c>
      <c r="K260" s="43" t="str">
        <f t="shared" si="125"/>
        <v/>
      </c>
      <c r="L260" s="43" t="str">
        <f t="shared" si="125"/>
        <v/>
      </c>
      <c r="M260" s="43" t="str">
        <f t="shared" si="125"/>
        <v/>
      </c>
      <c r="N260" s="43" t="str">
        <f t="shared" si="125"/>
        <v/>
      </c>
      <c r="O260" s="43" t="str">
        <f t="shared" si="125"/>
        <v/>
      </c>
      <c r="P260" s="43" t="str">
        <f t="shared" si="125"/>
        <v/>
      </c>
      <c r="Q260" s="43" t="str">
        <f t="shared" si="125"/>
        <v/>
      </c>
      <c r="R260" s="43" t="str">
        <f t="shared" si="126"/>
        <v/>
      </c>
      <c r="S260" s="43" t="str">
        <f t="shared" si="126"/>
        <v/>
      </c>
      <c r="T260" s="43" t="str">
        <f t="shared" si="126"/>
        <v/>
      </c>
      <c r="U260" s="43" t="str">
        <f t="shared" si="126"/>
        <v/>
      </c>
      <c r="V260" s="43" t="str">
        <f t="shared" si="126"/>
        <v/>
      </c>
      <c r="W260" s="43" t="str">
        <f t="shared" si="126"/>
        <v/>
      </c>
      <c r="X260" s="43" t="str">
        <f t="shared" si="126"/>
        <v/>
      </c>
      <c r="Y260" s="43" t="str">
        <f t="shared" si="126"/>
        <v/>
      </c>
      <c r="Z260" s="43" t="str">
        <f t="shared" si="126"/>
        <v/>
      </c>
      <c r="AA260" s="43" t="str">
        <f t="shared" si="126"/>
        <v/>
      </c>
      <c r="AB260" s="43" t="str">
        <f t="shared" si="127"/>
        <v/>
      </c>
      <c r="AC260" s="43" t="str">
        <f t="shared" si="127"/>
        <v/>
      </c>
      <c r="AD260" s="43" t="str">
        <f t="shared" si="127"/>
        <v/>
      </c>
      <c r="AE260" s="43" t="str">
        <f t="shared" si="127"/>
        <v/>
      </c>
      <c r="AF260" s="43" t="str">
        <f t="shared" si="127"/>
        <v/>
      </c>
      <c r="AG260" s="43" t="str">
        <f t="shared" si="127"/>
        <v/>
      </c>
      <c r="AH260" s="43" t="str">
        <f t="shared" si="127"/>
        <v/>
      </c>
      <c r="AI260" s="43" t="str">
        <f t="shared" si="127"/>
        <v/>
      </c>
      <c r="AJ260" s="43" t="str">
        <f t="shared" si="127"/>
        <v/>
      </c>
      <c r="AK260" s="43" t="str">
        <f t="shared" si="127"/>
        <v/>
      </c>
      <c r="AL260" s="43" t="str">
        <f t="shared" si="128"/>
        <v/>
      </c>
      <c r="AM260" s="43" t="str">
        <f t="shared" si="128"/>
        <v/>
      </c>
      <c r="AN260" s="43" t="str">
        <f t="shared" si="128"/>
        <v/>
      </c>
      <c r="AO260" s="43" t="str">
        <f t="shared" si="128"/>
        <v/>
      </c>
      <c r="AP260" s="43" t="str">
        <f t="shared" si="128"/>
        <v/>
      </c>
      <c r="AQ260" s="43" t="str">
        <f t="shared" si="128"/>
        <v/>
      </c>
      <c r="AR260" s="43" t="str">
        <f t="shared" si="128"/>
        <v/>
      </c>
      <c r="AS260" s="43" t="str">
        <f t="shared" si="128"/>
        <v/>
      </c>
      <c r="AT260" s="43" t="str">
        <f t="shared" si="128"/>
        <v/>
      </c>
      <c r="AU260" s="43" t="str">
        <f t="shared" si="128"/>
        <v/>
      </c>
      <c r="AV260" s="43" t="str">
        <f t="shared" si="129"/>
        <v/>
      </c>
      <c r="AW260" s="43" t="str">
        <f t="shared" si="129"/>
        <v/>
      </c>
      <c r="AX260" s="43" t="str">
        <f t="shared" si="129"/>
        <v/>
      </c>
      <c r="AY260" s="43" t="str">
        <f t="shared" si="129"/>
        <v/>
      </c>
      <c r="AZ260" s="43" t="str">
        <f t="shared" si="129"/>
        <v/>
      </c>
      <c r="BA260" s="43" t="str">
        <f t="shared" si="129"/>
        <v/>
      </c>
      <c r="BB260" s="43"/>
      <c r="BC260" s="43"/>
      <c r="BD260" s="43"/>
      <c r="BE260" s="43"/>
      <c r="BF260" s="43"/>
      <c r="BG260" s="43"/>
      <c r="BW260" s="1250"/>
    </row>
    <row r="261" spans="1:75" x14ac:dyDescent="0.25">
      <c r="A261" s="1251"/>
      <c r="B261" s="462">
        <v>255</v>
      </c>
      <c r="C261" s="462"/>
      <c r="D261" s="1244"/>
      <c r="E261" s="1050"/>
      <c r="F261" s="1244"/>
      <c r="H261" s="43" t="str">
        <f t="shared" si="125"/>
        <v/>
      </c>
      <c r="I261" s="43" t="str">
        <f t="shared" si="125"/>
        <v/>
      </c>
      <c r="J261" s="43" t="str">
        <f t="shared" si="125"/>
        <v/>
      </c>
      <c r="K261" s="43" t="str">
        <f t="shared" si="125"/>
        <v/>
      </c>
      <c r="L261" s="43" t="str">
        <f t="shared" si="125"/>
        <v/>
      </c>
      <c r="M261" s="43" t="str">
        <f t="shared" si="125"/>
        <v/>
      </c>
      <c r="N261" s="43" t="str">
        <f t="shared" si="125"/>
        <v/>
      </c>
      <c r="O261" s="43" t="str">
        <f t="shared" si="125"/>
        <v/>
      </c>
      <c r="P261" s="43" t="str">
        <f t="shared" si="125"/>
        <v/>
      </c>
      <c r="Q261" s="43" t="str">
        <f t="shared" si="125"/>
        <v/>
      </c>
      <c r="R261" s="43" t="str">
        <f t="shared" si="126"/>
        <v/>
      </c>
      <c r="S261" s="43" t="str">
        <f t="shared" si="126"/>
        <v/>
      </c>
      <c r="T261" s="43" t="str">
        <f t="shared" si="126"/>
        <v/>
      </c>
      <c r="U261" s="43" t="str">
        <f t="shared" si="126"/>
        <v/>
      </c>
      <c r="V261" s="43" t="str">
        <f t="shared" si="126"/>
        <v/>
      </c>
      <c r="W261" s="43" t="str">
        <f t="shared" si="126"/>
        <v/>
      </c>
      <c r="X261" s="43" t="str">
        <f t="shared" si="126"/>
        <v/>
      </c>
      <c r="Y261" s="43" t="str">
        <f t="shared" si="126"/>
        <v/>
      </c>
      <c r="Z261" s="43" t="str">
        <f t="shared" si="126"/>
        <v/>
      </c>
      <c r="AA261" s="43" t="str">
        <f t="shared" si="126"/>
        <v/>
      </c>
      <c r="AB261" s="43" t="str">
        <f t="shared" si="127"/>
        <v/>
      </c>
      <c r="AC261" s="43" t="str">
        <f t="shared" si="127"/>
        <v/>
      </c>
      <c r="AD261" s="43" t="str">
        <f t="shared" si="127"/>
        <v/>
      </c>
      <c r="AE261" s="43" t="str">
        <f t="shared" si="127"/>
        <v/>
      </c>
      <c r="AF261" s="43" t="str">
        <f t="shared" si="127"/>
        <v/>
      </c>
      <c r="AG261" s="43" t="str">
        <f t="shared" si="127"/>
        <v/>
      </c>
      <c r="AH261" s="43" t="str">
        <f t="shared" si="127"/>
        <v/>
      </c>
      <c r="AI261" s="43" t="str">
        <f t="shared" si="127"/>
        <v/>
      </c>
      <c r="AJ261" s="43" t="str">
        <f t="shared" si="127"/>
        <v/>
      </c>
      <c r="AK261" s="43" t="str">
        <f t="shared" si="127"/>
        <v/>
      </c>
      <c r="AL261" s="43" t="str">
        <f t="shared" si="128"/>
        <v/>
      </c>
      <c r="AM261" s="43" t="str">
        <f t="shared" si="128"/>
        <v/>
      </c>
      <c r="AN261" s="43" t="str">
        <f t="shared" si="128"/>
        <v/>
      </c>
      <c r="AO261" s="43" t="str">
        <f t="shared" si="128"/>
        <v/>
      </c>
      <c r="AP261" s="43" t="str">
        <f t="shared" si="128"/>
        <v/>
      </c>
      <c r="AQ261" s="43" t="str">
        <f t="shared" si="128"/>
        <v/>
      </c>
      <c r="AR261" s="43" t="str">
        <f t="shared" si="128"/>
        <v/>
      </c>
      <c r="AS261" s="43" t="str">
        <f t="shared" si="128"/>
        <v/>
      </c>
      <c r="AT261" s="43" t="str">
        <f t="shared" si="128"/>
        <v/>
      </c>
      <c r="AU261" s="43" t="str">
        <f t="shared" si="128"/>
        <v/>
      </c>
      <c r="AV261" s="43" t="str">
        <f t="shared" si="129"/>
        <v/>
      </c>
      <c r="AW261" s="43" t="str">
        <f t="shared" si="129"/>
        <v/>
      </c>
      <c r="AX261" s="43" t="str">
        <f t="shared" si="129"/>
        <v/>
      </c>
      <c r="AY261" s="43" t="str">
        <f t="shared" si="129"/>
        <v/>
      </c>
      <c r="AZ261" s="43" t="str">
        <f t="shared" si="129"/>
        <v/>
      </c>
      <c r="BA261" s="43" t="str">
        <f t="shared" si="129"/>
        <v/>
      </c>
      <c r="BB261" s="43"/>
      <c r="BC261" s="43"/>
      <c r="BD261" s="43"/>
      <c r="BE261" s="43"/>
      <c r="BF261" s="43"/>
      <c r="BG261" s="43"/>
      <c r="BW261" s="1250"/>
    </row>
    <row r="262" spans="1:75" x14ac:dyDescent="0.25">
      <c r="A262" s="1251"/>
      <c r="B262" s="462">
        <v>256</v>
      </c>
      <c r="C262" s="462"/>
      <c r="D262" s="1244"/>
      <c r="E262" s="1050"/>
      <c r="F262" s="1244"/>
      <c r="H262" s="43" t="str">
        <f t="shared" si="125"/>
        <v/>
      </c>
      <c r="I262" s="43" t="str">
        <f t="shared" si="125"/>
        <v/>
      </c>
      <c r="J262" s="43" t="str">
        <f t="shared" si="125"/>
        <v/>
      </c>
      <c r="K262" s="43" t="str">
        <f t="shared" si="125"/>
        <v/>
      </c>
      <c r="L262" s="43" t="str">
        <f t="shared" si="125"/>
        <v/>
      </c>
      <c r="M262" s="43" t="str">
        <f t="shared" si="125"/>
        <v/>
      </c>
      <c r="N262" s="43" t="str">
        <f t="shared" si="125"/>
        <v/>
      </c>
      <c r="O262" s="43" t="str">
        <f t="shared" si="125"/>
        <v/>
      </c>
      <c r="P262" s="43" t="str">
        <f t="shared" si="125"/>
        <v/>
      </c>
      <c r="Q262" s="43" t="str">
        <f t="shared" si="125"/>
        <v/>
      </c>
      <c r="R262" s="43" t="str">
        <f t="shared" si="126"/>
        <v/>
      </c>
      <c r="S262" s="43" t="str">
        <f t="shared" si="126"/>
        <v/>
      </c>
      <c r="T262" s="43" t="str">
        <f t="shared" si="126"/>
        <v/>
      </c>
      <c r="U262" s="43" t="str">
        <f t="shared" si="126"/>
        <v/>
      </c>
      <c r="V262" s="43" t="str">
        <f t="shared" si="126"/>
        <v/>
      </c>
      <c r="W262" s="43" t="str">
        <f t="shared" si="126"/>
        <v/>
      </c>
      <c r="X262" s="43" t="str">
        <f t="shared" si="126"/>
        <v/>
      </c>
      <c r="Y262" s="43" t="str">
        <f t="shared" si="126"/>
        <v/>
      </c>
      <c r="Z262" s="43" t="str">
        <f t="shared" si="126"/>
        <v/>
      </c>
      <c r="AA262" s="43" t="str">
        <f t="shared" si="126"/>
        <v/>
      </c>
      <c r="AB262" s="43" t="str">
        <f t="shared" si="127"/>
        <v/>
      </c>
      <c r="AC262" s="43" t="str">
        <f t="shared" si="127"/>
        <v/>
      </c>
      <c r="AD262" s="43" t="str">
        <f t="shared" si="127"/>
        <v/>
      </c>
      <c r="AE262" s="43" t="str">
        <f t="shared" si="127"/>
        <v/>
      </c>
      <c r="AF262" s="43" t="str">
        <f t="shared" si="127"/>
        <v/>
      </c>
      <c r="AG262" s="43" t="str">
        <f t="shared" si="127"/>
        <v/>
      </c>
      <c r="AH262" s="43" t="str">
        <f t="shared" si="127"/>
        <v/>
      </c>
      <c r="AI262" s="43" t="str">
        <f t="shared" si="127"/>
        <v/>
      </c>
      <c r="AJ262" s="43" t="str">
        <f t="shared" si="127"/>
        <v/>
      </c>
      <c r="AK262" s="43" t="str">
        <f t="shared" si="127"/>
        <v/>
      </c>
      <c r="AL262" s="43" t="str">
        <f t="shared" si="128"/>
        <v/>
      </c>
      <c r="AM262" s="43" t="str">
        <f t="shared" si="128"/>
        <v/>
      </c>
      <c r="AN262" s="43" t="str">
        <f t="shared" si="128"/>
        <v/>
      </c>
      <c r="AO262" s="43" t="str">
        <f t="shared" si="128"/>
        <v/>
      </c>
      <c r="AP262" s="43" t="str">
        <f t="shared" si="128"/>
        <v/>
      </c>
      <c r="AQ262" s="43" t="str">
        <f t="shared" si="128"/>
        <v/>
      </c>
      <c r="AR262" s="43" t="str">
        <f t="shared" si="128"/>
        <v/>
      </c>
      <c r="AS262" s="43" t="str">
        <f t="shared" si="128"/>
        <v/>
      </c>
      <c r="AT262" s="43" t="str">
        <f t="shared" si="128"/>
        <v/>
      </c>
      <c r="AU262" s="43" t="str">
        <f t="shared" si="128"/>
        <v/>
      </c>
      <c r="AV262" s="43" t="str">
        <f t="shared" si="129"/>
        <v/>
      </c>
      <c r="AW262" s="43" t="str">
        <f t="shared" si="129"/>
        <v/>
      </c>
      <c r="AX262" s="43" t="str">
        <f t="shared" si="129"/>
        <v/>
      </c>
      <c r="AY262" s="43" t="str">
        <f t="shared" si="129"/>
        <v/>
      </c>
      <c r="AZ262" s="43" t="str">
        <f t="shared" si="129"/>
        <v/>
      </c>
      <c r="BA262" s="43" t="str">
        <f t="shared" si="129"/>
        <v/>
      </c>
      <c r="BB262" s="43"/>
      <c r="BC262" s="43"/>
      <c r="BD262" s="43"/>
      <c r="BE262" s="43"/>
      <c r="BF262" s="43"/>
      <c r="BG262" s="43"/>
      <c r="BW262" s="1250"/>
    </row>
    <row r="263" spans="1:75" x14ac:dyDescent="0.25">
      <c r="A263" s="1251"/>
      <c r="B263" s="462">
        <v>257</v>
      </c>
      <c r="C263" s="462"/>
      <c r="D263" s="1244"/>
      <c r="E263" s="1050"/>
      <c r="F263" s="1244"/>
      <c r="H263" s="43" t="str">
        <f t="shared" si="125"/>
        <v/>
      </c>
      <c r="I263" s="43" t="str">
        <f t="shared" si="125"/>
        <v/>
      </c>
      <c r="J263" s="43" t="str">
        <f t="shared" si="125"/>
        <v/>
      </c>
      <c r="K263" s="43" t="str">
        <f t="shared" si="125"/>
        <v/>
      </c>
      <c r="L263" s="43" t="str">
        <f t="shared" si="125"/>
        <v/>
      </c>
      <c r="M263" s="43" t="str">
        <f t="shared" si="125"/>
        <v/>
      </c>
      <c r="N263" s="43" t="str">
        <f t="shared" si="125"/>
        <v/>
      </c>
      <c r="O263" s="43" t="str">
        <f t="shared" si="125"/>
        <v/>
      </c>
      <c r="P263" s="43" t="str">
        <f t="shared" si="125"/>
        <v/>
      </c>
      <c r="Q263" s="43" t="str">
        <f t="shared" si="125"/>
        <v/>
      </c>
      <c r="R263" s="43" t="str">
        <f t="shared" si="126"/>
        <v/>
      </c>
      <c r="S263" s="43" t="str">
        <f t="shared" si="126"/>
        <v/>
      </c>
      <c r="T263" s="43" t="str">
        <f t="shared" si="126"/>
        <v/>
      </c>
      <c r="U263" s="43" t="str">
        <f t="shared" si="126"/>
        <v/>
      </c>
      <c r="V263" s="43" t="str">
        <f t="shared" si="126"/>
        <v/>
      </c>
      <c r="W263" s="43" t="str">
        <f t="shared" si="126"/>
        <v/>
      </c>
      <c r="X263" s="43" t="str">
        <f t="shared" si="126"/>
        <v/>
      </c>
      <c r="Y263" s="43" t="str">
        <f t="shared" si="126"/>
        <v/>
      </c>
      <c r="Z263" s="43" t="str">
        <f t="shared" si="126"/>
        <v/>
      </c>
      <c r="AA263" s="43" t="str">
        <f t="shared" si="126"/>
        <v/>
      </c>
      <c r="AB263" s="43" t="str">
        <f t="shared" si="127"/>
        <v/>
      </c>
      <c r="AC263" s="43" t="str">
        <f t="shared" si="127"/>
        <v/>
      </c>
      <c r="AD263" s="43" t="str">
        <f t="shared" si="127"/>
        <v/>
      </c>
      <c r="AE263" s="43" t="str">
        <f t="shared" si="127"/>
        <v/>
      </c>
      <c r="AF263" s="43" t="str">
        <f t="shared" si="127"/>
        <v/>
      </c>
      <c r="AG263" s="43" t="str">
        <f t="shared" si="127"/>
        <v/>
      </c>
      <c r="AH263" s="43" t="str">
        <f t="shared" si="127"/>
        <v/>
      </c>
      <c r="AI263" s="43" t="str">
        <f t="shared" si="127"/>
        <v/>
      </c>
      <c r="AJ263" s="43" t="str">
        <f t="shared" si="127"/>
        <v/>
      </c>
      <c r="AK263" s="43" t="str">
        <f t="shared" si="127"/>
        <v/>
      </c>
      <c r="AL263" s="43" t="str">
        <f t="shared" si="128"/>
        <v/>
      </c>
      <c r="AM263" s="43" t="str">
        <f t="shared" si="128"/>
        <v/>
      </c>
      <c r="AN263" s="43" t="str">
        <f t="shared" si="128"/>
        <v/>
      </c>
      <c r="AO263" s="43" t="str">
        <f t="shared" si="128"/>
        <v/>
      </c>
      <c r="AP263" s="43" t="str">
        <f t="shared" si="128"/>
        <v/>
      </c>
      <c r="AQ263" s="43" t="str">
        <f t="shared" si="128"/>
        <v/>
      </c>
      <c r="AR263" s="43" t="str">
        <f t="shared" si="128"/>
        <v/>
      </c>
      <c r="AS263" s="43" t="str">
        <f t="shared" si="128"/>
        <v/>
      </c>
      <c r="AT263" s="43" t="str">
        <f t="shared" si="128"/>
        <v/>
      </c>
      <c r="AU263" s="43" t="str">
        <f t="shared" si="128"/>
        <v/>
      </c>
      <c r="AV263" s="43" t="str">
        <f t="shared" si="129"/>
        <v/>
      </c>
      <c r="AW263" s="43" t="str">
        <f t="shared" si="129"/>
        <v/>
      </c>
      <c r="AX263" s="43" t="str">
        <f t="shared" si="129"/>
        <v/>
      </c>
      <c r="AY263" s="43" t="str">
        <f t="shared" si="129"/>
        <v/>
      </c>
      <c r="AZ263" s="43" t="str">
        <f t="shared" si="129"/>
        <v/>
      </c>
      <c r="BA263" s="43" t="str">
        <f t="shared" si="129"/>
        <v/>
      </c>
      <c r="BB263" s="43"/>
      <c r="BC263" s="43"/>
      <c r="BD263" s="43"/>
      <c r="BE263" s="43"/>
      <c r="BF263" s="43"/>
      <c r="BG263" s="43"/>
      <c r="BW263" s="1250"/>
    </row>
    <row r="264" spans="1:75" x14ac:dyDescent="0.25">
      <c r="A264" s="1251"/>
      <c r="B264" s="462">
        <v>258</v>
      </c>
      <c r="C264" s="462"/>
      <c r="D264" s="1244"/>
      <c r="E264" s="1050"/>
      <c r="F264" s="1244"/>
      <c r="H264" s="43" t="str">
        <f t="shared" si="125"/>
        <v/>
      </c>
      <c r="I264" s="43" t="str">
        <f t="shared" si="125"/>
        <v/>
      </c>
      <c r="J264" s="43" t="str">
        <f t="shared" si="125"/>
        <v/>
      </c>
      <c r="K264" s="43" t="str">
        <f t="shared" si="125"/>
        <v/>
      </c>
      <c r="L264" s="43" t="str">
        <f t="shared" si="125"/>
        <v/>
      </c>
      <c r="M264" s="43" t="str">
        <f t="shared" si="125"/>
        <v/>
      </c>
      <c r="N264" s="43" t="str">
        <f t="shared" si="125"/>
        <v/>
      </c>
      <c r="O264" s="43" t="str">
        <f t="shared" si="125"/>
        <v/>
      </c>
      <c r="P264" s="43" t="str">
        <f t="shared" si="125"/>
        <v/>
      </c>
      <c r="Q264" s="43" t="str">
        <f t="shared" si="125"/>
        <v/>
      </c>
      <c r="R264" s="43" t="str">
        <f t="shared" si="126"/>
        <v/>
      </c>
      <c r="S264" s="43" t="str">
        <f t="shared" si="126"/>
        <v/>
      </c>
      <c r="T264" s="43" t="str">
        <f t="shared" si="126"/>
        <v/>
      </c>
      <c r="U264" s="43" t="str">
        <f t="shared" si="126"/>
        <v/>
      </c>
      <c r="V264" s="43" t="str">
        <f t="shared" si="126"/>
        <v/>
      </c>
      <c r="W264" s="43" t="str">
        <f t="shared" si="126"/>
        <v/>
      </c>
      <c r="X264" s="43" t="str">
        <f t="shared" si="126"/>
        <v/>
      </c>
      <c r="Y264" s="43" t="str">
        <f t="shared" si="126"/>
        <v/>
      </c>
      <c r="Z264" s="43" t="str">
        <f t="shared" si="126"/>
        <v/>
      </c>
      <c r="AA264" s="43" t="str">
        <f t="shared" si="126"/>
        <v/>
      </c>
      <c r="AB264" s="43" t="str">
        <f t="shared" si="127"/>
        <v/>
      </c>
      <c r="AC264" s="43" t="str">
        <f t="shared" si="127"/>
        <v/>
      </c>
      <c r="AD264" s="43" t="str">
        <f t="shared" si="127"/>
        <v/>
      </c>
      <c r="AE264" s="43" t="str">
        <f t="shared" si="127"/>
        <v/>
      </c>
      <c r="AF264" s="43" t="str">
        <f t="shared" si="127"/>
        <v/>
      </c>
      <c r="AG264" s="43" t="str">
        <f t="shared" si="127"/>
        <v/>
      </c>
      <c r="AH264" s="43" t="str">
        <f t="shared" si="127"/>
        <v/>
      </c>
      <c r="AI264" s="43" t="str">
        <f t="shared" si="127"/>
        <v/>
      </c>
      <c r="AJ264" s="43" t="str">
        <f t="shared" si="127"/>
        <v/>
      </c>
      <c r="AK264" s="43" t="str">
        <f t="shared" si="127"/>
        <v/>
      </c>
      <c r="AL264" s="43" t="str">
        <f t="shared" si="128"/>
        <v/>
      </c>
      <c r="AM264" s="43" t="str">
        <f t="shared" si="128"/>
        <v/>
      </c>
      <c r="AN264" s="43" t="str">
        <f t="shared" si="128"/>
        <v/>
      </c>
      <c r="AO264" s="43" t="str">
        <f t="shared" si="128"/>
        <v/>
      </c>
      <c r="AP264" s="43" t="str">
        <f t="shared" si="128"/>
        <v/>
      </c>
      <c r="AQ264" s="43" t="str">
        <f t="shared" si="128"/>
        <v/>
      </c>
      <c r="AR264" s="43" t="str">
        <f t="shared" si="128"/>
        <v/>
      </c>
      <c r="AS264" s="43" t="str">
        <f t="shared" si="128"/>
        <v/>
      </c>
      <c r="AT264" s="43" t="str">
        <f t="shared" si="128"/>
        <v/>
      </c>
      <c r="AU264" s="43" t="str">
        <f t="shared" si="128"/>
        <v/>
      </c>
      <c r="AV264" s="43" t="str">
        <f t="shared" si="129"/>
        <v/>
      </c>
      <c r="AW264" s="43" t="str">
        <f t="shared" si="129"/>
        <v/>
      </c>
      <c r="AX264" s="43" t="str">
        <f t="shared" si="129"/>
        <v/>
      </c>
      <c r="AY264" s="43" t="str">
        <f t="shared" si="129"/>
        <v/>
      </c>
      <c r="AZ264" s="43" t="str">
        <f t="shared" si="129"/>
        <v/>
      </c>
      <c r="BA264" s="43" t="str">
        <f t="shared" si="129"/>
        <v/>
      </c>
      <c r="BB264" s="43"/>
      <c r="BC264" s="43"/>
      <c r="BD264" s="43"/>
      <c r="BE264" s="43"/>
      <c r="BF264" s="43"/>
      <c r="BG264" s="43"/>
      <c r="BW264" s="1250"/>
    </row>
    <row r="265" spans="1:75" x14ac:dyDescent="0.25">
      <c r="A265" s="1251"/>
      <c r="B265" s="462">
        <v>259</v>
      </c>
      <c r="C265" s="462"/>
      <c r="D265" s="1244"/>
      <c r="E265" s="1050"/>
      <c r="F265" s="1244"/>
      <c r="H265" s="43" t="str">
        <f t="shared" si="125"/>
        <v/>
      </c>
      <c r="I265" s="43" t="str">
        <f t="shared" si="125"/>
        <v/>
      </c>
      <c r="J265" s="43" t="str">
        <f t="shared" si="125"/>
        <v/>
      </c>
      <c r="K265" s="43" t="str">
        <f t="shared" si="125"/>
        <v/>
      </c>
      <c r="L265" s="43" t="str">
        <f t="shared" si="125"/>
        <v/>
      </c>
      <c r="M265" s="43" t="str">
        <f t="shared" si="125"/>
        <v/>
      </c>
      <c r="N265" s="43" t="str">
        <f t="shared" si="125"/>
        <v/>
      </c>
      <c r="O265" s="43" t="str">
        <f t="shared" si="125"/>
        <v/>
      </c>
      <c r="P265" s="43" t="str">
        <f t="shared" si="125"/>
        <v/>
      </c>
      <c r="Q265" s="43" t="str">
        <f t="shared" si="125"/>
        <v/>
      </c>
      <c r="R265" s="43" t="str">
        <f t="shared" si="126"/>
        <v/>
      </c>
      <c r="S265" s="43" t="str">
        <f t="shared" si="126"/>
        <v/>
      </c>
      <c r="T265" s="43" t="str">
        <f t="shared" si="126"/>
        <v/>
      </c>
      <c r="U265" s="43" t="str">
        <f t="shared" si="126"/>
        <v/>
      </c>
      <c r="V265" s="43" t="str">
        <f t="shared" si="126"/>
        <v/>
      </c>
      <c r="W265" s="43" t="str">
        <f t="shared" si="126"/>
        <v/>
      </c>
      <c r="X265" s="43" t="str">
        <f t="shared" si="126"/>
        <v/>
      </c>
      <c r="Y265" s="43" t="str">
        <f t="shared" si="126"/>
        <v/>
      </c>
      <c r="Z265" s="43" t="str">
        <f t="shared" si="126"/>
        <v/>
      </c>
      <c r="AA265" s="43" t="str">
        <f t="shared" si="126"/>
        <v/>
      </c>
      <c r="AB265" s="43" t="str">
        <f t="shared" si="127"/>
        <v/>
      </c>
      <c r="AC265" s="43" t="str">
        <f t="shared" si="127"/>
        <v/>
      </c>
      <c r="AD265" s="43" t="str">
        <f t="shared" si="127"/>
        <v/>
      </c>
      <c r="AE265" s="43" t="str">
        <f t="shared" si="127"/>
        <v/>
      </c>
      <c r="AF265" s="43" t="str">
        <f t="shared" si="127"/>
        <v/>
      </c>
      <c r="AG265" s="43" t="str">
        <f t="shared" si="127"/>
        <v/>
      </c>
      <c r="AH265" s="43" t="str">
        <f t="shared" si="127"/>
        <v/>
      </c>
      <c r="AI265" s="43" t="str">
        <f t="shared" si="127"/>
        <v/>
      </c>
      <c r="AJ265" s="43" t="str">
        <f t="shared" si="127"/>
        <v/>
      </c>
      <c r="AK265" s="43" t="str">
        <f t="shared" si="127"/>
        <v/>
      </c>
      <c r="AL265" s="43" t="str">
        <f t="shared" si="128"/>
        <v/>
      </c>
      <c r="AM265" s="43" t="str">
        <f t="shared" si="128"/>
        <v/>
      </c>
      <c r="AN265" s="43" t="str">
        <f t="shared" si="128"/>
        <v/>
      </c>
      <c r="AO265" s="43" t="str">
        <f t="shared" si="128"/>
        <v/>
      </c>
      <c r="AP265" s="43" t="str">
        <f t="shared" si="128"/>
        <v/>
      </c>
      <c r="AQ265" s="43" t="str">
        <f t="shared" si="128"/>
        <v/>
      </c>
      <c r="AR265" s="43" t="str">
        <f t="shared" si="128"/>
        <v/>
      </c>
      <c r="AS265" s="43" t="str">
        <f t="shared" si="128"/>
        <v/>
      </c>
      <c r="AT265" s="43" t="str">
        <f t="shared" si="128"/>
        <v/>
      </c>
      <c r="AU265" s="43" t="str">
        <f t="shared" si="128"/>
        <v/>
      </c>
      <c r="AV265" s="43" t="str">
        <f t="shared" si="129"/>
        <v/>
      </c>
      <c r="AW265" s="43" t="str">
        <f t="shared" si="129"/>
        <v/>
      </c>
      <c r="AX265" s="43" t="str">
        <f t="shared" si="129"/>
        <v/>
      </c>
      <c r="AY265" s="43" t="str">
        <f t="shared" si="129"/>
        <v/>
      </c>
      <c r="AZ265" s="43" t="str">
        <f t="shared" si="129"/>
        <v/>
      </c>
      <c r="BA265" s="43" t="str">
        <f t="shared" si="129"/>
        <v/>
      </c>
      <c r="BB265" s="43"/>
      <c r="BC265" s="43"/>
      <c r="BD265" s="43"/>
      <c r="BE265" s="43"/>
      <c r="BF265" s="43"/>
      <c r="BG265" s="43"/>
      <c r="BW265" s="1250"/>
    </row>
    <row r="266" spans="1:75" x14ac:dyDescent="0.25">
      <c r="A266" s="1251"/>
      <c r="B266" s="462">
        <v>260</v>
      </c>
      <c r="C266" s="462"/>
      <c r="D266" s="1244"/>
      <c r="E266" s="1050"/>
      <c r="F266" s="1244"/>
      <c r="H266" s="43" t="str">
        <f t="shared" si="125"/>
        <v/>
      </c>
      <c r="I266" s="43" t="str">
        <f t="shared" si="125"/>
        <v/>
      </c>
      <c r="J266" s="43" t="str">
        <f t="shared" si="125"/>
        <v/>
      </c>
      <c r="K266" s="43" t="str">
        <f t="shared" si="125"/>
        <v/>
      </c>
      <c r="L266" s="43" t="str">
        <f t="shared" si="125"/>
        <v/>
      </c>
      <c r="M266" s="43" t="str">
        <f t="shared" si="125"/>
        <v/>
      </c>
      <c r="N266" s="43" t="str">
        <f t="shared" si="125"/>
        <v/>
      </c>
      <c r="O266" s="43" t="str">
        <f t="shared" si="125"/>
        <v/>
      </c>
      <c r="P266" s="43" t="str">
        <f t="shared" si="125"/>
        <v/>
      </c>
      <c r="Q266" s="43" t="str">
        <f t="shared" si="125"/>
        <v/>
      </c>
      <c r="R266" s="43" t="str">
        <f t="shared" si="126"/>
        <v/>
      </c>
      <c r="S266" s="43" t="str">
        <f t="shared" si="126"/>
        <v/>
      </c>
      <c r="T266" s="43" t="str">
        <f t="shared" si="126"/>
        <v/>
      </c>
      <c r="U266" s="43" t="str">
        <f t="shared" si="126"/>
        <v/>
      </c>
      <c r="V266" s="43" t="str">
        <f t="shared" si="126"/>
        <v/>
      </c>
      <c r="W266" s="43" t="str">
        <f t="shared" si="126"/>
        <v/>
      </c>
      <c r="X266" s="43" t="str">
        <f t="shared" si="126"/>
        <v/>
      </c>
      <c r="Y266" s="43" t="str">
        <f t="shared" si="126"/>
        <v/>
      </c>
      <c r="Z266" s="43" t="str">
        <f t="shared" si="126"/>
        <v/>
      </c>
      <c r="AA266" s="43" t="str">
        <f t="shared" si="126"/>
        <v/>
      </c>
      <c r="AB266" s="43" t="str">
        <f t="shared" si="127"/>
        <v/>
      </c>
      <c r="AC266" s="43" t="str">
        <f t="shared" si="127"/>
        <v/>
      </c>
      <c r="AD266" s="43" t="str">
        <f t="shared" si="127"/>
        <v/>
      </c>
      <c r="AE266" s="43" t="str">
        <f t="shared" si="127"/>
        <v/>
      </c>
      <c r="AF266" s="43" t="str">
        <f t="shared" si="127"/>
        <v/>
      </c>
      <c r="AG266" s="43" t="str">
        <f t="shared" si="127"/>
        <v/>
      </c>
      <c r="AH266" s="43" t="str">
        <f t="shared" si="127"/>
        <v/>
      </c>
      <c r="AI266" s="43" t="str">
        <f t="shared" si="127"/>
        <v/>
      </c>
      <c r="AJ266" s="43" t="str">
        <f t="shared" si="127"/>
        <v/>
      </c>
      <c r="AK266" s="43" t="str">
        <f t="shared" si="127"/>
        <v/>
      </c>
      <c r="AL266" s="43" t="str">
        <f t="shared" si="128"/>
        <v/>
      </c>
      <c r="AM266" s="43" t="str">
        <f t="shared" si="128"/>
        <v/>
      </c>
      <c r="AN266" s="43" t="str">
        <f t="shared" si="128"/>
        <v/>
      </c>
      <c r="AO266" s="43" t="str">
        <f t="shared" si="128"/>
        <v/>
      </c>
      <c r="AP266" s="43" t="str">
        <f t="shared" si="128"/>
        <v/>
      </c>
      <c r="AQ266" s="43" t="str">
        <f t="shared" si="128"/>
        <v/>
      </c>
      <c r="AR266" s="43" t="str">
        <f t="shared" si="128"/>
        <v/>
      </c>
      <c r="AS266" s="43" t="str">
        <f t="shared" si="128"/>
        <v/>
      </c>
      <c r="AT266" s="43" t="str">
        <f t="shared" si="128"/>
        <v/>
      </c>
      <c r="AU266" s="43" t="str">
        <f t="shared" si="128"/>
        <v/>
      </c>
      <c r="AV266" s="43" t="str">
        <f t="shared" si="129"/>
        <v/>
      </c>
      <c r="AW266" s="43" t="str">
        <f t="shared" si="129"/>
        <v/>
      </c>
      <c r="AX266" s="43" t="str">
        <f t="shared" si="129"/>
        <v/>
      </c>
      <c r="AY266" s="43" t="str">
        <f t="shared" si="129"/>
        <v/>
      </c>
      <c r="AZ266" s="43" t="str">
        <f t="shared" si="129"/>
        <v/>
      </c>
      <c r="BA266" s="43" t="str">
        <f t="shared" si="129"/>
        <v/>
      </c>
      <c r="BB266" s="43"/>
      <c r="BC266" s="43"/>
      <c r="BD266" s="43"/>
      <c r="BE266" s="43"/>
      <c r="BF266" s="43"/>
      <c r="BG266" s="43"/>
      <c r="BW266" s="1250"/>
    </row>
    <row r="267" spans="1:75" x14ac:dyDescent="0.25">
      <c r="A267" s="1251"/>
      <c r="B267" s="462">
        <v>261</v>
      </c>
      <c r="C267" s="462"/>
      <c r="D267" s="1244"/>
      <c r="E267" s="1050"/>
      <c r="F267" s="1244"/>
      <c r="H267" s="43" t="str">
        <f t="shared" ref="H267:Q276" si="130">IF($D267=H$6,$B267&amp;", ","")</f>
        <v/>
      </c>
      <c r="I267" s="43" t="str">
        <f t="shared" si="130"/>
        <v/>
      </c>
      <c r="J267" s="43" t="str">
        <f t="shared" si="130"/>
        <v/>
      </c>
      <c r="K267" s="43" t="str">
        <f t="shared" si="130"/>
        <v/>
      </c>
      <c r="L267" s="43" t="str">
        <f t="shared" si="130"/>
        <v/>
      </c>
      <c r="M267" s="43" t="str">
        <f t="shared" si="130"/>
        <v/>
      </c>
      <c r="N267" s="43" t="str">
        <f t="shared" si="130"/>
        <v/>
      </c>
      <c r="O267" s="43" t="str">
        <f t="shared" si="130"/>
        <v/>
      </c>
      <c r="P267" s="43" t="str">
        <f t="shared" si="130"/>
        <v/>
      </c>
      <c r="Q267" s="43" t="str">
        <f t="shared" si="130"/>
        <v/>
      </c>
      <c r="R267" s="43" t="str">
        <f t="shared" ref="R267:AA276" si="131">IF($D267=R$6,$B267&amp;", ","")</f>
        <v/>
      </c>
      <c r="S267" s="43" t="str">
        <f t="shared" si="131"/>
        <v/>
      </c>
      <c r="T267" s="43" t="str">
        <f t="shared" si="131"/>
        <v/>
      </c>
      <c r="U267" s="43" t="str">
        <f t="shared" si="131"/>
        <v/>
      </c>
      <c r="V267" s="43" t="str">
        <f t="shared" si="131"/>
        <v/>
      </c>
      <c r="W267" s="43" t="str">
        <f t="shared" si="131"/>
        <v/>
      </c>
      <c r="X267" s="43" t="str">
        <f t="shared" si="131"/>
        <v/>
      </c>
      <c r="Y267" s="43" t="str">
        <f t="shared" si="131"/>
        <v/>
      </c>
      <c r="Z267" s="43" t="str">
        <f t="shared" si="131"/>
        <v/>
      </c>
      <c r="AA267" s="43" t="str">
        <f t="shared" si="131"/>
        <v/>
      </c>
      <c r="AB267" s="43" t="str">
        <f t="shared" ref="AB267:AK276" si="132">IF($D267=AB$6,$B267&amp;", ","")</f>
        <v/>
      </c>
      <c r="AC267" s="43" t="str">
        <f t="shared" si="132"/>
        <v/>
      </c>
      <c r="AD267" s="43" t="str">
        <f t="shared" si="132"/>
        <v/>
      </c>
      <c r="AE267" s="43" t="str">
        <f t="shared" si="132"/>
        <v/>
      </c>
      <c r="AF267" s="43" t="str">
        <f t="shared" si="132"/>
        <v/>
      </c>
      <c r="AG267" s="43" t="str">
        <f t="shared" si="132"/>
        <v/>
      </c>
      <c r="AH267" s="43" t="str">
        <f t="shared" si="132"/>
        <v/>
      </c>
      <c r="AI267" s="43" t="str">
        <f t="shared" si="132"/>
        <v/>
      </c>
      <c r="AJ267" s="43" t="str">
        <f t="shared" si="132"/>
        <v/>
      </c>
      <c r="AK267" s="43" t="str">
        <f t="shared" si="132"/>
        <v/>
      </c>
      <c r="AL267" s="43" t="str">
        <f t="shared" ref="AL267:AU276" si="133">IF($D267=AL$6,$B267&amp;", ","")</f>
        <v/>
      </c>
      <c r="AM267" s="43" t="str">
        <f t="shared" si="133"/>
        <v/>
      </c>
      <c r="AN267" s="43" t="str">
        <f t="shared" si="133"/>
        <v/>
      </c>
      <c r="AO267" s="43" t="str">
        <f t="shared" si="133"/>
        <v/>
      </c>
      <c r="AP267" s="43" t="str">
        <f t="shared" si="133"/>
        <v/>
      </c>
      <c r="AQ267" s="43" t="str">
        <f t="shared" si="133"/>
        <v/>
      </c>
      <c r="AR267" s="43" t="str">
        <f t="shared" si="133"/>
        <v/>
      </c>
      <c r="AS267" s="43" t="str">
        <f t="shared" si="133"/>
        <v/>
      </c>
      <c r="AT267" s="43" t="str">
        <f t="shared" si="133"/>
        <v/>
      </c>
      <c r="AU267" s="43" t="str">
        <f t="shared" si="133"/>
        <v/>
      </c>
      <c r="AV267" s="43" t="str">
        <f t="shared" ref="AV267:BA276" si="134">IF($D267=AV$6,$B267&amp;", ","")</f>
        <v/>
      </c>
      <c r="AW267" s="43" t="str">
        <f t="shared" si="134"/>
        <v/>
      </c>
      <c r="AX267" s="43" t="str">
        <f t="shared" si="134"/>
        <v/>
      </c>
      <c r="AY267" s="43" t="str">
        <f t="shared" si="134"/>
        <v/>
      </c>
      <c r="AZ267" s="43" t="str">
        <f t="shared" si="134"/>
        <v/>
      </c>
      <c r="BA267" s="43" t="str">
        <f t="shared" si="134"/>
        <v/>
      </c>
      <c r="BB267" s="43"/>
      <c r="BC267" s="43"/>
      <c r="BD267" s="43"/>
      <c r="BE267" s="43"/>
      <c r="BF267" s="43"/>
      <c r="BG267" s="43"/>
      <c r="BW267" s="1250"/>
    </row>
    <row r="268" spans="1:75" x14ac:dyDescent="0.25">
      <c r="A268" s="1251"/>
      <c r="B268" s="462">
        <v>262</v>
      </c>
      <c r="C268" s="462"/>
      <c r="D268" s="1244"/>
      <c r="E268" s="1050"/>
      <c r="F268" s="1244"/>
      <c r="H268" s="43" t="str">
        <f t="shared" si="130"/>
        <v/>
      </c>
      <c r="I268" s="43" t="str">
        <f t="shared" si="130"/>
        <v/>
      </c>
      <c r="J268" s="43" t="str">
        <f t="shared" si="130"/>
        <v/>
      </c>
      <c r="K268" s="43" t="str">
        <f t="shared" si="130"/>
        <v/>
      </c>
      <c r="L268" s="43" t="str">
        <f t="shared" si="130"/>
        <v/>
      </c>
      <c r="M268" s="43" t="str">
        <f t="shared" si="130"/>
        <v/>
      </c>
      <c r="N268" s="43" t="str">
        <f t="shared" si="130"/>
        <v/>
      </c>
      <c r="O268" s="43" t="str">
        <f t="shared" si="130"/>
        <v/>
      </c>
      <c r="P268" s="43" t="str">
        <f t="shared" si="130"/>
        <v/>
      </c>
      <c r="Q268" s="43" t="str">
        <f t="shared" si="130"/>
        <v/>
      </c>
      <c r="R268" s="43" t="str">
        <f t="shared" si="131"/>
        <v/>
      </c>
      <c r="S268" s="43" t="str">
        <f t="shared" si="131"/>
        <v/>
      </c>
      <c r="T268" s="43" t="str">
        <f t="shared" si="131"/>
        <v/>
      </c>
      <c r="U268" s="43" t="str">
        <f t="shared" si="131"/>
        <v/>
      </c>
      <c r="V268" s="43" t="str">
        <f t="shared" si="131"/>
        <v/>
      </c>
      <c r="W268" s="43" t="str">
        <f t="shared" si="131"/>
        <v/>
      </c>
      <c r="X268" s="43" t="str">
        <f t="shared" si="131"/>
        <v/>
      </c>
      <c r="Y268" s="43" t="str">
        <f t="shared" si="131"/>
        <v/>
      </c>
      <c r="Z268" s="43" t="str">
        <f t="shared" si="131"/>
        <v/>
      </c>
      <c r="AA268" s="43" t="str">
        <f t="shared" si="131"/>
        <v/>
      </c>
      <c r="AB268" s="43" t="str">
        <f t="shared" si="132"/>
        <v/>
      </c>
      <c r="AC268" s="43" t="str">
        <f t="shared" si="132"/>
        <v/>
      </c>
      <c r="AD268" s="43" t="str">
        <f t="shared" si="132"/>
        <v/>
      </c>
      <c r="AE268" s="43" t="str">
        <f t="shared" si="132"/>
        <v/>
      </c>
      <c r="AF268" s="43" t="str">
        <f t="shared" si="132"/>
        <v/>
      </c>
      <c r="AG268" s="43" t="str">
        <f t="shared" si="132"/>
        <v/>
      </c>
      <c r="AH268" s="43" t="str">
        <f t="shared" si="132"/>
        <v/>
      </c>
      <c r="AI268" s="43" t="str">
        <f t="shared" si="132"/>
        <v/>
      </c>
      <c r="AJ268" s="43" t="str">
        <f t="shared" si="132"/>
        <v/>
      </c>
      <c r="AK268" s="43" t="str">
        <f t="shared" si="132"/>
        <v/>
      </c>
      <c r="AL268" s="43" t="str">
        <f t="shared" si="133"/>
        <v/>
      </c>
      <c r="AM268" s="43" t="str">
        <f t="shared" si="133"/>
        <v/>
      </c>
      <c r="AN268" s="43" t="str">
        <f t="shared" si="133"/>
        <v/>
      </c>
      <c r="AO268" s="43" t="str">
        <f t="shared" si="133"/>
        <v/>
      </c>
      <c r="AP268" s="43" t="str">
        <f t="shared" si="133"/>
        <v/>
      </c>
      <c r="AQ268" s="43" t="str">
        <f t="shared" si="133"/>
        <v/>
      </c>
      <c r="AR268" s="43" t="str">
        <f t="shared" si="133"/>
        <v/>
      </c>
      <c r="AS268" s="43" t="str">
        <f t="shared" si="133"/>
        <v/>
      </c>
      <c r="AT268" s="43" t="str">
        <f t="shared" si="133"/>
        <v/>
      </c>
      <c r="AU268" s="43" t="str">
        <f t="shared" si="133"/>
        <v/>
      </c>
      <c r="AV268" s="43" t="str">
        <f t="shared" si="134"/>
        <v/>
      </c>
      <c r="AW268" s="43" t="str">
        <f t="shared" si="134"/>
        <v/>
      </c>
      <c r="AX268" s="43" t="str">
        <f t="shared" si="134"/>
        <v/>
      </c>
      <c r="AY268" s="43" t="str">
        <f t="shared" si="134"/>
        <v/>
      </c>
      <c r="AZ268" s="43" t="str">
        <f t="shared" si="134"/>
        <v/>
      </c>
      <c r="BA268" s="43" t="str">
        <f t="shared" si="134"/>
        <v/>
      </c>
      <c r="BB268" s="43"/>
      <c r="BC268" s="43"/>
      <c r="BD268" s="43"/>
      <c r="BE268" s="43"/>
      <c r="BF268" s="43"/>
      <c r="BG268" s="43"/>
      <c r="BW268" s="1250"/>
    </row>
    <row r="269" spans="1:75" x14ac:dyDescent="0.25">
      <c r="A269" s="1251"/>
      <c r="B269" s="462">
        <v>263</v>
      </c>
      <c r="C269" s="462"/>
      <c r="D269" s="1244"/>
      <c r="E269" s="1050"/>
      <c r="F269" s="1244"/>
      <c r="H269" s="43" t="str">
        <f t="shared" si="130"/>
        <v/>
      </c>
      <c r="I269" s="43" t="str">
        <f t="shared" si="130"/>
        <v/>
      </c>
      <c r="J269" s="43" t="str">
        <f t="shared" si="130"/>
        <v/>
      </c>
      <c r="K269" s="43" t="str">
        <f t="shared" si="130"/>
        <v/>
      </c>
      <c r="L269" s="43" t="str">
        <f t="shared" si="130"/>
        <v/>
      </c>
      <c r="M269" s="43" t="str">
        <f t="shared" si="130"/>
        <v/>
      </c>
      <c r="N269" s="43" t="str">
        <f t="shared" si="130"/>
        <v/>
      </c>
      <c r="O269" s="43" t="str">
        <f t="shared" si="130"/>
        <v/>
      </c>
      <c r="P269" s="43" t="str">
        <f t="shared" si="130"/>
        <v/>
      </c>
      <c r="Q269" s="43" t="str">
        <f t="shared" si="130"/>
        <v/>
      </c>
      <c r="R269" s="43" t="str">
        <f t="shared" si="131"/>
        <v/>
      </c>
      <c r="S269" s="43" t="str">
        <f t="shared" si="131"/>
        <v/>
      </c>
      <c r="T269" s="43" t="str">
        <f t="shared" si="131"/>
        <v/>
      </c>
      <c r="U269" s="43" t="str">
        <f t="shared" si="131"/>
        <v/>
      </c>
      <c r="V269" s="43" t="str">
        <f t="shared" si="131"/>
        <v/>
      </c>
      <c r="W269" s="43" t="str">
        <f t="shared" si="131"/>
        <v/>
      </c>
      <c r="X269" s="43" t="str">
        <f t="shared" si="131"/>
        <v/>
      </c>
      <c r="Y269" s="43" t="str">
        <f t="shared" si="131"/>
        <v/>
      </c>
      <c r="Z269" s="43" t="str">
        <f t="shared" si="131"/>
        <v/>
      </c>
      <c r="AA269" s="43" t="str">
        <f t="shared" si="131"/>
        <v/>
      </c>
      <c r="AB269" s="43" t="str">
        <f t="shared" si="132"/>
        <v/>
      </c>
      <c r="AC269" s="43" t="str">
        <f t="shared" si="132"/>
        <v/>
      </c>
      <c r="AD269" s="43" t="str">
        <f t="shared" si="132"/>
        <v/>
      </c>
      <c r="AE269" s="43" t="str">
        <f t="shared" si="132"/>
        <v/>
      </c>
      <c r="AF269" s="43" t="str">
        <f t="shared" si="132"/>
        <v/>
      </c>
      <c r="AG269" s="43" t="str">
        <f t="shared" si="132"/>
        <v/>
      </c>
      <c r="AH269" s="43" t="str">
        <f t="shared" si="132"/>
        <v/>
      </c>
      <c r="AI269" s="43" t="str">
        <f t="shared" si="132"/>
        <v/>
      </c>
      <c r="AJ269" s="43" t="str">
        <f t="shared" si="132"/>
        <v/>
      </c>
      <c r="AK269" s="43" t="str">
        <f t="shared" si="132"/>
        <v/>
      </c>
      <c r="AL269" s="43" t="str">
        <f t="shared" si="133"/>
        <v/>
      </c>
      <c r="AM269" s="43" t="str">
        <f t="shared" si="133"/>
        <v/>
      </c>
      <c r="AN269" s="43" t="str">
        <f t="shared" si="133"/>
        <v/>
      </c>
      <c r="AO269" s="43" t="str">
        <f t="shared" si="133"/>
        <v/>
      </c>
      <c r="AP269" s="43" t="str">
        <f t="shared" si="133"/>
        <v/>
      </c>
      <c r="AQ269" s="43" t="str">
        <f t="shared" si="133"/>
        <v/>
      </c>
      <c r="AR269" s="43" t="str">
        <f t="shared" si="133"/>
        <v/>
      </c>
      <c r="AS269" s="43" t="str">
        <f t="shared" si="133"/>
        <v/>
      </c>
      <c r="AT269" s="43" t="str">
        <f t="shared" si="133"/>
        <v/>
      </c>
      <c r="AU269" s="43" t="str">
        <f t="shared" si="133"/>
        <v/>
      </c>
      <c r="AV269" s="43" t="str">
        <f t="shared" si="134"/>
        <v/>
      </c>
      <c r="AW269" s="43" t="str">
        <f t="shared" si="134"/>
        <v/>
      </c>
      <c r="AX269" s="43" t="str">
        <f t="shared" si="134"/>
        <v/>
      </c>
      <c r="AY269" s="43" t="str">
        <f t="shared" si="134"/>
        <v/>
      </c>
      <c r="AZ269" s="43" t="str">
        <f t="shared" si="134"/>
        <v/>
      </c>
      <c r="BA269" s="43" t="str">
        <f t="shared" si="134"/>
        <v/>
      </c>
      <c r="BB269" s="43"/>
      <c r="BC269" s="43"/>
      <c r="BD269" s="43"/>
      <c r="BE269" s="43"/>
      <c r="BF269" s="43"/>
      <c r="BG269" s="43"/>
      <c r="BW269" s="1250"/>
    </row>
    <row r="270" spans="1:75" x14ac:dyDescent="0.25">
      <c r="A270" s="1251"/>
      <c r="B270" s="462">
        <v>264</v>
      </c>
      <c r="C270" s="462"/>
      <c r="D270" s="1244"/>
      <c r="E270" s="1050"/>
      <c r="F270" s="1244"/>
      <c r="H270" s="43" t="str">
        <f t="shared" si="130"/>
        <v/>
      </c>
      <c r="I270" s="43" t="str">
        <f t="shared" si="130"/>
        <v/>
      </c>
      <c r="J270" s="43" t="str">
        <f t="shared" si="130"/>
        <v/>
      </c>
      <c r="K270" s="43" t="str">
        <f t="shared" si="130"/>
        <v/>
      </c>
      <c r="L270" s="43" t="str">
        <f t="shared" si="130"/>
        <v/>
      </c>
      <c r="M270" s="43" t="str">
        <f t="shared" si="130"/>
        <v/>
      </c>
      <c r="N270" s="43" t="str">
        <f t="shared" si="130"/>
        <v/>
      </c>
      <c r="O270" s="43" t="str">
        <f t="shared" si="130"/>
        <v/>
      </c>
      <c r="P270" s="43" t="str">
        <f t="shared" si="130"/>
        <v/>
      </c>
      <c r="Q270" s="43" t="str">
        <f t="shared" si="130"/>
        <v/>
      </c>
      <c r="R270" s="43" t="str">
        <f t="shared" si="131"/>
        <v/>
      </c>
      <c r="S270" s="43" t="str">
        <f t="shared" si="131"/>
        <v/>
      </c>
      <c r="T270" s="43" t="str">
        <f t="shared" si="131"/>
        <v/>
      </c>
      <c r="U270" s="43" t="str">
        <f t="shared" si="131"/>
        <v/>
      </c>
      <c r="V270" s="43" t="str">
        <f t="shared" si="131"/>
        <v/>
      </c>
      <c r="W270" s="43" t="str">
        <f t="shared" si="131"/>
        <v/>
      </c>
      <c r="X270" s="43" t="str">
        <f t="shared" si="131"/>
        <v/>
      </c>
      <c r="Y270" s="43" t="str">
        <f t="shared" si="131"/>
        <v/>
      </c>
      <c r="Z270" s="43" t="str">
        <f t="shared" si="131"/>
        <v/>
      </c>
      <c r="AA270" s="43" t="str">
        <f t="shared" si="131"/>
        <v/>
      </c>
      <c r="AB270" s="43" t="str">
        <f t="shared" si="132"/>
        <v/>
      </c>
      <c r="AC270" s="43" t="str">
        <f t="shared" si="132"/>
        <v/>
      </c>
      <c r="AD270" s="43" t="str">
        <f t="shared" si="132"/>
        <v/>
      </c>
      <c r="AE270" s="43" t="str">
        <f t="shared" si="132"/>
        <v/>
      </c>
      <c r="AF270" s="43" t="str">
        <f t="shared" si="132"/>
        <v/>
      </c>
      <c r="AG270" s="43" t="str">
        <f t="shared" si="132"/>
        <v/>
      </c>
      <c r="AH270" s="43" t="str">
        <f t="shared" si="132"/>
        <v/>
      </c>
      <c r="AI270" s="43" t="str">
        <f t="shared" si="132"/>
        <v/>
      </c>
      <c r="AJ270" s="43" t="str">
        <f t="shared" si="132"/>
        <v/>
      </c>
      <c r="AK270" s="43" t="str">
        <f t="shared" si="132"/>
        <v/>
      </c>
      <c r="AL270" s="43" t="str">
        <f t="shared" si="133"/>
        <v/>
      </c>
      <c r="AM270" s="43" t="str">
        <f t="shared" si="133"/>
        <v/>
      </c>
      <c r="AN270" s="43" t="str">
        <f t="shared" si="133"/>
        <v/>
      </c>
      <c r="AO270" s="43" t="str">
        <f t="shared" si="133"/>
        <v/>
      </c>
      <c r="AP270" s="43" t="str">
        <f t="shared" si="133"/>
        <v/>
      </c>
      <c r="AQ270" s="43" t="str">
        <f t="shared" si="133"/>
        <v/>
      </c>
      <c r="AR270" s="43" t="str">
        <f t="shared" si="133"/>
        <v/>
      </c>
      <c r="AS270" s="43" t="str">
        <f t="shared" si="133"/>
        <v/>
      </c>
      <c r="AT270" s="43" t="str">
        <f t="shared" si="133"/>
        <v/>
      </c>
      <c r="AU270" s="43" t="str">
        <f t="shared" si="133"/>
        <v/>
      </c>
      <c r="AV270" s="43" t="str">
        <f t="shared" si="134"/>
        <v/>
      </c>
      <c r="AW270" s="43" t="str">
        <f t="shared" si="134"/>
        <v/>
      </c>
      <c r="AX270" s="43" t="str">
        <f t="shared" si="134"/>
        <v/>
      </c>
      <c r="AY270" s="43" t="str">
        <f t="shared" si="134"/>
        <v/>
      </c>
      <c r="AZ270" s="43" t="str">
        <f t="shared" si="134"/>
        <v/>
      </c>
      <c r="BA270" s="43" t="str">
        <f t="shared" si="134"/>
        <v/>
      </c>
      <c r="BB270" s="43"/>
      <c r="BC270" s="43"/>
      <c r="BD270" s="43"/>
      <c r="BE270" s="43"/>
      <c r="BF270" s="43"/>
      <c r="BG270" s="43"/>
      <c r="BW270" s="1250"/>
    </row>
    <row r="271" spans="1:75" x14ac:dyDescent="0.25">
      <c r="A271" s="1251"/>
      <c r="B271" s="462">
        <v>265</v>
      </c>
      <c r="C271" s="462"/>
      <c r="D271" s="1244"/>
      <c r="E271" s="1050"/>
      <c r="F271" s="1244"/>
      <c r="H271" s="43" t="str">
        <f t="shared" si="130"/>
        <v/>
      </c>
      <c r="I271" s="43" t="str">
        <f t="shared" si="130"/>
        <v/>
      </c>
      <c r="J271" s="43" t="str">
        <f t="shared" si="130"/>
        <v/>
      </c>
      <c r="K271" s="43" t="str">
        <f t="shared" si="130"/>
        <v/>
      </c>
      <c r="L271" s="43" t="str">
        <f t="shared" si="130"/>
        <v/>
      </c>
      <c r="M271" s="43" t="str">
        <f t="shared" si="130"/>
        <v/>
      </c>
      <c r="N271" s="43" t="str">
        <f t="shared" si="130"/>
        <v/>
      </c>
      <c r="O271" s="43" t="str">
        <f t="shared" si="130"/>
        <v/>
      </c>
      <c r="P271" s="43" t="str">
        <f t="shared" si="130"/>
        <v/>
      </c>
      <c r="Q271" s="43" t="str">
        <f t="shared" si="130"/>
        <v/>
      </c>
      <c r="R271" s="43" t="str">
        <f t="shared" si="131"/>
        <v/>
      </c>
      <c r="S271" s="43" t="str">
        <f t="shared" si="131"/>
        <v/>
      </c>
      <c r="T271" s="43" t="str">
        <f t="shared" si="131"/>
        <v/>
      </c>
      <c r="U271" s="43" t="str">
        <f t="shared" si="131"/>
        <v/>
      </c>
      <c r="V271" s="43" t="str">
        <f t="shared" si="131"/>
        <v/>
      </c>
      <c r="W271" s="43" t="str">
        <f t="shared" si="131"/>
        <v/>
      </c>
      <c r="X271" s="43" t="str">
        <f t="shared" si="131"/>
        <v/>
      </c>
      <c r="Y271" s="43" t="str">
        <f t="shared" si="131"/>
        <v/>
      </c>
      <c r="Z271" s="43" t="str">
        <f t="shared" si="131"/>
        <v/>
      </c>
      <c r="AA271" s="43" t="str">
        <f t="shared" si="131"/>
        <v/>
      </c>
      <c r="AB271" s="43" t="str">
        <f t="shared" si="132"/>
        <v/>
      </c>
      <c r="AC271" s="43" t="str">
        <f t="shared" si="132"/>
        <v/>
      </c>
      <c r="AD271" s="43" t="str">
        <f t="shared" si="132"/>
        <v/>
      </c>
      <c r="AE271" s="43" t="str">
        <f t="shared" si="132"/>
        <v/>
      </c>
      <c r="AF271" s="43" t="str">
        <f t="shared" si="132"/>
        <v/>
      </c>
      <c r="AG271" s="43" t="str">
        <f t="shared" si="132"/>
        <v/>
      </c>
      <c r="AH271" s="43" t="str">
        <f t="shared" si="132"/>
        <v/>
      </c>
      <c r="AI271" s="43" t="str">
        <f t="shared" si="132"/>
        <v/>
      </c>
      <c r="AJ271" s="43" t="str">
        <f t="shared" si="132"/>
        <v/>
      </c>
      <c r="AK271" s="43" t="str">
        <f t="shared" si="132"/>
        <v/>
      </c>
      <c r="AL271" s="43" t="str">
        <f t="shared" si="133"/>
        <v/>
      </c>
      <c r="AM271" s="43" t="str">
        <f t="shared" si="133"/>
        <v/>
      </c>
      <c r="AN271" s="43" t="str">
        <f t="shared" si="133"/>
        <v/>
      </c>
      <c r="AO271" s="43" t="str">
        <f t="shared" si="133"/>
        <v/>
      </c>
      <c r="AP271" s="43" t="str">
        <f t="shared" si="133"/>
        <v/>
      </c>
      <c r="AQ271" s="43" t="str">
        <f t="shared" si="133"/>
        <v/>
      </c>
      <c r="AR271" s="43" t="str">
        <f t="shared" si="133"/>
        <v/>
      </c>
      <c r="AS271" s="43" t="str">
        <f t="shared" si="133"/>
        <v/>
      </c>
      <c r="AT271" s="43" t="str">
        <f t="shared" si="133"/>
        <v/>
      </c>
      <c r="AU271" s="43" t="str">
        <f t="shared" si="133"/>
        <v/>
      </c>
      <c r="AV271" s="43" t="str">
        <f t="shared" si="134"/>
        <v/>
      </c>
      <c r="AW271" s="43" t="str">
        <f t="shared" si="134"/>
        <v/>
      </c>
      <c r="AX271" s="43" t="str">
        <f t="shared" si="134"/>
        <v/>
      </c>
      <c r="AY271" s="43" t="str">
        <f t="shared" si="134"/>
        <v/>
      </c>
      <c r="AZ271" s="43" t="str">
        <f t="shared" si="134"/>
        <v/>
      </c>
      <c r="BA271" s="43" t="str">
        <f t="shared" si="134"/>
        <v/>
      </c>
      <c r="BB271" s="43"/>
      <c r="BC271" s="43"/>
      <c r="BD271" s="43"/>
      <c r="BE271" s="43"/>
      <c r="BF271" s="43"/>
      <c r="BG271" s="43"/>
      <c r="BW271" s="1250"/>
    </row>
    <row r="272" spans="1:75" x14ac:dyDescent="0.25">
      <c r="A272" s="1251"/>
      <c r="B272" s="462">
        <v>266</v>
      </c>
      <c r="C272" s="462"/>
      <c r="D272" s="1244"/>
      <c r="E272" s="1050"/>
      <c r="F272" s="1244"/>
      <c r="H272" s="43" t="str">
        <f t="shared" si="130"/>
        <v/>
      </c>
      <c r="I272" s="43" t="str">
        <f t="shared" si="130"/>
        <v/>
      </c>
      <c r="J272" s="43" t="str">
        <f t="shared" si="130"/>
        <v/>
      </c>
      <c r="K272" s="43" t="str">
        <f t="shared" si="130"/>
        <v/>
      </c>
      <c r="L272" s="43" t="str">
        <f t="shared" si="130"/>
        <v/>
      </c>
      <c r="M272" s="43" t="str">
        <f t="shared" si="130"/>
        <v/>
      </c>
      <c r="N272" s="43" t="str">
        <f t="shared" si="130"/>
        <v/>
      </c>
      <c r="O272" s="43" t="str">
        <f t="shared" si="130"/>
        <v/>
      </c>
      <c r="P272" s="43" t="str">
        <f t="shared" si="130"/>
        <v/>
      </c>
      <c r="Q272" s="43" t="str">
        <f t="shared" si="130"/>
        <v/>
      </c>
      <c r="R272" s="43" t="str">
        <f t="shared" si="131"/>
        <v/>
      </c>
      <c r="S272" s="43" t="str">
        <f t="shared" si="131"/>
        <v/>
      </c>
      <c r="T272" s="43" t="str">
        <f t="shared" si="131"/>
        <v/>
      </c>
      <c r="U272" s="43" t="str">
        <f t="shared" si="131"/>
        <v/>
      </c>
      <c r="V272" s="43" t="str">
        <f t="shared" si="131"/>
        <v/>
      </c>
      <c r="W272" s="43" t="str">
        <f t="shared" si="131"/>
        <v/>
      </c>
      <c r="X272" s="43" t="str">
        <f t="shared" si="131"/>
        <v/>
      </c>
      <c r="Y272" s="43" t="str">
        <f t="shared" si="131"/>
        <v/>
      </c>
      <c r="Z272" s="43" t="str">
        <f t="shared" si="131"/>
        <v/>
      </c>
      <c r="AA272" s="43" t="str">
        <f t="shared" si="131"/>
        <v/>
      </c>
      <c r="AB272" s="43" t="str">
        <f t="shared" si="132"/>
        <v/>
      </c>
      <c r="AC272" s="43" t="str">
        <f t="shared" si="132"/>
        <v/>
      </c>
      <c r="AD272" s="43" t="str">
        <f t="shared" si="132"/>
        <v/>
      </c>
      <c r="AE272" s="43" t="str">
        <f t="shared" si="132"/>
        <v/>
      </c>
      <c r="AF272" s="43" t="str">
        <f t="shared" si="132"/>
        <v/>
      </c>
      <c r="AG272" s="43" t="str">
        <f t="shared" si="132"/>
        <v/>
      </c>
      <c r="AH272" s="43" t="str">
        <f t="shared" si="132"/>
        <v/>
      </c>
      <c r="AI272" s="43" t="str">
        <f t="shared" si="132"/>
        <v/>
      </c>
      <c r="AJ272" s="43" t="str">
        <f t="shared" si="132"/>
        <v/>
      </c>
      <c r="AK272" s="43" t="str">
        <f t="shared" si="132"/>
        <v/>
      </c>
      <c r="AL272" s="43" t="str">
        <f t="shared" si="133"/>
        <v/>
      </c>
      <c r="AM272" s="43" t="str">
        <f t="shared" si="133"/>
        <v/>
      </c>
      <c r="AN272" s="43" t="str">
        <f t="shared" si="133"/>
        <v/>
      </c>
      <c r="AO272" s="43" t="str">
        <f t="shared" si="133"/>
        <v/>
      </c>
      <c r="AP272" s="43" t="str">
        <f t="shared" si="133"/>
        <v/>
      </c>
      <c r="AQ272" s="43" t="str">
        <f t="shared" si="133"/>
        <v/>
      </c>
      <c r="AR272" s="43" t="str">
        <f t="shared" si="133"/>
        <v/>
      </c>
      <c r="AS272" s="43" t="str">
        <f t="shared" si="133"/>
        <v/>
      </c>
      <c r="AT272" s="43" t="str">
        <f t="shared" si="133"/>
        <v/>
      </c>
      <c r="AU272" s="43" t="str">
        <f t="shared" si="133"/>
        <v/>
      </c>
      <c r="AV272" s="43" t="str">
        <f t="shared" si="134"/>
        <v/>
      </c>
      <c r="AW272" s="43" t="str">
        <f t="shared" si="134"/>
        <v/>
      </c>
      <c r="AX272" s="43" t="str">
        <f t="shared" si="134"/>
        <v/>
      </c>
      <c r="AY272" s="43" t="str">
        <f t="shared" si="134"/>
        <v/>
      </c>
      <c r="AZ272" s="43" t="str">
        <f t="shared" si="134"/>
        <v/>
      </c>
      <c r="BA272" s="43" t="str">
        <f t="shared" si="134"/>
        <v/>
      </c>
      <c r="BB272" s="43"/>
      <c r="BC272" s="43"/>
      <c r="BD272" s="43"/>
      <c r="BE272" s="43"/>
      <c r="BF272" s="43"/>
      <c r="BG272" s="43"/>
      <c r="BW272" s="1250"/>
    </row>
    <row r="273" spans="1:75" x14ac:dyDescent="0.25">
      <c r="A273" s="1251"/>
      <c r="B273" s="462">
        <v>267</v>
      </c>
      <c r="C273" s="462"/>
      <c r="D273" s="1244"/>
      <c r="E273" s="1050"/>
      <c r="F273" s="1244"/>
      <c r="H273" s="43" t="str">
        <f t="shared" si="130"/>
        <v/>
      </c>
      <c r="I273" s="43" t="str">
        <f t="shared" si="130"/>
        <v/>
      </c>
      <c r="J273" s="43" t="str">
        <f t="shared" si="130"/>
        <v/>
      </c>
      <c r="K273" s="43" t="str">
        <f t="shared" si="130"/>
        <v/>
      </c>
      <c r="L273" s="43" t="str">
        <f t="shared" si="130"/>
        <v/>
      </c>
      <c r="M273" s="43" t="str">
        <f t="shared" si="130"/>
        <v/>
      </c>
      <c r="N273" s="43" t="str">
        <f t="shared" si="130"/>
        <v/>
      </c>
      <c r="O273" s="43" t="str">
        <f t="shared" si="130"/>
        <v/>
      </c>
      <c r="P273" s="43" t="str">
        <f t="shared" si="130"/>
        <v/>
      </c>
      <c r="Q273" s="43" t="str">
        <f t="shared" si="130"/>
        <v/>
      </c>
      <c r="R273" s="43" t="str">
        <f t="shared" si="131"/>
        <v/>
      </c>
      <c r="S273" s="43" t="str">
        <f t="shared" si="131"/>
        <v/>
      </c>
      <c r="T273" s="43" t="str">
        <f t="shared" si="131"/>
        <v/>
      </c>
      <c r="U273" s="43" t="str">
        <f t="shared" si="131"/>
        <v/>
      </c>
      <c r="V273" s="43" t="str">
        <f t="shared" si="131"/>
        <v/>
      </c>
      <c r="W273" s="43" t="str">
        <f t="shared" si="131"/>
        <v/>
      </c>
      <c r="X273" s="43" t="str">
        <f t="shared" si="131"/>
        <v/>
      </c>
      <c r="Y273" s="43" t="str">
        <f t="shared" si="131"/>
        <v/>
      </c>
      <c r="Z273" s="43" t="str">
        <f t="shared" si="131"/>
        <v/>
      </c>
      <c r="AA273" s="43" t="str">
        <f t="shared" si="131"/>
        <v/>
      </c>
      <c r="AB273" s="43" t="str">
        <f t="shared" si="132"/>
        <v/>
      </c>
      <c r="AC273" s="43" t="str">
        <f t="shared" si="132"/>
        <v/>
      </c>
      <c r="AD273" s="43" t="str">
        <f t="shared" si="132"/>
        <v/>
      </c>
      <c r="AE273" s="43" t="str">
        <f t="shared" si="132"/>
        <v/>
      </c>
      <c r="AF273" s="43" t="str">
        <f t="shared" si="132"/>
        <v/>
      </c>
      <c r="AG273" s="43" t="str">
        <f t="shared" si="132"/>
        <v/>
      </c>
      <c r="AH273" s="43" t="str">
        <f t="shared" si="132"/>
        <v/>
      </c>
      <c r="AI273" s="43" t="str">
        <f t="shared" si="132"/>
        <v/>
      </c>
      <c r="AJ273" s="43" t="str">
        <f t="shared" si="132"/>
        <v/>
      </c>
      <c r="AK273" s="43" t="str">
        <f t="shared" si="132"/>
        <v/>
      </c>
      <c r="AL273" s="43" t="str">
        <f t="shared" si="133"/>
        <v/>
      </c>
      <c r="AM273" s="43" t="str">
        <f t="shared" si="133"/>
        <v/>
      </c>
      <c r="AN273" s="43" t="str">
        <f t="shared" si="133"/>
        <v/>
      </c>
      <c r="AO273" s="43" t="str">
        <f t="shared" si="133"/>
        <v/>
      </c>
      <c r="AP273" s="43" t="str">
        <f t="shared" si="133"/>
        <v/>
      </c>
      <c r="AQ273" s="43" t="str">
        <f t="shared" si="133"/>
        <v/>
      </c>
      <c r="AR273" s="43" t="str">
        <f t="shared" si="133"/>
        <v/>
      </c>
      <c r="AS273" s="43" t="str">
        <f t="shared" si="133"/>
        <v/>
      </c>
      <c r="AT273" s="43" t="str">
        <f t="shared" si="133"/>
        <v/>
      </c>
      <c r="AU273" s="43" t="str">
        <f t="shared" si="133"/>
        <v/>
      </c>
      <c r="AV273" s="43" t="str">
        <f t="shared" si="134"/>
        <v/>
      </c>
      <c r="AW273" s="43" t="str">
        <f t="shared" si="134"/>
        <v/>
      </c>
      <c r="AX273" s="43" t="str">
        <f t="shared" si="134"/>
        <v/>
      </c>
      <c r="AY273" s="43" t="str">
        <f t="shared" si="134"/>
        <v/>
      </c>
      <c r="AZ273" s="43" t="str">
        <f t="shared" si="134"/>
        <v/>
      </c>
      <c r="BA273" s="43" t="str">
        <f t="shared" si="134"/>
        <v/>
      </c>
      <c r="BB273" s="43"/>
      <c r="BC273" s="43"/>
      <c r="BD273" s="43"/>
      <c r="BE273" s="43"/>
      <c r="BF273" s="43"/>
      <c r="BG273" s="43"/>
      <c r="BW273" s="1250"/>
    </row>
    <row r="274" spans="1:75" x14ac:dyDescent="0.25">
      <c r="A274" s="1251"/>
      <c r="B274" s="462">
        <v>268</v>
      </c>
      <c r="C274" s="462"/>
      <c r="D274" s="1244"/>
      <c r="E274" s="1050"/>
      <c r="F274" s="1244"/>
      <c r="H274" s="43" t="str">
        <f t="shared" si="130"/>
        <v/>
      </c>
      <c r="I274" s="43" t="str">
        <f t="shared" si="130"/>
        <v/>
      </c>
      <c r="J274" s="43" t="str">
        <f t="shared" si="130"/>
        <v/>
      </c>
      <c r="K274" s="43" t="str">
        <f t="shared" si="130"/>
        <v/>
      </c>
      <c r="L274" s="43" t="str">
        <f t="shared" si="130"/>
        <v/>
      </c>
      <c r="M274" s="43" t="str">
        <f t="shared" si="130"/>
        <v/>
      </c>
      <c r="N274" s="43" t="str">
        <f t="shared" si="130"/>
        <v/>
      </c>
      <c r="O274" s="43" t="str">
        <f t="shared" si="130"/>
        <v/>
      </c>
      <c r="P274" s="43" t="str">
        <f t="shared" si="130"/>
        <v/>
      </c>
      <c r="Q274" s="43" t="str">
        <f t="shared" si="130"/>
        <v/>
      </c>
      <c r="R274" s="43" t="str">
        <f t="shared" si="131"/>
        <v/>
      </c>
      <c r="S274" s="43" t="str">
        <f t="shared" si="131"/>
        <v/>
      </c>
      <c r="T274" s="43" t="str">
        <f t="shared" si="131"/>
        <v/>
      </c>
      <c r="U274" s="43" t="str">
        <f t="shared" si="131"/>
        <v/>
      </c>
      <c r="V274" s="43" t="str">
        <f t="shared" si="131"/>
        <v/>
      </c>
      <c r="W274" s="43" t="str">
        <f t="shared" si="131"/>
        <v/>
      </c>
      <c r="X274" s="43" t="str">
        <f t="shared" si="131"/>
        <v/>
      </c>
      <c r="Y274" s="43" t="str">
        <f t="shared" si="131"/>
        <v/>
      </c>
      <c r="Z274" s="43" t="str">
        <f t="shared" si="131"/>
        <v/>
      </c>
      <c r="AA274" s="43" t="str">
        <f t="shared" si="131"/>
        <v/>
      </c>
      <c r="AB274" s="43" t="str">
        <f t="shared" si="132"/>
        <v/>
      </c>
      <c r="AC274" s="43" t="str">
        <f t="shared" si="132"/>
        <v/>
      </c>
      <c r="AD274" s="43" t="str">
        <f t="shared" si="132"/>
        <v/>
      </c>
      <c r="AE274" s="43" t="str">
        <f t="shared" si="132"/>
        <v/>
      </c>
      <c r="AF274" s="43" t="str">
        <f t="shared" si="132"/>
        <v/>
      </c>
      <c r="AG274" s="43" t="str">
        <f t="shared" si="132"/>
        <v/>
      </c>
      <c r="AH274" s="43" t="str">
        <f t="shared" si="132"/>
        <v/>
      </c>
      <c r="AI274" s="43" t="str">
        <f t="shared" si="132"/>
        <v/>
      </c>
      <c r="AJ274" s="43" t="str">
        <f t="shared" si="132"/>
        <v/>
      </c>
      <c r="AK274" s="43" t="str">
        <f t="shared" si="132"/>
        <v/>
      </c>
      <c r="AL274" s="43" t="str">
        <f t="shared" si="133"/>
        <v/>
      </c>
      <c r="AM274" s="43" t="str">
        <f t="shared" si="133"/>
        <v/>
      </c>
      <c r="AN274" s="43" t="str">
        <f t="shared" si="133"/>
        <v/>
      </c>
      <c r="AO274" s="43" t="str">
        <f t="shared" si="133"/>
        <v/>
      </c>
      <c r="AP274" s="43" t="str">
        <f t="shared" si="133"/>
        <v/>
      </c>
      <c r="AQ274" s="43" t="str">
        <f t="shared" si="133"/>
        <v/>
      </c>
      <c r="AR274" s="43" t="str">
        <f t="shared" si="133"/>
        <v/>
      </c>
      <c r="AS274" s="43" t="str">
        <f t="shared" si="133"/>
        <v/>
      </c>
      <c r="AT274" s="43" t="str">
        <f t="shared" si="133"/>
        <v/>
      </c>
      <c r="AU274" s="43" t="str">
        <f t="shared" si="133"/>
        <v/>
      </c>
      <c r="AV274" s="43" t="str">
        <f t="shared" si="134"/>
        <v/>
      </c>
      <c r="AW274" s="43" t="str">
        <f t="shared" si="134"/>
        <v/>
      </c>
      <c r="AX274" s="43" t="str">
        <f t="shared" si="134"/>
        <v/>
      </c>
      <c r="AY274" s="43" t="str">
        <f t="shared" si="134"/>
        <v/>
      </c>
      <c r="AZ274" s="43" t="str">
        <f t="shared" si="134"/>
        <v/>
      </c>
      <c r="BA274" s="43" t="str">
        <f t="shared" si="134"/>
        <v/>
      </c>
      <c r="BB274" s="43"/>
      <c r="BC274" s="43"/>
      <c r="BD274" s="43"/>
      <c r="BE274" s="43"/>
      <c r="BF274" s="43"/>
      <c r="BG274" s="43"/>
      <c r="BW274" s="1250"/>
    </row>
    <row r="275" spans="1:75" x14ac:dyDescent="0.25">
      <c r="A275" s="1251"/>
      <c r="B275" s="462">
        <v>269</v>
      </c>
      <c r="C275" s="462"/>
      <c r="D275" s="1244"/>
      <c r="E275" s="1050"/>
      <c r="F275" s="1244"/>
      <c r="H275" s="43" t="str">
        <f t="shared" si="130"/>
        <v/>
      </c>
      <c r="I275" s="43" t="str">
        <f t="shared" si="130"/>
        <v/>
      </c>
      <c r="J275" s="43" t="str">
        <f t="shared" si="130"/>
        <v/>
      </c>
      <c r="K275" s="43" t="str">
        <f t="shared" si="130"/>
        <v/>
      </c>
      <c r="L275" s="43" t="str">
        <f t="shared" si="130"/>
        <v/>
      </c>
      <c r="M275" s="43" t="str">
        <f t="shared" si="130"/>
        <v/>
      </c>
      <c r="N275" s="43" t="str">
        <f t="shared" si="130"/>
        <v/>
      </c>
      <c r="O275" s="43" t="str">
        <f t="shared" si="130"/>
        <v/>
      </c>
      <c r="P275" s="43" t="str">
        <f t="shared" si="130"/>
        <v/>
      </c>
      <c r="Q275" s="43" t="str">
        <f t="shared" si="130"/>
        <v/>
      </c>
      <c r="R275" s="43" t="str">
        <f t="shared" si="131"/>
        <v/>
      </c>
      <c r="S275" s="43" t="str">
        <f t="shared" si="131"/>
        <v/>
      </c>
      <c r="T275" s="43" t="str">
        <f t="shared" si="131"/>
        <v/>
      </c>
      <c r="U275" s="43" t="str">
        <f t="shared" si="131"/>
        <v/>
      </c>
      <c r="V275" s="43" t="str">
        <f t="shared" si="131"/>
        <v/>
      </c>
      <c r="W275" s="43" t="str">
        <f t="shared" si="131"/>
        <v/>
      </c>
      <c r="X275" s="43" t="str">
        <f t="shared" si="131"/>
        <v/>
      </c>
      <c r="Y275" s="43" t="str">
        <f t="shared" si="131"/>
        <v/>
      </c>
      <c r="Z275" s="43" t="str">
        <f t="shared" si="131"/>
        <v/>
      </c>
      <c r="AA275" s="43" t="str">
        <f t="shared" si="131"/>
        <v/>
      </c>
      <c r="AB275" s="43" t="str">
        <f t="shared" si="132"/>
        <v/>
      </c>
      <c r="AC275" s="43" t="str">
        <f t="shared" si="132"/>
        <v/>
      </c>
      <c r="AD275" s="43" t="str">
        <f t="shared" si="132"/>
        <v/>
      </c>
      <c r="AE275" s="43" t="str">
        <f t="shared" si="132"/>
        <v/>
      </c>
      <c r="AF275" s="43" t="str">
        <f t="shared" si="132"/>
        <v/>
      </c>
      <c r="AG275" s="43" t="str">
        <f t="shared" si="132"/>
        <v/>
      </c>
      <c r="AH275" s="43" t="str">
        <f t="shared" si="132"/>
        <v/>
      </c>
      <c r="AI275" s="43" t="str">
        <f t="shared" si="132"/>
        <v/>
      </c>
      <c r="AJ275" s="43" t="str">
        <f t="shared" si="132"/>
        <v/>
      </c>
      <c r="AK275" s="43" t="str">
        <f t="shared" si="132"/>
        <v/>
      </c>
      <c r="AL275" s="43" t="str">
        <f t="shared" si="133"/>
        <v/>
      </c>
      <c r="AM275" s="43" t="str">
        <f t="shared" si="133"/>
        <v/>
      </c>
      <c r="AN275" s="43" t="str">
        <f t="shared" si="133"/>
        <v/>
      </c>
      <c r="AO275" s="43" t="str">
        <f t="shared" si="133"/>
        <v/>
      </c>
      <c r="AP275" s="43" t="str">
        <f t="shared" si="133"/>
        <v/>
      </c>
      <c r="AQ275" s="43" t="str">
        <f t="shared" si="133"/>
        <v/>
      </c>
      <c r="AR275" s="43" t="str">
        <f t="shared" si="133"/>
        <v/>
      </c>
      <c r="AS275" s="43" t="str">
        <f t="shared" si="133"/>
        <v/>
      </c>
      <c r="AT275" s="43" t="str">
        <f t="shared" si="133"/>
        <v/>
      </c>
      <c r="AU275" s="43" t="str">
        <f t="shared" si="133"/>
        <v/>
      </c>
      <c r="AV275" s="43" t="str">
        <f t="shared" si="134"/>
        <v/>
      </c>
      <c r="AW275" s="43" t="str">
        <f t="shared" si="134"/>
        <v/>
      </c>
      <c r="AX275" s="43" t="str">
        <f t="shared" si="134"/>
        <v/>
      </c>
      <c r="AY275" s="43" t="str">
        <f t="shared" si="134"/>
        <v/>
      </c>
      <c r="AZ275" s="43" t="str">
        <f t="shared" si="134"/>
        <v/>
      </c>
      <c r="BA275" s="43" t="str">
        <f t="shared" si="134"/>
        <v/>
      </c>
      <c r="BB275" s="43"/>
      <c r="BC275" s="43"/>
      <c r="BD275" s="43"/>
      <c r="BE275" s="43"/>
      <c r="BF275" s="43"/>
      <c r="BG275" s="43"/>
      <c r="BW275" s="1250"/>
    </row>
    <row r="276" spans="1:75" x14ac:dyDescent="0.25">
      <c r="A276" s="1251"/>
      <c r="B276" s="462">
        <v>270</v>
      </c>
      <c r="C276" s="462"/>
      <c r="D276" s="1244"/>
      <c r="E276" s="1050"/>
      <c r="F276" s="1244"/>
      <c r="H276" s="43" t="str">
        <f t="shared" si="130"/>
        <v/>
      </c>
      <c r="I276" s="43" t="str">
        <f t="shared" si="130"/>
        <v/>
      </c>
      <c r="J276" s="43" t="str">
        <f t="shared" si="130"/>
        <v/>
      </c>
      <c r="K276" s="43" t="str">
        <f t="shared" si="130"/>
        <v/>
      </c>
      <c r="L276" s="43" t="str">
        <f t="shared" si="130"/>
        <v/>
      </c>
      <c r="M276" s="43" t="str">
        <f t="shared" si="130"/>
        <v/>
      </c>
      <c r="N276" s="43" t="str">
        <f t="shared" si="130"/>
        <v/>
      </c>
      <c r="O276" s="43" t="str">
        <f t="shared" si="130"/>
        <v/>
      </c>
      <c r="P276" s="43" t="str">
        <f t="shared" si="130"/>
        <v/>
      </c>
      <c r="Q276" s="43" t="str">
        <f t="shared" si="130"/>
        <v/>
      </c>
      <c r="R276" s="43" t="str">
        <f t="shared" si="131"/>
        <v/>
      </c>
      <c r="S276" s="43" t="str">
        <f t="shared" si="131"/>
        <v/>
      </c>
      <c r="T276" s="43" t="str">
        <f t="shared" si="131"/>
        <v/>
      </c>
      <c r="U276" s="43" t="str">
        <f t="shared" si="131"/>
        <v/>
      </c>
      <c r="V276" s="43" t="str">
        <f t="shared" si="131"/>
        <v/>
      </c>
      <c r="W276" s="43" t="str">
        <f t="shared" si="131"/>
        <v/>
      </c>
      <c r="X276" s="43" t="str">
        <f t="shared" si="131"/>
        <v/>
      </c>
      <c r="Y276" s="43" t="str">
        <f t="shared" si="131"/>
        <v/>
      </c>
      <c r="Z276" s="43" t="str">
        <f t="shared" si="131"/>
        <v/>
      </c>
      <c r="AA276" s="43" t="str">
        <f t="shared" si="131"/>
        <v/>
      </c>
      <c r="AB276" s="43" t="str">
        <f t="shared" si="132"/>
        <v/>
      </c>
      <c r="AC276" s="43" t="str">
        <f t="shared" si="132"/>
        <v/>
      </c>
      <c r="AD276" s="43" t="str">
        <f t="shared" si="132"/>
        <v/>
      </c>
      <c r="AE276" s="43" t="str">
        <f t="shared" si="132"/>
        <v/>
      </c>
      <c r="AF276" s="43" t="str">
        <f t="shared" si="132"/>
        <v/>
      </c>
      <c r="AG276" s="43" t="str">
        <f t="shared" si="132"/>
        <v/>
      </c>
      <c r="AH276" s="43" t="str">
        <f t="shared" si="132"/>
        <v/>
      </c>
      <c r="AI276" s="43" t="str">
        <f t="shared" si="132"/>
        <v/>
      </c>
      <c r="AJ276" s="43" t="str">
        <f t="shared" si="132"/>
        <v/>
      </c>
      <c r="AK276" s="43" t="str">
        <f t="shared" si="132"/>
        <v/>
      </c>
      <c r="AL276" s="43" t="str">
        <f t="shared" si="133"/>
        <v/>
      </c>
      <c r="AM276" s="43" t="str">
        <f t="shared" si="133"/>
        <v/>
      </c>
      <c r="AN276" s="43" t="str">
        <f t="shared" si="133"/>
        <v/>
      </c>
      <c r="AO276" s="43" t="str">
        <f t="shared" si="133"/>
        <v/>
      </c>
      <c r="AP276" s="43" t="str">
        <f t="shared" si="133"/>
        <v/>
      </c>
      <c r="AQ276" s="43" t="str">
        <f t="shared" si="133"/>
        <v/>
      </c>
      <c r="AR276" s="43" t="str">
        <f t="shared" si="133"/>
        <v/>
      </c>
      <c r="AS276" s="43" t="str">
        <f t="shared" si="133"/>
        <v/>
      </c>
      <c r="AT276" s="43" t="str">
        <f t="shared" si="133"/>
        <v/>
      </c>
      <c r="AU276" s="43" t="str">
        <f t="shared" si="133"/>
        <v/>
      </c>
      <c r="AV276" s="43" t="str">
        <f t="shared" si="134"/>
        <v/>
      </c>
      <c r="AW276" s="43" t="str">
        <f t="shared" si="134"/>
        <v/>
      </c>
      <c r="AX276" s="43" t="str">
        <f t="shared" si="134"/>
        <v/>
      </c>
      <c r="AY276" s="43" t="str">
        <f t="shared" si="134"/>
        <v/>
      </c>
      <c r="AZ276" s="43" t="str">
        <f t="shared" si="134"/>
        <v/>
      </c>
      <c r="BA276" s="43" t="str">
        <f t="shared" si="134"/>
        <v/>
      </c>
      <c r="BB276" s="43"/>
      <c r="BC276" s="43"/>
      <c r="BD276" s="43"/>
      <c r="BE276" s="43"/>
      <c r="BF276" s="43"/>
      <c r="BG276" s="43"/>
      <c r="BW276" s="1250"/>
    </row>
    <row r="277" spans="1:75" x14ac:dyDescent="0.25">
      <c r="A277" s="1251"/>
      <c r="B277" s="462">
        <v>271</v>
      </c>
      <c r="C277" s="462"/>
      <c r="D277" s="1244"/>
      <c r="E277" s="1050"/>
      <c r="F277" s="1244"/>
      <c r="H277" s="43" t="str">
        <f t="shared" ref="H277:Q286" si="135">IF($D277=H$6,$B277&amp;", ","")</f>
        <v/>
      </c>
      <c r="I277" s="43" t="str">
        <f t="shared" si="135"/>
        <v/>
      </c>
      <c r="J277" s="43" t="str">
        <f t="shared" si="135"/>
        <v/>
      </c>
      <c r="K277" s="43" t="str">
        <f t="shared" si="135"/>
        <v/>
      </c>
      <c r="L277" s="43" t="str">
        <f t="shared" si="135"/>
        <v/>
      </c>
      <c r="M277" s="43" t="str">
        <f t="shared" si="135"/>
        <v/>
      </c>
      <c r="N277" s="43" t="str">
        <f t="shared" si="135"/>
        <v/>
      </c>
      <c r="O277" s="43" t="str">
        <f t="shared" si="135"/>
        <v/>
      </c>
      <c r="P277" s="43" t="str">
        <f t="shared" si="135"/>
        <v/>
      </c>
      <c r="Q277" s="43" t="str">
        <f t="shared" si="135"/>
        <v/>
      </c>
      <c r="R277" s="43" t="str">
        <f t="shared" ref="R277:AA286" si="136">IF($D277=R$6,$B277&amp;", ","")</f>
        <v/>
      </c>
      <c r="S277" s="43" t="str">
        <f t="shared" si="136"/>
        <v/>
      </c>
      <c r="T277" s="43" t="str">
        <f t="shared" si="136"/>
        <v/>
      </c>
      <c r="U277" s="43" t="str">
        <f t="shared" si="136"/>
        <v/>
      </c>
      <c r="V277" s="43" t="str">
        <f t="shared" si="136"/>
        <v/>
      </c>
      <c r="W277" s="43" t="str">
        <f t="shared" si="136"/>
        <v/>
      </c>
      <c r="X277" s="43" t="str">
        <f t="shared" si="136"/>
        <v/>
      </c>
      <c r="Y277" s="43" t="str">
        <f t="shared" si="136"/>
        <v/>
      </c>
      <c r="Z277" s="43" t="str">
        <f t="shared" si="136"/>
        <v/>
      </c>
      <c r="AA277" s="43" t="str">
        <f t="shared" si="136"/>
        <v/>
      </c>
      <c r="AB277" s="43" t="str">
        <f t="shared" ref="AB277:AK286" si="137">IF($D277=AB$6,$B277&amp;", ","")</f>
        <v/>
      </c>
      <c r="AC277" s="43" t="str">
        <f t="shared" si="137"/>
        <v/>
      </c>
      <c r="AD277" s="43" t="str">
        <f t="shared" si="137"/>
        <v/>
      </c>
      <c r="AE277" s="43" t="str">
        <f t="shared" si="137"/>
        <v/>
      </c>
      <c r="AF277" s="43" t="str">
        <f t="shared" si="137"/>
        <v/>
      </c>
      <c r="AG277" s="43" t="str">
        <f t="shared" si="137"/>
        <v/>
      </c>
      <c r="AH277" s="43" t="str">
        <f t="shared" si="137"/>
        <v/>
      </c>
      <c r="AI277" s="43" t="str">
        <f t="shared" si="137"/>
        <v/>
      </c>
      <c r="AJ277" s="43" t="str">
        <f t="shared" si="137"/>
        <v/>
      </c>
      <c r="AK277" s="43" t="str">
        <f t="shared" si="137"/>
        <v/>
      </c>
      <c r="AL277" s="43" t="str">
        <f t="shared" ref="AL277:AU286" si="138">IF($D277=AL$6,$B277&amp;", ","")</f>
        <v/>
      </c>
      <c r="AM277" s="43" t="str">
        <f t="shared" si="138"/>
        <v/>
      </c>
      <c r="AN277" s="43" t="str">
        <f t="shared" si="138"/>
        <v/>
      </c>
      <c r="AO277" s="43" t="str">
        <f t="shared" si="138"/>
        <v/>
      </c>
      <c r="AP277" s="43" t="str">
        <f t="shared" si="138"/>
        <v/>
      </c>
      <c r="AQ277" s="43" t="str">
        <f t="shared" si="138"/>
        <v/>
      </c>
      <c r="AR277" s="43" t="str">
        <f t="shared" si="138"/>
        <v/>
      </c>
      <c r="AS277" s="43" t="str">
        <f t="shared" si="138"/>
        <v/>
      </c>
      <c r="AT277" s="43" t="str">
        <f t="shared" si="138"/>
        <v/>
      </c>
      <c r="AU277" s="43" t="str">
        <f t="shared" si="138"/>
        <v/>
      </c>
      <c r="AV277" s="43" t="str">
        <f t="shared" ref="AV277:BA286" si="139">IF($D277=AV$6,$B277&amp;", ","")</f>
        <v/>
      </c>
      <c r="AW277" s="43" t="str">
        <f t="shared" si="139"/>
        <v/>
      </c>
      <c r="AX277" s="43" t="str">
        <f t="shared" si="139"/>
        <v/>
      </c>
      <c r="AY277" s="43" t="str">
        <f t="shared" si="139"/>
        <v/>
      </c>
      <c r="AZ277" s="43" t="str">
        <f t="shared" si="139"/>
        <v/>
      </c>
      <c r="BA277" s="43" t="str">
        <f t="shared" si="139"/>
        <v/>
      </c>
      <c r="BB277" s="43"/>
      <c r="BC277" s="43"/>
      <c r="BD277" s="43"/>
      <c r="BE277" s="43"/>
      <c r="BF277" s="43"/>
      <c r="BG277" s="43"/>
      <c r="BW277" s="1250"/>
    </row>
    <row r="278" spans="1:75" x14ac:dyDescent="0.25">
      <c r="A278" s="1251"/>
      <c r="B278" s="462">
        <v>272</v>
      </c>
      <c r="C278" s="462"/>
      <c r="D278" s="1244"/>
      <c r="E278" s="1050"/>
      <c r="F278" s="1244"/>
      <c r="H278" s="43" t="str">
        <f t="shared" si="135"/>
        <v/>
      </c>
      <c r="I278" s="43" t="str">
        <f t="shared" si="135"/>
        <v/>
      </c>
      <c r="J278" s="43" t="str">
        <f t="shared" si="135"/>
        <v/>
      </c>
      <c r="K278" s="43" t="str">
        <f t="shared" si="135"/>
        <v/>
      </c>
      <c r="L278" s="43" t="str">
        <f t="shared" si="135"/>
        <v/>
      </c>
      <c r="M278" s="43" t="str">
        <f t="shared" si="135"/>
        <v/>
      </c>
      <c r="N278" s="43" t="str">
        <f t="shared" si="135"/>
        <v/>
      </c>
      <c r="O278" s="43" t="str">
        <f t="shared" si="135"/>
        <v/>
      </c>
      <c r="P278" s="43" t="str">
        <f t="shared" si="135"/>
        <v/>
      </c>
      <c r="Q278" s="43" t="str">
        <f t="shared" si="135"/>
        <v/>
      </c>
      <c r="R278" s="43" t="str">
        <f t="shared" si="136"/>
        <v/>
      </c>
      <c r="S278" s="43" t="str">
        <f t="shared" si="136"/>
        <v/>
      </c>
      <c r="T278" s="43" t="str">
        <f t="shared" si="136"/>
        <v/>
      </c>
      <c r="U278" s="43" t="str">
        <f t="shared" si="136"/>
        <v/>
      </c>
      <c r="V278" s="43" t="str">
        <f t="shared" si="136"/>
        <v/>
      </c>
      <c r="W278" s="43" t="str">
        <f t="shared" si="136"/>
        <v/>
      </c>
      <c r="X278" s="43" t="str">
        <f t="shared" si="136"/>
        <v/>
      </c>
      <c r="Y278" s="43" t="str">
        <f t="shared" si="136"/>
        <v/>
      </c>
      <c r="Z278" s="43" t="str">
        <f t="shared" si="136"/>
        <v/>
      </c>
      <c r="AA278" s="43" t="str">
        <f t="shared" si="136"/>
        <v/>
      </c>
      <c r="AB278" s="43" t="str">
        <f t="shared" si="137"/>
        <v/>
      </c>
      <c r="AC278" s="43" t="str">
        <f t="shared" si="137"/>
        <v/>
      </c>
      <c r="AD278" s="43" t="str">
        <f t="shared" si="137"/>
        <v/>
      </c>
      <c r="AE278" s="43" t="str">
        <f t="shared" si="137"/>
        <v/>
      </c>
      <c r="AF278" s="43" t="str">
        <f t="shared" si="137"/>
        <v/>
      </c>
      <c r="AG278" s="43" t="str">
        <f t="shared" si="137"/>
        <v/>
      </c>
      <c r="AH278" s="43" t="str">
        <f t="shared" si="137"/>
        <v/>
      </c>
      <c r="AI278" s="43" t="str">
        <f t="shared" si="137"/>
        <v/>
      </c>
      <c r="AJ278" s="43" t="str">
        <f t="shared" si="137"/>
        <v/>
      </c>
      <c r="AK278" s="43" t="str">
        <f t="shared" si="137"/>
        <v/>
      </c>
      <c r="AL278" s="43" t="str">
        <f t="shared" si="138"/>
        <v/>
      </c>
      <c r="AM278" s="43" t="str">
        <f t="shared" si="138"/>
        <v/>
      </c>
      <c r="AN278" s="43" t="str">
        <f t="shared" si="138"/>
        <v/>
      </c>
      <c r="AO278" s="43" t="str">
        <f t="shared" si="138"/>
        <v/>
      </c>
      <c r="AP278" s="43" t="str">
        <f t="shared" si="138"/>
        <v/>
      </c>
      <c r="AQ278" s="43" t="str">
        <f t="shared" si="138"/>
        <v/>
      </c>
      <c r="AR278" s="43" t="str">
        <f t="shared" si="138"/>
        <v/>
      </c>
      <c r="AS278" s="43" t="str">
        <f t="shared" si="138"/>
        <v/>
      </c>
      <c r="AT278" s="43" t="str">
        <f t="shared" si="138"/>
        <v/>
      </c>
      <c r="AU278" s="43" t="str">
        <f t="shared" si="138"/>
        <v/>
      </c>
      <c r="AV278" s="43" t="str">
        <f t="shared" si="139"/>
        <v/>
      </c>
      <c r="AW278" s="43" t="str">
        <f t="shared" si="139"/>
        <v/>
      </c>
      <c r="AX278" s="43" t="str">
        <f t="shared" si="139"/>
        <v/>
      </c>
      <c r="AY278" s="43" t="str">
        <f t="shared" si="139"/>
        <v/>
      </c>
      <c r="AZ278" s="43" t="str">
        <f t="shared" si="139"/>
        <v/>
      </c>
      <c r="BA278" s="43" t="str">
        <f t="shared" si="139"/>
        <v/>
      </c>
      <c r="BB278" s="43"/>
      <c r="BC278" s="43"/>
      <c r="BD278" s="43"/>
      <c r="BE278" s="43"/>
      <c r="BF278" s="43"/>
      <c r="BG278" s="43"/>
      <c r="BW278" s="1250"/>
    </row>
    <row r="279" spans="1:75" x14ac:dyDescent="0.25">
      <c r="A279" s="1251"/>
      <c r="B279" s="462">
        <v>273</v>
      </c>
      <c r="C279" s="462"/>
      <c r="D279" s="1244"/>
      <c r="E279" s="1050"/>
      <c r="F279" s="1244"/>
      <c r="H279" s="43" t="str">
        <f t="shared" si="135"/>
        <v/>
      </c>
      <c r="I279" s="43" t="str">
        <f t="shared" si="135"/>
        <v/>
      </c>
      <c r="J279" s="43" t="str">
        <f t="shared" si="135"/>
        <v/>
      </c>
      <c r="K279" s="43" t="str">
        <f t="shared" si="135"/>
        <v/>
      </c>
      <c r="L279" s="43" t="str">
        <f t="shared" si="135"/>
        <v/>
      </c>
      <c r="M279" s="43" t="str">
        <f t="shared" si="135"/>
        <v/>
      </c>
      <c r="N279" s="43" t="str">
        <f t="shared" si="135"/>
        <v/>
      </c>
      <c r="O279" s="43" t="str">
        <f t="shared" si="135"/>
        <v/>
      </c>
      <c r="P279" s="43" t="str">
        <f t="shared" si="135"/>
        <v/>
      </c>
      <c r="Q279" s="43" t="str">
        <f t="shared" si="135"/>
        <v/>
      </c>
      <c r="R279" s="43" t="str">
        <f t="shared" si="136"/>
        <v/>
      </c>
      <c r="S279" s="43" t="str">
        <f t="shared" si="136"/>
        <v/>
      </c>
      <c r="T279" s="43" t="str">
        <f t="shared" si="136"/>
        <v/>
      </c>
      <c r="U279" s="43" t="str">
        <f t="shared" si="136"/>
        <v/>
      </c>
      <c r="V279" s="43" t="str">
        <f t="shared" si="136"/>
        <v/>
      </c>
      <c r="W279" s="43" t="str">
        <f t="shared" si="136"/>
        <v/>
      </c>
      <c r="X279" s="43" t="str">
        <f t="shared" si="136"/>
        <v/>
      </c>
      <c r="Y279" s="43" t="str">
        <f t="shared" si="136"/>
        <v/>
      </c>
      <c r="Z279" s="43" t="str">
        <f t="shared" si="136"/>
        <v/>
      </c>
      <c r="AA279" s="43" t="str">
        <f t="shared" si="136"/>
        <v/>
      </c>
      <c r="AB279" s="43" t="str">
        <f t="shared" si="137"/>
        <v/>
      </c>
      <c r="AC279" s="43" t="str">
        <f t="shared" si="137"/>
        <v/>
      </c>
      <c r="AD279" s="43" t="str">
        <f t="shared" si="137"/>
        <v/>
      </c>
      <c r="AE279" s="43" t="str">
        <f t="shared" si="137"/>
        <v/>
      </c>
      <c r="AF279" s="43" t="str">
        <f t="shared" si="137"/>
        <v/>
      </c>
      <c r="AG279" s="43" t="str">
        <f t="shared" si="137"/>
        <v/>
      </c>
      <c r="AH279" s="43" t="str">
        <f t="shared" si="137"/>
        <v/>
      </c>
      <c r="AI279" s="43" t="str">
        <f t="shared" si="137"/>
        <v/>
      </c>
      <c r="AJ279" s="43" t="str">
        <f t="shared" si="137"/>
        <v/>
      </c>
      <c r="AK279" s="43" t="str">
        <f t="shared" si="137"/>
        <v/>
      </c>
      <c r="AL279" s="43" t="str">
        <f t="shared" si="138"/>
        <v/>
      </c>
      <c r="AM279" s="43" t="str">
        <f t="shared" si="138"/>
        <v/>
      </c>
      <c r="AN279" s="43" t="str">
        <f t="shared" si="138"/>
        <v/>
      </c>
      <c r="AO279" s="43" t="str">
        <f t="shared" si="138"/>
        <v/>
      </c>
      <c r="AP279" s="43" t="str">
        <f t="shared" si="138"/>
        <v/>
      </c>
      <c r="AQ279" s="43" t="str">
        <f t="shared" si="138"/>
        <v/>
      </c>
      <c r="AR279" s="43" t="str">
        <f t="shared" si="138"/>
        <v/>
      </c>
      <c r="AS279" s="43" t="str">
        <f t="shared" si="138"/>
        <v/>
      </c>
      <c r="AT279" s="43" t="str">
        <f t="shared" si="138"/>
        <v/>
      </c>
      <c r="AU279" s="43" t="str">
        <f t="shared" si="138"/>
        <v/>
      </c>
      <c r="AV279" s="43" t="str">
        <f t="shared" si="139"/>
        <v/>
      </c>
      <c r="AW279" s="43" t="str">
        <f t="shared" si="139"/>
        <v/>
      </c>
      <c r="AX279" s="43" t="str">
        <f t="shared" si="139"/>
        <v/>
      </c>
      <c r="AY279" s="43" t="str">
        <f t="shared" si="139"/>
        <v/>
      </c>
      <c r="AZ279" s="43" t="str">
        <f t="shared" si="139"/>
        <v/>
      </c>
      <c r="BA279" s="43" t="str">
        <f t="shared" si="139"/>
        <v/>
      </c>
      <c r="BB279" s="43"/>
      <c r="BC279" s="43"/>
      <c r="BD279" s="43"/>
      <c r="BE279" s="43"/>
      <c r="BF279" s="43"/>
      <c r="BG279" s="43"/>
      <c r="BW279" s="1250"/>
    </row>
    <row r="280" spans="1:75" x14ac:dyDescent="0.25">
      <c r="A280" s="1251"/>
      <c r="B280" s="462">
        <v>274</v>
      </c>
      <c r="C280" s="462"/>
      <c r="D280" s="1244"/>
      <c r="E280" s="1050"/>
      <c r="F280" s="1244"/>
      <c r="H280" s="43" t="str">
        <f t="shared" si="135"/>
        <v/>
      </c>
      <c r="I280" s="43" t="str">
        <f t="shared" si="135"/>
        <v/>
      </c>
      <c r="J280" s="43" t="str">
        <f t="shared" si="135"/>
        <v/>
      </c>
      <c r="K280" s="43" t="str">
        <f t="shared" si="135"/>
        <v/>
      </c>
      <c r="L280" s="43" t="str">
        <f t="shared" si="135"/>
        <v/>
      </c>
      <c r="M280" s="43" t="str">
        <f t="shared" si="135"/>
        <v/>
      </c>
      <c r="N280" s="43" t="str">
        <f t="shared" si="135"/>
        <v/>
      </c>
      <c r="O280" s="43" t="str">
        <f t="shared" si="135"/>
        <v/>
      </c>
      <c r="P280" s="43" t="str">
        <f t="shared" si="135"/>
        <v/>
      </c>
      <c r="Q280" s="43" t="str">
        <f t="shared" si="135"/>
        <v/>
      </c>
      <c r="R280" s="43" t="str">
        <f t="shared" si="136"/>
        <v/>
      </c>
      <c r="S280" s="43" t="str">
        <f t="shared" si="136"/>
        <v/>
      </c>
      <c r="T280" s="43" t="str">
        <f t="shared" si="136"/>
        <v/>
      </c>
      <c r="U280" s="43" t="str">
        <f t="shared" si="136"/>
        <v/>
      </c>
      <c r="V280" s="43" t="str">
        <f t="shared" si="136"/>
        <v/>
      </c>
      <c r="W280" s="43" t="str">
        <f t="shared" si="136"/>
        <v/>
      </c>
      <c r="X280" s="43" t="str">
        <f t="shared" si="136"/>
        <v/>
      </c>
      <c r="Y280" s="43" t="str">
        <f t="shared" si="136"/>
        <v/>
      </c>
      <c r="Z280" s="43" t="str">
        <f t="shared" si="136"/>
        <v/>
      </c>
      <c r="AA280" s="43" t="str">
        <f t="shared" si="136"/>
        <v/>
      </c>
      <c r="AB280" s="43" t="str">
        <f t="shared" si="137"/>
        <v/>
      </c>
      <c r="AC280" s="43" t="str">
        <f t="shared" si="137"/>
        <v/>
      </c>
      <c r="AD280" s="43" t="str">
        <f t="shared" si="137"/>
        <v/>
      </c>
      <c r="AE280" s="43" t="str">
        <f t="shared" si="137"/>
        <v/>
      </c>
      <c r="AF280" s="43" t="str">
        <f t="shared" si="137"/>
        <v/>
      </c>
      <c r="AG280" s="43" t="str">
        <f t="shared" si="137"/>
        <v/>
      </c>
      <c r="AH280" s="43" t="str">
        <f t="shared" si="137"/>
        <v/>
      </c>
      <c r="AI280" s="43" t="str">
        <f t="shared" si="137"/>
        <v/>
      </c>
      <c r="AJ280" s="43" t="str">
        <f t="shared" si="137"/>
        <v/>
      </c>
      <c r="AK280" s="43" t="str">
        <f t="shared" si="137"/>
        <v/>
      </c>
      <c r="AL280" s="43" t="str">
        <f t="shared" si="138"/>
        <v/>
      </c>
      <c r="AM280" s="43" t="str">
        <f t="shared" si="138"/>
        <v/>
      </c>
      <c r="AN280" s="43" t="str">
        <f t="shared" si="138"/>
        <v/>
      </c>
      <c r="AO280" s="43" t="str">
        <f t="shared" si="138"/>
        <v/>
      </c>
      <c r="AP280" s="43" t="str">
        <f t="shared" si="138"/>
        <v/>
      </c>
      <c r="AQ280" s="43" t="str">
        <f t="shared" si="138"/>
        <v/>
      </c>
      <c r="AR280" s="43" t="str">
        <f t="shared" si="138"/>
        <v/>
      </c>
      <c r="AS280" s="43" t="str">
        <f t="shared" si="138"/>
        <v/>
      </c>
      <c r="AT280" s="43" t="str">
        <f t="shared" si="138"/>
        <v/>
      </c>
      <c r="AU280" s="43" t="str">
        <f t="shared" si="138"/>
        <v/>
      </c>
      <c r="AV280" s="43" t="str">
        <f t="shared" si="139"/>
        <v/>
      </c>
      <c r="AW280" s="43" t="str">
        <f t="shared" si="139"/>
        <v/>
      </c>
      <c r="AX280" s="43" t="str">
        <f t="shared" si="139"/>
        <v/>
      </c>
      <c r="AY280" s="43" t="str">
        <f t="shared" si="139"/>
        <v/>
      </c>
      <c r="AZ280" s="43" t="str">
        <f t="shared" si="139"/>
        <v/>
      </c>
      <c r="BA280" s="43" t="str">
        <f t="shared" si="139"/>
        <v/>
      </c>
      <c r="BB280" s="43"/>
      <c r="BC280" s="43"/>
      <c r="BD280" s="43"/>
      <c r="BE280" s="43"/>
      <c r="BF280" s="43"/>
      <c r="BG280" s="43"/>
      <c r="BW280" s="1250"/>
    </row>
    <row r="281" spans="1:75" x14ac:dyDescent="0.25">
      <c r="A281" s="1251"/>
      <c r="B281" s="462">
        <v>275</v>
      </c>
      <c r="C281" s="462"/>
      <c r="D281" s="1244"/>
      <c r="E281" s="1050"/>
      <c r="F281" s="1244"/>
      <c r="H281" s="43" t="str">
        <f t="shared" si="135"/>
        <v/>
      </c>
      <c r="I281" s="43" t="str">
        <f t="shared" si="135"/>
        <v/>
      </c>
      <c r="J281" s="43" t="str">
        <f t="shared" si="135"/>
        <v/>
      </c>
      <c r="K281" s="43" t="str">
        <f t="shared" si="135"/>
        <v/>
      </c>
      <c r="L281" s="43" t="str">
        <f t="shared" si="135"/>
        <v/>
      </c>
      <c r="M281" s="43" t="str">
        <f t="shared" si="135"/>
        <v/>
      </c>
      <c r="N281" s="43" t="str">
        <f t="shared" si="135"/>
        <v/>
      </c>
      <c r="O281" s="43" t="str">
        <f t="shared" si="135"/>
        <v/>
      </c>
      <c r="P281" s="43" t="str">
        <f t="shared" si="135"/>
        <v/>
      </c>
      <c r="Q281" s="43" t="str">
        <f t="shared" si="135"/>
        <v/>
      </c>
      <c r="R281" s="43" t="str">
        <f t="shared" si="136"/>
        <v/>
      </c>
      <c r="S281" s="43" t="str">
        <f t="shared" si="136"/>
        <v/>
      </c>
      <c r="T281" s="43" t="str">
        <f t="shared" si="136"/>
        <v/>
      </c>
      <c r="U281" s="43" t="str">
        <f t="shared" si="136"/>
        <v/>
      </c>
      <c r="V281" s="43" t="str">
        <f t="shared" si="136"/>
        <v/>
      </c>
      <c r="W281" s="43" t="str">
        <f t="shared" si="136"/>
        <v/>
      </c>
      <c r="X281" s="43" t="str">
        <f t="shared" si="136"/>
        <v/>
      </c>
      <c r="Y281" s="43" t="str">
        <f t="shared" si="136"/>
        <v/>
      </c>
      <c r="Z281" s="43" t="str">
        <f t="shared" si="136"/>
        <v/>
      </c>
      <c r="AA281" s="43" t="str">
        <f t="shared" si="136"/>
        <v/>
      </c>
      <c r="AB281" s="43" t="str">
        <f t="shared" si="137"/>
        <v/>
      </c>
      <c r="AC281" s="43" t="str">
        <f t="shared" si="137"/>
        <v/>
      </c>
      <c r="AD281" s="43" t="str">
        <f t="shared" si="137"/>
        <v/>
      </c>
      <c r="AE281" s="43" t="str">
        <f t="shared" si="137"/>
        <v/>
      </c>
      <c r="AF281" s="43" t="str">
        <f t="shared" si="137"/>
        <v/>
      </c>
      <c r="AG281" s="43" t="str">
        <f t="shared" si="137"/>
        <v/>
      </c>
      <c r="AH281" s="43" t="str">
        <f t="shared" si="137"/>
        <v/>
      </c>
      <c r="AI281" s="43" t="str">
        <f t="shared" si="137"/>
        <v/>
      </c>
      <c r="AJ281" s="43" t="str">
        <f t="shared" si="137"/>
        <v/>
      </c>
      <c r="AK281" s="43" t="str">
        <f t="shared" si="137"/>
        <v/>
      </c>
      <c r="AL281" s="43" t="str">
        <f t="shared" si="138"/>
        <v/>
      </c>
      <c r="AM281" s="43" t="str">
        <f t="shared" si="138"/>
        <v/>
      </c>
      <c r="AN281" s="43" t="str">
        <f t="shared" si="138"/>
        <v/>
      </c>
      <c r="AO281" s="43" t="str">
        <f t="shared" si="138"/>
        <v/>
      </c>
      <c r="AP281" s="43" t="str">
        <f t="shared" si="138"/>
        <v/>
      </c>
      <c r="AQ281" s="43" t="str">
        <f t="shared" si="138"/>
        <v/>
      </c>
      <c r="AR281" s="43" t="str">
        <f t="shared" si="138"/>
        <v/>
      </c>
      <c r="AS281" s="43" t="str">
        <f t="shared" si="138"/>
        <v/>
      </c>
      <c r="AT281" s="43" t="str">
        <f t="shared" si="138"/>
        <v/>
      </c>
      <c r="AU281" s="43" t="str">
        <f t="shared" si="138"/>
        <v/>
      </c>
      <c r="AV281" s="43" t="str">
        <f t="shared" si="139"/>
        <v/>
      </c>
      <c r="AW281" s="43" t="str">
        <f t="shared" si="139"/>
        <v/>
      </c>
      <c r="AX281" s="43" t="str">
        <f t="shared" si="139"/>
        <v/>
      </c>
      <c r="AY281" s="43" t="str">
        <f t="shared" si="139"/>
        <v/>
      </c>
      <c r="AZ281" s="43" t="str">
        <f t="shared" si="139"/>
        <v/>
      </c>
      <c r="BA281" s="43" t="str">
        <f t="shared" si="139"/>
        <v/>
      </c>
      <c r="BB281" s="43"/>
      <c r="BC281" s="43"/>
      <c r="BD281" s="43"/>
      <c r="BE281" s="43"/>
      <c r="BF281" s="43"/>
      <c r="BG281" s="43"/>
      <c r="BW281" s="1250"/>
    </row>
    <row r="282" spans="1:75" x14ac:dyDescent="0.25">
      <c r="A282" s="1251"/>
      <c r="B282" s="462">
        <v>276</v>
      </c>
      <c r="C282" s="462"/>
      <c r="D282" s="1244"/>
      <c r="E282" s="1050"/>
      <c r="F282" s="1244"/>
      <c r="H282" s="43" t="str">
        <f t="shared" si="135"/>
        <v/>
      </c>
      <c r="I282" s="43" t="str">
        <f t="shared" si="135"/>
        <v/>
      </c>
      <c r="J282" s="43" t="str">
        <f t="shared" si="135"/>
        <v/>
      </c>
      <c r="K282" s="43" t="str">
        <f t="shared" si="135"/>
        <v/>
      </c>
      <c r="L282" s="43" t="str">
        <f t="shared" si="135"/>
        <v/>
      </c>
      <c r="M282" s="43" t="str">
        <f t="shared" si="135"/>
        <v/>
      </c>
      <c r="N282" s="43" t="str">
        <f t="shared" si="135"/>
        <v/>
      </c>
      <c r="O282" s="43" t="str">
        <f t="shared" si="135"/>
        <v/>
      </c>
      <c r="P282" s="43" t="str">
        <f t="shared" si="135"/>
        <v/>
      </c>
      <c r="Q282" s="43" t="str">
        <f t="shared" si="135"/>
        <v/>
      </c>
      <c r="R282" s="43" t="str">
        <f t="shared" si="136"/>
        <v/>
      </c>
      <c r="S282" s="43" t="str">
        <f t="shared" si="136"/>
        <v/>
      </c>
      <c r="T282" s="43" t="str">
        <f t="shared" si="136"/>
        <v/>
      </c>
      <c r="U282" s="43" t="str">
        <f t="shared" si="136"/>
        <v/>
      </c>
      <c r="V282" s="43" t="str">
        <f t="shared" si="136"/>
        <v/>
      </c>
      <c r="W282" s="43" t="str">
        <f t="shared" si="136"/>
        <v/>
      </c>
      <c r="X282" s="43" t="str">
        <f t="shared" si="136"/>
        <v/>
      </c>
      <c r="Y282" s="43" t="str">
        <f t="shared" si="136"/>
        <v/>
      </c>
      <c r="Z282" s="43" t="str">
        <f t="shared" si="136"/>
        <v/>
      </c>
      <c r="AA282" s="43" t="str">
        <f t="shared" si="136"/>
        <v/>
      </c>
      <c r="AB282" s="43" t="str">
        <f t="shared" si="137"/>
        <v/>
      </c>
      <c r="AC282" s="43" t="str">
        <f t="shared" si="137"/>
        <v/>
      </c>
      <c r="AD282" s="43" t="str">
        <f t="shared" si="137"/>
        <v/>
      </c>
      <c r="AE282" s="43" t="str">
        <f t="shared" si="137"/>
        <v/>
      </c>
      <c r="AF282" s="43" t="str">
        <f t="shared" si="137"/>
        <v/>
      </c>
      <c r="AG282" s="43" t="str">
        <f t="shared" si="137"/>
        <v/>
      </c>
      <c r="AH282" s="43" t="str">
        <f t="shared" si="137"/>
        <v/>
      </c>
      <c r="AI282" s="43" t="str">
        <f t="shared" si="137"/>
        <v/>
      </c>
      <c r="AJ282" s="43" t="str">
        <f t="shared" si="137"/>
        <v/>
      </c>
      <c r="AK282" s="43" t="str">
        <f t="shared" si="137"/>
        <v/>
      </c>
      <c r="AL282" s="43" t="str">
        <f t="shared" si="138"/>
        <v/>
      </c>
      <c r="AM282" s="43" t="str">
        <f t="shared" si="138"/>
        <v/>
      </c>
      <c r="AN282" s="43" t="str">
        <f t="shared" si="138"/>
        <v/>
      </c>
      <c r="AO282" s="43" t="str">
        <f t="shared" si="138"/>
        <v/>
      </c>
      <c r="AP282" s="43" t="str">
        <f t="shared" si="138"/>
        <v/>
      </c>
      <c r="AQ282" s="43" t="str">
        <f t="shared" si="138"/>
        <v/>
      </c>
      <c r="AR282" s="43" t="str">
        <f t="shared" si="138"/>
        <v/>
      </c>
      <c r="AS282" s="43" t="str">
        <f t="shared" si="138"/>
        <v/>
      </c>
      <c r="AT282" s="43" t="str">
        <f t="shared" si="138"/>
        <v/>
      </c>
      <c r="AU282" s="43" t="str">
        <f t="shared" si="138"/>
        <v/>
      </c>
      <c r="AV282" s="43" t="str">
        <f t="shared" si="139"/>
        <v/>
      </c>
      <c r="AW282" s="43" t="str">
        <f t="shared" si="139"/>
        <v/>
      </c>
      <c r="AX282" s="43" t="str">
        <f t="shared" si="139"/>
        <v/>
      </c>
      <c r="AY282" s="43" t="str">
        <f t="shared" si="139"/>
        <v/>
      </c>
      <c r="AZ282" s="43" t="str">
        <f t="shared" si="139"/>
        <v/>
      </c>
      <c r="BA282" s="43" t="str">
        <f t="shared" si="139"/>
        <v/>
      </c>
      <c r="BB282" s="43"/>
      <c r="BC282" s="43"/>
      <c r="BD282" s="43"/>
      <c r="BE282" s="43"/>
      <c r="BF282" s="43"/>
      <c r="BG282" s="43"/>
      <c r="BW282" s="1250"/>
    </row>
    <row r="283" spans="1:75" x14ac:dyDescent="0.25">
      <c r="A283" s="1251"/>
      <c r="B283" s="462">
        <v>277</v>
      </c>
      <c r="C283" s="462"/>
      <c r="D283" s="1244"/>
      <c r="E283" s="1050"/>
      <c r="F283" s="1244"/>
      <c r="H283" s="43" t="str">
        <f t="shared" si="135"/>
        <v/>
      </c>
      <c r="I283" s="43" t="str">
        <f t="shared" si="135"/>
        <v/>
      </c>
      <c r="J283" s="43" t="str">
        <f t="shared" si="135"/>
        <v/>
      </c>
      <c r="K283" s="43" t="str">
        <f t="shared" si="135"/>
        <v/>
      </c>
      <c r="L283" s="43" t="str">
        <f t="shared" si="135"/>
        <v/>
      </c>
      <c r="M283" s="43" t="str">
        <f t="shared" si="135"/>
        <v/>
      </c>
      <c r="N283" s="43" t="str">
        <f t="shared" si="135"/>
        <v/>
      </c>
      <c r="O283" s="43" t="str">
        <f t="shared" si="135"/>
        <v/>
      </c>
      <c r="P283" s="43" t="str">
        <f t="shared" si="135"/>
        <v/>
      </c>
      <c r="Q283" s="43" t="str">
        <f t="shared" si="135"/>
        <v/>
      </c>
      <c r="R283" s="43" t="str">
        <f t="shared" si="136"/>
        <v/>
      </c>
      <c r="S283" s="43" t="str">
        <f t="shared" si="136"/>
        <v/>
      </c>
      <c r="T283" s="43" t="str">
        <f t="shared" si="136"/>
        <v/>
      </c>
      <c r="U283" s="43" t="str">
        <f t="shared" si="136"/>
        <v/>
      </c>
      <c r="V283" s="43" t="str">
        <f t="shared" si="136"/>
        <v/>
      </c>
      <c r="W283" s="43" t="str">
        <f t="shared" si="136"/>
        <v/>
      </c>
      <c r="X283" s="43" t="str">
        <f t="shared" si="136"/>
        <v/>
      </c>
      <c r="Y283" s="43" t="str">
        <f t="shared" si="136"/>
        <v/>
      </c>
      <c r="Z283" s="43" t="str">
        <f t="shared" si="136"/>
        <v/>
      </c>
      <c r="AA283" s="43" t="str">
        <f t="shared" si="136"/>
        <v/>
      </c>
      <c r="AB283" s="43" t="str">
        <f t="shared" si="137"/>
        <v/>
      </c>
      <c r="AC283" s="43" t="str">
        <f t="shared" si="137"/>
        <v/>
      </c>
      <c r="AD283" s="43" t="str">
        <f t="shared" si="137"/>
        <v/>
      </c>
      <c r="AE283" s="43" t="str">
        <f t="shared" si="137"/>
        <v/>
      </c>
      <c r="AF283" s="43" t="str">
        <f t="shared" si="137"/>
        <v/>
      </c>
      <c r="AG283" s="43" t="str">
        <f t="shared" si="137"/>
        <v/>
      </c>
      <c r="AH283" s="43" t="str">
        <f t="shared" si="137"/>
        <v/>
      </c>
      <c r="AI283" s="43" t="str">
        <f t="shared" si="137"/>
        <v/>
      </c>
      <c r="AJ283" s="43" t="str">
        <f t="shared" si="137"/>
        <v/>
      </c>
      <c r="AK283" s="43" t="str">
        <f t="shared" si="137"/>
        <v/>
      </c>
      <c r="AL283" s="43" t="str">
        <f t="shared" si="138"/>
        <v/>
      </c>
      <c r="AM283" s="43" t="str">
        <f t="shared" si="138"/>
        <v/>
      </c>
      <c r="AN283" s="43" t="str">
        <f t="shared" si="138"/>
        <v/>
      </c>
      <c r="AO283" s="43" t="str">
        <f t="shared" si="138"/>
        <v/>
      </c>
      <c r="AP283" s="43" t="str">
        <f t="shared" si="138"/>
        <v/>
      </c>
      <c r="AQ283" s="43" t="str">
        <f t="shared" si="138"/>
        <v/>
      </c>
      <c r="AR283" s="43" t="str">
        <f t="shared" si="138"/>
        <v/>
      </c>
      <c r="AS283" s="43" t="str">
        <f t="shared" si="138"/>
        <v/>
      </c>
      <c r="AT283" s="43" t="str">
        <f t="shared" si="138"/>
        <v/>
      </c>
      <c r="AU283" s="43" t="str">
        <f t="shared" si="138"/>
        <v/>
      </c>
      <c r="AV283" s="43" t="str">
        <f t="shared" si="139"/>
        <v/>
      </c>
      <c r="AW283" s="43" t="str">
        <f t="shared" si="139"/>
        <v/>
      </c>
      <c r="AX283" s="43" t="str">
        <f t="shared" si="139"/>
        <v/>
      </c>
      <c r="AY283" s="43" t="str">
        <f t="shared" si="139"/>
        <v/>
      </c>
      <c r="AZ283" s="43" t="str">
        <f t="shared" si="139"/>
        <v/>
      </c>
      <c r="BA283" s="43" t="str">
        <f t="shared" si="139"/>
        <v/>
      </c>
      <c r="BB283" s="43"/>
      <c r="BC283" s="43"/>
      <c r="BD283" s="43"/>
      <c r="BE283" s="43"/>
      <c r="BF283" s="43"/>
      <c r="BG283" s="43"/>
      <c r="BW283" s="1250"/>
    </row>
    <row r="284" spans="1:75" x14ac:dyDescent="0.25">
      <c r="A284" s="1251"/>
      <c r="B284" s="462">
        <v>278</v>
      </c>
      <c r="C284" s="462"/>
      <c r="D284" s="1244"/>
      <c r="E284" s="1050"/>
      <c r="F284" s="1244"/>
      <c r="H284" s="43" t="str">
        <f t="shared" si="135"/>
        <v/>
      </c>
      <c r="I284" s="43" t="str">
        <f t="shared" si="135"/>
        <v/>
      </c>
      <c r="J284" s="43" t="str">
        <f t="shared" si="135"/>
        <v/>
      </c>
      <c r="K284" s="43" t="str">
        <f t="shared" si="135"/>
        <v/>
      </c>
      <c r="L284" s="43" t="str">
        <f t="shared" si="135"/>
        <v/>
      </c>
      <c r="M284" s="43" t="str">
        <f t="shared" si="135"/>
        <v/>
      </c>
      <c r="N284" s="43" t="str">
        <f t="shared" si="135"/>
        <v/>
      </c>
      <c r="O284" s="43" t="str">
        <f t="shared" si="135"/>
        <v/>
      </c>
      <c r="P284" s="43" t="str">
        <f t="shared" si="135"/>
        <v/>
      </c>
      <c r="Q284" s="43" t="str">
        <f t="shared" si="135"/>
        <v/>
      </c>
      <c r="R284" s="43" t="str">
        <f t="shared" si="136"/>
        <v/>
      </c>
      <c r="S284" s="43" t="str">
        <f t="shared" si="136"/>
        <v/>
      </c>
      <c r="T284" s="43" t="str">
        <f t="shared" si="136"/>
        <v/>
      </c>
      <c r="U284" s="43" t="str">
        <f t="shared" si="136"/>
        <v/>
      </c>
      <c r="V284" s="43" t="str">
        <f t="shared" si="136"/>
        <v/>
      </c>
      <c r="W284" s="43" t="str">
        <f t="shared" si="136"/>
        <v/>
      </c>
      <c r="X284" s="43" t="str">
        <f t="shared" si="136"/>
        <v/>
      </c>
      <c r="Y284" s="43" t="str">
        <f t="shared" si="136"/>
        <v/>
      </c>
      <c r="Z284" s="43" t="str">
        <f t="shared" si="136"/>
        <v/>
      </c>
      <c r="AA284" s="43" t="str">
        <f t="shared" si="136"/>
        <v/>
      </c>
      <c r="AB284" s="43" t="str">
        <f t="shared" si="137"/>
        <v/>
      </c>
      <c r="AC284" s="43" t="str">
        <f t="shared" si="137"/>
        <v/>
      </c>
      <c r="AD284" s="43" t="str">
        <f t="shared" si="137"/>
        <v/>
      </c>
      <c r="AE284" s="43" t="str">
        <f t="shared" si="137"/>
        <v/>
      </c>
      <c r="AF284" s="43" t="str">
        <f t="shared" si="137"/>
        <v/>
      </c>
      <c r="AG284" s="43" t="str">
        <f t="shared" si="137"/>
        <v/>
      </c>
      <c r="AH284" s="43" t="str">
        <f t="shared" si="137"/>
        <v/>
      </c>
      <c r="AI284" s="43" t="str">
        <f t="shared" si="137"/>
        <v/>
      </c>
      <c r="AJ284" s="43" t="str">
        <f t="shared" si="137"/>
        <v/>
      </c>
      <c r="AK284" s="43" t="str">
        <f t="shared" si="137"/>
        <v/>
      </c>
      <c r="AL284" s="43" t="str">
        <f t="shared" si="138"/>
        <v/>
      </c>
      <c r="AM284" s="43" t="str">
        <f t="shared" si="138"/>
        <v/>
      </c>
      <c r="AN284" s="43" t="str">
        <f t="shared" si="138"/>
        <v/>
      </c>
      <c r="AO284" s="43" t="str">
        <f t="shared" si="138"/>
        <v/>
      </c>
      <c r="AP284" s="43" t="str">
        <f t="shared" si="138"/>
        <v/>
      </c>
      <c r="AQ284" s="43" t="str">
        <f t="shared" si="138"/>
        <v/>
      </c>
      <c r="AR284" s="43" t="str">
        <f t="shared" si="138"/>
        <v/>
      </c>
      <c r="AS284" s="43" t="str">
        <f t="shared" si="138"/>
        <v/>
      </c>
      <c r="AT284" s="43" t="str">
        <f t="shared" si="138"/>
        <v/>
      </c>
      <c r="AU284" s="43" t="str">
        <f t="shared" si="138"/>
        <v/>
      </c>
      <c r="AV284" s="43" t="str">
        <f t="shared" si="139"/>
        <v/>
      </c>
      <c r="AW284" s="43" t="str">
        <f t="shared" si="139"/>
        <v/>
      </c>
      <c r="AX284" s="43" t="str">
        <f t="shared" si="139"/>
        <v/>
      </c>
      <c r="AY284" s="43" t="str">
        <f t="shared" si="139"/>
        <v/>
      </c>
      <c r="AZ284" s="43" t="str">
        <f t="shared" si="139"/>
        <v/>
      </c>
      <c r="BA284" s="43" t="str">
        <f t="shared" si="139"/>
        <v/>
      </c>
      <c r="BB284" s="43"/>
      <c r="BC284" s="43"/>
      <c r="BD284" s="43"/>
      <c r="BE284" s="43"/>
      <c r="BF284" s="43"/>
      <c r="BG284" s="43"/>
      <c r="BW284" s="1250"/>
    </row>
    <row r="285" spans="1:75" x14ac:dyDescent="0.25">
      <c r="A285" s="1251"/>
      <c r="B285" s="462">
        <v>279</v>
      </c>
      <c r="C285" s="462"/>
      <c r="D285" s="1244"/>
      <c r="E285" s="1050"/>
      <c r="F285" s="1244"/>
      <c r="H285" s="43" t="str">
        <f t="shared" si="135"/>
        <v/>
      </c>
      <c r="I285" s="43" t="str">
        <f t="shared" si="135"/>
        <v/>
      </c>
      <c r="J285" s="43" t="str">
        <f t="shared" si="135"/>
        <v/>
      </c>
      <c r="K285" s="43" t="str">
        <f t="shared" si="135"/>
        <v/>
      </c>
      <c r="L285" s="43" t="str">
        <f t="shared" si="135"/>
        <v/>
      </c>
      <c r="M285" s="43" t="str">
        <f t="shared" si="135"/>
        <v/>
      </c>
      <c r="N285" s="43" t="str">
        <f t="shared" si="135"/>
        <v/>
      </c>
      <c r="O285" s="43" t="str">
        <f t="shared" si="135"/>
        <v/>
      </c>
      <c r="P285" s="43" t="str">
        <f t="shared" si="135"/>
        <v/>
      </c>
      <c r="Q285" s="43" t="str">
        <f t="shared" si="135"/>
        <v/>
      </c>
      <c r="R285" s="43" t="str">
        <f t="shared" si="136"/>
        <v/>
      </c>
      <c r="S285" s="43" t="str">
        <f t="shared" si="136"/>
        <v/>
      </c>
      <c r="T285" s="43" t="str">
        <f t="shared" si="136"/>
        <v/>
      </c>
      <c r="U285" s="43" t="str">
        <f t="shared" si="136"/>
        <v/>
      </c>
      <c r="V285" s="43" t="str">
        <f t="shared" si="136"/>
        <v/>
      </c>
      <c r="W285" s="43" t="str">
        <f t="shared" si="136"/>
        <v/>
      </c>
      <c r="X285" s="43" t="str">
        <f t="shared" si="136"/>
        <v/>
      </c>
      <c r="Y285" s="43" t="str">
        <f t="shared" si="136"/>
        <v/>
      </c>
      <c r="Z285" s="43" t="str">
        <f t="shared" si="136"/>
        <v/>
      </c>
      <c r="AA285" s="43" t="str">
        <f t="shared" si="136"/>
        <v/>
      </c>
      <c r="AB285" s="43" t="str">
        <f t="shared" si="137"/>
        <v/>
      </c>
      <c r="AC285" s="43" t="str">
        <f t="shared" si="137"/>
        <v/>
      </c>
      <c r="AD285" s="43" t="str">
        <f t="shared" si="137"/>
        <v/>
      </c>
      <c r="AE285" s="43" t="str">
        <f t="shared" si="137"/>
        <v/>
      </c>
      <c r="AF285" s="43" t="str">
        <f t="shared" si="137"/>
        <v/>
      </c>
      <c r="AG285" s="43" t="str">
        <f t="shared" si="137"/>
        <v/>
      </c>
      <c r="AH285" s="43" t="str">
        <f t="shared" si="137"/>
        <v/>
      </c>
      <c r="AI285" s="43" t="str">
        <f t="shared" si="137"/>
        <v/>
      </c>
      <c r="AJ285" s="43" t="str">
        <f t="shared" si="137"/>
        <v/>
      </c>
      <c r="AK285" s="43" t="str">
        <f t="shared" si="137"/>
        <v/>
      </c>
      <c r="AL285" s="43" t="str">
        <f t="shared" si="138"/>
        <v/>
      </c>
      <c r="AM285" s="43" t="str">
        <f t="shared" si="138"/>
        <v/>
      </c>
      <c r="AN285" s="43" t="str">
        <f t="shared" si="138"/>
        <v/>
      </c>
      <c r="AO285" s="43" t="str">
        <f t="shared" si="138"/>
        <v/>
      </c>
      <c r="AP285" s="43" t="str">
        <f t="shared" si="138"/>
        <v/>
      </c>
      <c r="AQ285" s="43" t="str">
        <f t="shared" si="138"/>
        <v/>
      </c>
      <c r="AR285" s="43" t="str">
        <f t="shared" si="138"/>
        <v/>
      </c>
      <c r="AS285" s="43" t="str">
        <f t="shared" si="138"/>
        <v/>
      </c>
      <c r="AT285" s="43" t="str">
        <f t="shared" si="138"/>
        <v/>
      </c>
      <c r="AU285" s="43" t="str">
        <f t="shared" si="138"/>
        <v/>
      </c>
      <c r="AV285" s="43" t="str">
        <f t="shared" si="139"/>
        <v/>
      </c>
      <c r="AW285" s="43" t="str">
        <f t="shared" si="139"/>
        <v/>
      </c>
      <c r="AX285" s="43" t="str">
        <f t="shared" si="139"/>
        <v/>
      </c>
      <c r="AY285" s="43" t="str">
        <f t="shared" si="139"/>
        <v/>
      </c>
      <c r="AZ285" s="43" t="str">
        <f t="shared" si="139"/>
        <v/>
      </c>
      <c r="BA285" s="43" t="str">
        <f t="shared" si="139"/>
        <v/>
      </c>
      <c r="BB285" s="43"/>
      <c r="BC285" s="43"/>
      <c r="BD285" s="43"/>
      <c r="BE285" s="43"/>
      <c r="BF285" s="43"/>
      <c r="BG285" s="43"/>
      <c r="BW285" s="1250"/>
    </row>
    <row r="286" spans="1:75" x14ac:dyDescent="0.25">
      <c r="A286" s="1251"/>
      <c r="B286" s="462">
        <v>280</v>
      </c>
      <c r="C286" s="462"/>
      <c r="D286" s="1244"/>
      <c r="E286" s="1050"/>
      <c r="F286" s="1244"/>
      <c r="H286" s="43" t="str">
        <f t="shared" si="135"/>
        <v/>
      </c>
      <c r="I286" s="43" t="str">
        <f t="shared" si="135"/>
        <v/>
      </c>
      <c r="J286" s="43" t="str">
        <f t="shared" si="135"/>
        <v/>
      </c>
      <c r="K286" s="43" t="str">
        <f t="shared" si="135"/>
        <v/>
      </c>
      <c r="L286" s="43" t="str">
        <f t="shared" si="135"/>
        <v/>
      </c>
      <c r="M286" s="43" t="str">
        <f t="shared" si="135"/>
        <v/>
      </c>
      <c r="N286" s="43" t="str">
        <f t="shared" si="135"/>
        <v/>
      </c>
      <c r="O286" s="43" t="str">
        <f t="shared" si="135"/>
        <v/>
      </c>
      <c r="P286" s="43" t="str">
        <f t="shared" si="135"/>
        <v/>
      </c>
      <c r="Q286" s="43" t="str">
        <f t="shared" si="135"/>
        <v/>
      </c>
      <c r="R286" s="43" t="str">
        <f t="shared" si="136"/>
        <v/>
      </c>
      <c r="S286" s="43" t="str">
        <f t="shared" si="136"/>
        <v/>
      </c>
      <c r="T286" s="43" t="str">
        <f t="shared" si="136"/>
        <v/>
      </c>
      <c r="U286" s="43" t="str">
        <f t="shared" si="136"/>
        <v/>
      </c>
      <c r="V286" s="43" t="str">
        <f t="shared" si="136"/>
        <v/>
      </c>
      <c r="W286" s="43" t="str">
        <f t="shared" si="136"/>
        <v/>
      </c>
      <c r="X286" s="43" t="str">
        <f t="shared" si="136"/>
        <v/>
      </c>
      <c r="Y286" s="43" t="str">
        <f t="shared" si="136"/>
        <v/>
      </c>
      <c r="Z286" s="43" t="str">
        <f t="shared" si="136"/>
        <v/>
      </c>
      <c r="AA286" s="43" t="str">
        <f t="shared" si="136"/>
        <v/>
      </c>
      <c r="AB286" s="43" t="str">
        <f t="shared" si="137"/>
        <v/>
      </c>
      <c r="AC286" s="43" t="str">
        <f t="shared" si="137"/>
        <v/>
      </c>
      <c r="AD286" s="43" t="str">
        <f t="shared" si="137"/>
        <v/>
      </c>
      <c r="AE286" s="43" t="str">
        <f t="shared" si="137"/>
        <v/>
      </c>
      <c r="AF286" s="43" t="str">
        <f t="shared" si="137"/>
        <v/>
      </c>
      <c r="AG286" s="43" t="str">
        <f t="shared" si="137"/>
        <v/>
      </c>
      <c r="AH286" s="43" t="str">
        <f t="shared" si="137"/>
        <v/>
      </c>
      <c r="AI286" s="43" t="str">
        <f t="shared" si="137"/>
        <v/>
      </c>
      <c r="AJ286" s="43" t="str">
        <f t="shared" si="137"/>
        <v/>
      </c>
      <c r="AK286" s="43" t="str">
        <f t="shared" si="137"/>
        <v/>
      </c>
      <c r="AL286" s="43" t="str">
        <f t="shared" si="138"/>
        <v/>
      </c>
      <c r="AM286" s="43" t="str">
        <f t="shared" si="138"/>
        <v/>
      </c>
      <c r="AN286" s="43" t="str">
        <f t="shared" si="138"/>
        <v/>
      </c>
      <c r="AO286" s="43" t="str">
        <f t="shared" si="138"/>
        <v/>
      </c>
      <c r="AP286" s="43" t="str">
        <f t="shared" si="138"/>
        <v/>
      </c>
      <c r="AQ286" s="43" t="str">
        <f t="shared" si="138"/>
        <v/>
      </c>
      <c r="AR286" s="43" t="str">
        <f t="shared" si="138"/>
        <v/>
      </c>
      <c r="AS286" s="43" t="str">
        <f t="shared" si="138"/>
        <v/>
      </c>
      <c r="AT286" s="43" t="str">
        <f t="shared" si="138"/>
        <v/>
      </c>
      <c r="AU286" s="43" t="str">
        <f t="shared" si="138"/>
        <v/>
      </c>
      <c r="AV286" s="43" t="str">
        <f t="shared" si="139"/>
        <v/>
      </c>
      <c r="AW286" s="43" t="str">
        <f t="shared" si="139"/>
        <v/>
      </c>
      <c r="AX286" s="43" t="str">
        <f t="shared" si="139"/>
        <v/>
      </c>
      <c r="AY286" s="43" t="str">
        <f t="shared" si="139"/>
        <v/>
      </c>
      <c r="AZ286" s="43" t="str">
        <f t="shared" si="139"/>
        <v/>
      </c>
      <c r="BA286" s="43" t="str">
        <f t="shared" si="139"/>
        <v/>
      </c>
      <c r="BB286" s="43"/>
      <c r="BC286" s="43"/>
      <c r="BD286" s="43"/>
      <c r="BE286" s="43"/>
      <c r="BF286" s="43"/>
      <c r="BG286" s="43"/>
      <c r="BW286" s="1250"/>
    </row>
    <row r="287" spans="1:75" x14ac:dyDescent="0.25">
      <c r="A287" s="1251"/>
      <c r="B287" s="462">
        <v>281</v>
      </c>
      <c r="C287" s="462"/>
      <c r="D287" s="1244"/>
      <c r="E287" s="1050"/>
      <c r="F287" s="1244"/>
      <c r="H287" s="43" t="str">
        <f t="shared" ref="H287:Q296" si="140">IF($D287=H$6,$B287&amp;", ","")</f>
        <v/>
      </c>
      <c r="I287" s="43" t="str">
        <f t="shared" si="140"/>
        <v/>
      </c>
      <c r="J287" s="43" t="str">
        <f t="shared" si="140"/>
        <v/>
      </c>
      <c r="K287" s="43" t="str">
        <f t="shared" si="140"/>
        <v/>
      </c>
      <c r="L287" s="43" t="str">
        <f t="shared" si="140"/>
        <v/>
      </c>
      <c r="M287" s="43" t="str">
        <f t="shared" si="140"/>
        <v/>
      </c>
      <c r="N287" s="43" t="str">
        <f t="shared" si="140"/>
        <v/>
      </c>
      <c r="O287" s="43" t="str">
        <f t="shared" si="140"/>
        <v/>
      </c>
      <c r="P287" s="43" t="str">
        <f t="shared" si="140"/>
        <v/>
      </c>
      <c r="Q287" s="43" t="str">
        <f t="shared" si="140"/>
        <v/>
      </c>
      <c r="R287" s="43" t="str">
        <f t="shared" ref="R287:AA296" si="141">IF($D287=R$6,$B287&amp;", ","")</f>
        <v/>
      </c>
      <c r="S287" s="43" t="str">
        <f t="shared" si="141"/>
        <v/>
      </c>
      <c r="T287" s="43" t="str">
        <f t="shared" si="141"/>
        <v/>
      </c>
      <c r="U287" s="43" t="str">
        <f t="shared" si="141"/>
        <v/>
      </c>
      <c r="V287" s="43" t="str">
        <f t="shared" si="141"/>
        <v/>
      </c>
      <c r="W287" s="43" t="str">
        <f t="shared" si="141"/>
        <v/>
      </c>
      <c r="X287" s="43" t="str">
        <f t="shared" si="141"/>
        <v/>
      </c>
      <c r="Y287" s="43" t="str">
        <f t="shared" si="141"/>
        <v/>
      </c>
      <c r="Z287" s="43" t="str">
        <f t="shared" si="141"/>
        <v/>
      </c>
      <c r="AA287" s="43" t="str">
        <f t="shared" si="141"/>
        <v/>
      </c>
      <c r="AB287" s="43" t="str">
        <f t="shared" ref="AB287:AK296" si="142">IF($D287=AB$6,$B287&amp;", ","")</f>
        <v/>
      </c>
      <c r="AC287" s="43" t="str">
        <f t="shared" si="142"/>
        <v/>
      </c>
      <c r="AD287" s="43" t="str">
        <f t="shared" si="142"/>
        <v/>
      </c>
      <c r="AE287" s="43" t="str">
        <f t="shared" si="142"/>
        <v/>
      </c>
      <c r="AF287" s="43" t="str">
        <f t="shared" si="142"/>
        <v/>
      </c>
      <c r="AG287" s="43" t="str">
        <f t="shared" si="142"/>
        <v/>
      </c>
      <c r="AH287" s="43" t="str">
        <f t="shared" si="142"/>
        <v/>
      </c>
      <c r="AI287" s="43" t="str">
        <f t="shared" si="142"/>
        <v/>
      </c>
      <c r="AJ287" s="43" t="str">
        <f t="shared" si="142"/>
        <v/>
      </c>
      <c r="AK287" s="43" t="str">
        <f t="shared" si="142"/>
        <v/>
      </c>
      <c r="AL287" s="43" t="str">
        <f t="shared" ref="AL287:AU296" si="143">IF($D287=AL$6,$B287&amp;", ","")</f>
        <v/>
      </c>
      <c r="AM287" s="43" t="str">
        <f t="shared" si="143"/>
        <v/>
      </c>
      <c r="AN287" s="43" t="str">
        <f t="shared" si="143"/>
        <v/>
      </c>
      <c r="AO287" s="43" t="str">
        <f t="shared" si="143"/>
        <v/>
      </c>
      <c r="AP287" s="43" t="str">
        <f t="shared" si="143"/>
        <v/>
      </c>
      <c r="AQ287" s="43" t="str">
        <f t="shared" si="143"/>
        <v/>
      </c>
      <c r="AR287" s="43" t="str">
        <f t="shared" si="143"/>
        <v/>
      </c>
      <c r="AS287" s="43" t="str">
        <f t="shared" si="143"/>
        <v/>
      </c>
      <c r="AT287" s="43" t="str">
        <f t="shared" si="143"/>
        <v/>
      </c>
      <c r="AU287" s="43" t="str">
        <f t="shared" si="143"/>
        <v/>
      </c>
      <c r="AV287" s="43" t="str">
        <f t="shared" ref="AV287:BA296" si="144">IF($D287=AV$6,$B287&amp;", ","")</f>
        <v/>
      </c>
      <c r="AW287" s="43" t="str">
        <f t="shared" si="144"/>
        <v/>
      </c>
      <c r="AX287" s="43" t="str">
        <f t="shared" si="144"/>
        <v/>
      </c>
      <c r="AY287" s="43" t="str">
        <f t="shared" si="144"/>
        <v/>
      </c>
      <c r="AZ287" s="43" t="str">
        <f t="shared" si="144"/>
        <v/>
      </c>
      <c r="BA287" s="43" t="str">
        <f t="shared" si="144"/>
        <v/>
      </c>
      <c r="BB287" s="43"/>
      <c r="BC287" s="43"/>
      <c r="BD287" s="43"/>
      <c r="BE287" s="43"/>
      <c r="BF287" s="43"/>
      <c r="BG287" s="43"/>
      <c r="BW287" s="1250"/>
    </row>
    <row r="288" spans="1:75" x14ac:dyDescent="0.25">
      <c r="A288" s="1251"/>
      <c r="B288" s="462">
        <v>282</v>
      </c>
      <c r="C288" s="462"/>
      <c r="D288" s="1244"/>
      <c r="E288" s="1050"/>
      <c r="F288" s="1244"/>
      <c r="H288" s="43" t="str">
        <f t="shared" si="140"/>
        <v/>
      </c>
      <c r="I288" s="43" t="str">
        <f t="shared" si="140"/>
        <v/>
      </c>
      <c r="J288" s="43" t="str">
        <f t="shared" si="140"/>
        <v/>
      </c>
      <c r="K288" s="43" t="str">
        <f t="shared" si="140"/>
        <v/>
      </c>
      <c r="L288" s="43" t="str">
        <f t="shared" si="140"/>
        <v/>
      </c>
      <c r="M288" s="43" t="str">
        <f t="shared" si="140"/>
        <v/>
      </c>
      <c r="N288" s="43" t="str">
        <f t="shared" si="140"/>
        <v/>
      </c>
      <c r="O288" s="43" t="str">
        <f t="shared" si="140"/>
        <v/>
      </c>
      <c r="P288" s="43" t="str">
        <f t="shared" si="140"/>
        <v/>
      </c>
      <c r="Q288" s="43" t="str">
        <f t="shared" si="140"/>
        <v/>
      </c>
      <c r="R288" s="43" t="str">
        <f t="shared" si="141"/>
        <v/>
      </c>
      <c r="S288" s="43" t="str">
        <f t="shared" si="141"/>
        <v/>
      </c>
      <c r="T288" s="43" t="str">
        <f t="shared" si="141"/>
        <v/>
      </c>
      <c r="U288" s="43" t="str">
        <f t="shared" si="141"/>
        <v/>
      </c>
      <c r="V288" s="43" t="str">
        <f t="shared" si="141"/>
        <v/>
      </c>
      <c r="W288" s="43" t="str">
        <f t="shared" si="141"/>
        <v/>
      </c>
      <c r="X288" s="43" t="str">
        <f t="shared" si="141"/>
        <v/>
      </c>
      <c r="Y288" s="43" t="str">
        <f t="shared" si="141"/>
        <v/>
      </c>
      <c r="Z288" s="43" t="str">
        <f t="shared" si="141"/>
        <v/>
      </c>
      <c r="AA288" s="43" t="str">
        <f t="shared" si="141"/>
        <v/>
      </c>
      <c r="AB288" s="43" t="str">
        <f t="shared" si="142"/>
        <v/>
      </c>
      <c r="AC288" s="43" t="str">
        <f t="shared" si="142"/>
        <v/>
      </c>
      <c r="AD288" s="43" t="str">
        <f t="shared" si="142"/>
        <v/>
      </c>
      <c r="AE288" s="43" t="str">
        <f t="shared" si="142"/>
        <v/>
      </c>
      <c r="AF288" s="43" t="str">
        <f t="shared" si="142"/>
        <v/>
      </c>
      <c r="AG288" s="43" t="str">
        <f t="shared" si="142"/>
        <v/>
      </c>
      <c r="AH288" s="43" t="str">
        <f t="shared" si="142"/>
        <v/>
      </c>
      <c r="AI288" s="43" t="str">
        <f t="shared" si="142"/>
        <v/>
      </c>
      <c r="AJ288" s="43" t="str">
        <f t="shared" si="142"/>
        <v/>
      </c>
      <c r="AK288" s="43" t="str">
        <f t="shared" si="142"/>
        <v/>
      </c>
      <c r="AL288" s="43" t="str">
        <f t="shared" si="143"/>
        <v/>
      </c>
      <c r="AM288" s="43" t="str">
        <f t="shared" si="143"/>
        <v/>
      </c>
      <c r="AN288" s="43" t="str">
        <f t="shared" si="143"/>
        <v/>
      </c>
      <c r="AO288" s="43" t="str">
        <f t="shared" si="143"/>
        <v/>
      </c>
      <c r="AP288" s="43" t="str">
        <f t="shared" si="143"/>
        <v/>
      </c>
      <c r="AQ288" s="43" t="str">
        <f t="shared" si="143"/>
        <v/>
      </c>
      <c r="AR288" s="43" t="str">
        <f t="shared" si="143"/>
        <v/>
      </c>
      <c r="AS288" s="43" t="str">
        <f t="shared" si="143"/>
        <v/>
      </c>
      <c r="AT288" s="43" t="str">
        <f t="shared" si="143"/>
        <v/>
      </c>
      <c r="AU288" s="43" t="str">
        <f t="shared" si="143"/>
        <v/>
      </c>
      <c r="AV288" s="43" t="str">
        <f t="shared" si="144"/>
        <v/>
      </c>
      <c r="AW288" s="43" t="str">
        <f t="shared" si="144"/>
        <v/>
      </c>
      <c r="AX288" s="43" t="str">
        <f t="shared" si="144"/>
        <v/>
      </c>
      <c r="AY288" s="43" t="str">
        <f t="shared" si="144"/>
        <v/>
      </c>
      <c r="AZ288" s="43" t="str">
        <f t="shared" si="144"/>
        <v/>
      </c>
      <c r="BA288" s="43" t="str">
        <f t="shared" si="144"/>
        <v/>
      </c>
      <c r="BB288" s="43"/>
      <c r="BC288" s="43"/>
      <c r="BD288" s="43"/>
      <c r="BE288" s="43"/>
      <c r="BF288" s="43"/>
      <c r="BG288" s="43"/>
      <c r="BW288" s="1250"/>
    </row>
    <row r="289" spans="1:75" x14ac:dyDescent="0.25">
      <c r="A289" s="1251"/>
      <c r="B289" s="462">
        <v>283</v>
      </c>
      <c r="C289" s="462"/>
      <c r="D289" s="1244"/>
      <c r="E289" s="1050"/>
      <c r="F289" s="1244"/>
      <c r="H289" s="43" t="str">
        <f t="shared" si="140"/>
        <v/>
      </c>
      <c r="I289" s="43" t="str">
        <f t="shared" si="140"/>
        <v/>
      </c>
      <c r="J289" s="43" t="str">
        <f t="shared" si="140"/>
        <v/>
      </c>
      <c r="K289" s="43" t="str">
        <f t="shared" si="140"/>
        <v/>
      </c>
      <c r="L289" s="43" t="str">
        <f t="shared" si="140"/>
        <v/>
      </c>
      <c r="M289" s="43" t="str">
        <f t="shared" si="140"/>
        <v/>
      </c>
      <c r="N289" s="43" t="str">
        <f t="shared" si="140"/>
        <v/>
      </c>
      <c r="O289" s="43" t="str">
        <f t="shared" si="140"/>
        <v/>
      </c>
      <c r="P289" s="43" t="str">
        <f t="shared" si="140"/>
        <v/>
      </c>
      <c r="Q289" s="43" t="str">
        <f t="shared" si="140"/>
        <v/>
      </c>
      <c r="R289" s="43" t="str">
        <f t="shared" si="141"/>
        <v/>
      </c>
      <c r="S289" s="43" t="str">
        <f t="shared" si="141"/>
        <v/>
      </c>
      <c r="T289" s="43" t="str">
        <f t="shared" si="141"/>
        <v/>
      </c>
      <c r="U289" s="43" t="str">
        <f t="shared" si="141"/>
        <v/>
      </c>
      <c r="V289" s="43" t="str">
        <f t="shared" si="141"/>
        <v/>
      </c>
      <c r="W289" s="43" t="str">
        <f t="shared" si="141"/>
        <v/>
      </c>
      <c r="X289" s="43" t="str">
        <f t="shared" si="141"/>
        <v/>
      </c>
      <c r="Y289" s="43" t="str">
        <f t="shared" si="141"/>
        <v/>
      </c>
      <c r="Z289" s="43" t="str">
        <f t="shared" si="141"/>
        <v/>
      </c>
      <c r="AA289" s="43" t="str">
        <f t="shared" si="141"/>
        <v/>
      </c>
      <c r="AB289" s="43" t="str">
        <f t="shared" si="142"/>
        <v/>
      </c>
      <c r="AC289" s="43" t="str">
        <f t="shared" si="142"/>
        <v/>
      </c>
      <c r="AD289" s="43" t="str">
        <f t="shared" si="142"/>
        <v/>
      </c>
      <c r="AE289" s="43" t="str">
        <f t="shared" si="142"/>
        <v/>
      </c>
      <c r="AF289" s="43" t="str">
        <f t="shared" si="142"/>
        <v/>
      </c>
      <c r="AG289" s="43" t="str">
        <f t="shared" si="142"/>
        <v/>
      </c>
      <c r="AH289" s="43" t="str">
        <f t="shared" si="142"/>
        <v/>
      </c>
      <c r="AI289" s="43" t="str">
        <f t="shared" si="142"/>
        <v/>
      </c>
      <c r="AJ289" s="43" t="str">
        <f t="shared" si="142"/>
        <v/>
      </c>
      <c r="AK289" s="43" t="str">
        <f t="shared" si="142"/>
        <v/>
      </c>
      <c r="AL289" s="43" t="str">
        <f t="shared" si="143"/>
        <v/>
      </c>
      <c r="AM289" s="43" t="str">
        <f t="shared" si="143"/>
        <v/>
      </c>
      <c r="AN289" s="43" t="str">
        <f t="shared" si="143"/>
        <v/>
      </c>
      <c r="AO289" s="43" t="str">
        <f t="shared" si="143"/>
        <v/>
      </c>
      <c r="AP289" s="43" t="str">
        <f t="shared" si="143"/>
        <v/>
      </c>
      <c r="AQ289" s="43" t="str">
        <f t="shared" si="143"/>
        <v/>
      </c>
      <c r="AR289" s="43" t="str">
        <f t="shared" si="143"/>
        <v/>
      </c>
      <c r="AS289" s="43" t="str">
        <f t="shared" si="143"/>
        <v/>
      </c>
      <c r="AT289" s="43" t="str">
        <f t="shared" si="143"/>
        <v/>
      </c>
      <c r="AU289" s="43" t="str">
        <f t="shared" si="143"/>
        <v/>
      </c>
      <c r="AV289" s="43" t="str">
        <f t="shared" si="144"/>
        <v/>
      </c>
      <c r="AW289" s="43" t="str">
        <f t="shared" si="144"/>
        <v/>
      </c>
      <c r="AX289" s="43" t="str">
        <f t="shared" si="144"/>
        <v/>
      </c>
      <c r="AY289" s="43" t="str">
        <f t="shared" si="144"/>
        <v/>
      </c>
      <c r="AZ289" s="43" t="str">
        <f t="shared" si="144"/>
        <v/>
      </c>
      <c r="BA289" s="43" t="str">
        <f t="shared" si="144"/>
        <v/>
      </c>
      <c r="BB289" s="43"/>
      <c r="BC289" s="43"/>
      <c r="BD289" s="43"/>
      <c r="BE289" s="43"/>
      <c r="BF289" s="43"/>
      <c r="BG289" s="43"/>
      <c r="BW289" s="1250"/>
    </row>
    <row r="290" spans="1:75" x14ac:dyDescent="0.25">
      <c r="A290" s="1251"/>
      <c r="B290" s="462">
        <v>284</v>
      </c>
      <c r="C290" s="462"/>
      <c r="D290" s="1244"/>
      <c r="E290" s="1050"/>
      <c r="F290" s="1244"/>
      <c r="H290" s="43" t="str">
        <f t="shared" si="140"/>
        <v/>
      </c>
      <c r="I290" s="43" t="str">
        <f t="shared" si="140"/>
        <v/>
      </c>
      <c r="J290" s="43" t="str">
        <f t="shared" si="140"/>
        <v/>
      </c>
      <c r="K290" s="43" t="str">
        <f t="shared" si="140"/>
        <v/>
      </c>
      <c r="L290" s="43" t="str">
        <f t="shared" si="140"/>
        <v/>
      </c>
      <c r="M290" s="43" t="str">
        <f t="shared" si="140"/>
        <v/>
      </c>
      <c r="N290" s="43" t="str">
        <f t="shared" si="140"/>
        <v/>
      </c>
      <c r="O290" s="43" t="str">
        <f t="shared" si="140"/>
        <v/>
      </c>
      <c r="P290" s="43" t="str">
        <f t="shared" si="140"/>
        <v/>
      </c>
      <c r="Q290" s="43" t="str">
        <f t="shared" si="140"/>
        <v/>
      </c>
      <c r="R290" s="43" t="str">
        <f t="shared" si="141"/>
        <v/>
      </c>
      <c r="S290" s="43" t="str">
        <f t="shared" si="141"/>
        <v/>
      </c>
      <c r="T290" s="43" t="str">
        <f t="shared" si="141"/>
        <v/>
      </c>
      <c r="U290" s="43" t="str">
        <f t="shared" si="141"/>
        <v/>
      </c>
      <c r="V290" s="43" t="str">
        <f t="shared" si="141"/>
        <v/>
      </c>
      <c r="W290" s="43" t="str">
        <f t="shared" si="141"/>
        <v/>
      </c>
      <c r="X290" s="43" t="str">
        <f t="shared" si="141"/>
        <v/>
      </c>
      <c r="Y290" s="43" t="str">
        <f t="shared" si="141"/>
        <v/>
      </c>
      <c r="Z290" s="43" t="str">
        <f t="shared" si="141"/>
        <v/>
      </c>
      <c r="AA290" s="43" t="str">
        <f t="shared" si="141"/>
        <v/>
      </c>
      <c r="AB290" s="43" t="str">
        <f t="shared" si="142"/>
        <v/>
      </c>
      <c r="AC290" s="43" t="str">
        <f t="shared" si="142"/>
        <v/>
      </c>
      <c r="AD290" s="43" t="str">
        <f t="shared" si="142"/>
        <v/>
      </c>
      <c r="AE290" s="43" t="str">
        <f t="shared" si="142"/>
        <v/>
      </c>
      <c r="AF290" s="43" t="str">
        <f t="shared" si="142"/>
        <v/>
      </c>
      <c r="AG290" s="43" t="str">
        <f t="shared" si="142"/>
        <v/>
      </c>
      <c r="AH290" s="43" t="str">
        <f t="shared" si="142"/>
        <v/>
      </c>
      <c r="AI290" s="43" t="str">
        <f t="shared" si="142"/>
        <v/>
      </c>
      <c r="AJ290" s="43" t="str">
        <f t="shared" si="142"/>
        <v/>
      </c>
      <c r="AK290" s="43" t="str">
        <f t="shared" si="142"/>
        <v/>
      </c>
      <c r="AL290" s="43" t="str">
        <f t="shared" si="143"/>
        <v/>
      </c>
      <c r="AM290" s="43" t="str">
        <f t="shared" si="143"/>
        <v/>
      </c>
      <c r="AN290" s="43" t="str">
        <f t="shared" si="143"/>
        <v/>
      </c>
      <c r="AO290" s="43" t="str">
        <f t="shared" si="143"/>
        <v/>
      </c>
      <c r="AP290" s="43" t="str">
        <f t="shared" si="143"/>
        <v/>
      </c>
      <c r="AQ290" s="43" t="str">
        <f t="shared" si="143"/>
        <v/>
      </c>
      <c r="AR290" s="43" t="str">
        <f t="shared" si="143"/>
        <v/>
      </c>
      <c r="AS290" s="43" t="str">
        <f t="shared" si="143"/>
        <v/>
      </c>
      <c r="AT290" s="43" t="str">
        <f t="shared" si="143"/>
        <v/>
      </c>
      <c r="AU290" s="43" t="str">
        <f t="shared" si="143"/>
        <v/>
      </c>
      <c r="AV290" s="43" t="str">
        <f t="shared" si="144"/>
        <v/>
      </c>
      <c r="AW290" s="43" t="str">
        <f t="shared" si="144"/>
        <v/>
      </c>
      <c r="AX290" s="43" t="str">
        <f t="shared" si="144"/>
        <v/>
      </c>
      <c r="AY290" s="43" t="str">
        <f t="shared" si="144"/>
        <v/>
      </c>
      <c r="AZ290" s="43" t="str">
        <f t="shared" si="144"/>
        <v/>
      </c>
      <c r="BA290" s="43" t="str">
        <f t="shared" si="144"/>
        <v/>
      </c>
      <c r="BB290" s="43"/>
      <c r="BC290" s="43"/>
      <c r="BD290" s="43"/>
      <c r="BE290" s="43"/>
      <c r="BF290" s="43"/>
      <c r="BG290" s="43"/>
      <c r="BW290" s="1250"/>
    </row>
    <row r="291" spans="1:75" x14ac:dyDescent="0.25">
      <c r="A291" s="1251"/>
      <c r="B291" s="462">
        <v>285</v>
      </c>
      <c r="C291" s="462"/>
      <c r="D291" s="1244"/>
      <c r="E291" s="1050"/>
      <c r="F291" s="1244"/>
      <c r="H291" s="43" t="str">
        <f t="shared" si="140"/>
        <v/>
      </c>
      <c r="I291" s="43" t="str">
        <f t="shared" si="140"/>
        <v/>
      </c>
      <c r="J291" s="43" t="str">
        <f t="shared" si="140"/>
        <v/>
      </c>
      <c r="K291" s="43" t="str">
        <f t="shared" si="140"/>
        <v/>
      </c>
      <c r="L291" s="43" t="str">
        <f t="shared" si="140"/>
        <v/>
      </c>
      <c r="M291" s="43" t="str">
        <f t="shared" si="140"/>
        <v/>
      </c>
      <c r="N291" s="43" t="str">
        <f t="shared" si="140"/>
        <v/>
      </c>
      <c r="O291" s="43" t="str">
        <f t="shared" si="140"/>
        <v/>
      </c>
      <c r="P291" s="43" t="str">
        <f t="shared" si="140"/>
        <v/>
      </c>
      <c r="Q291" s="43" t="str">
        <f t="shared" si="140"/>
        <v/>
      </c>
      <c r="R291" s="43" t="str">
        <f t="shared" si="141"/>
        <v/>
      </c>
      <c r="S291" s="43" t="str">
        <f t="shared" si="141"/>
        <v/>
      </c>
      <c r="T291" s="43" t="str">
        <f t="shared" si="141"/>
        <v/>
      </c>
      <c r="U291" s="43" t="str">
        <f t="shared" si="141"/>
        <v/>
      </c>
      <c r="V291" s="43" t="str">
        <f t="shared" si="141"/>
        <v/>
      </c>
      <c r="W291" s="43" t="str">
        <f t="shared" si="141"/>
        <v/>
      </c>
      <c r="X291" s="43" t="str">
        <f t="shared" si="141"/>
        <v/>
      </c>
      <c r="Y291" s="43" t="str">
        <f t="shared" si="141"/>
        <v/>
      </c>
      <c r="Z291" s="43" t="str">
        <f t="shared" si="141"/>
        <v/>
      </c>
      <c r="AA291" s="43" t="str">
        <f t="shared" si="141"/>
        <v/>
      </c>
      <c r="AB291" s="43" t="str">
        <f t="shared" si="142"/>
        <v/>
      </c>
      <c r="AC291" s="43" t="str">
        <f t="shared" si="142"/>
        <v/>
      </c>
      <c r="AD291" s="43" t="str">
        <f t="shared" si="142"/>
        <v/>
      </c>
      <c r="AE291" s="43" t="str">
        <f t="shared" si="142"/>
        <v/>
      </c>
      <c r="AF291" s="43" t="str">
        <f t="shared" si="142"/>
        <v/>
      </c>
      <c r="AG291" s="43" t="str">
        <f t="shared" si="142"/>
        <v/>
      </c>
      <c r="AH291" s="43" t="str">
        <f t="shared" si="142"/>
        <v/>
      </c>
      <c r="AI291" s="43" t="str">
        <f t="shared" si="142"/>
        <v/>
      </c>
      <c r="AJ291" s="43" t="str">
        <f t="shared" si="142"/>
        <v/>
      </c>
      <c r="AK291" s="43" t="str">
        <f t="shared" si="142"/>
        <v/>
      </c>
      <c r="AL291" s="43" t="str">
        <f t="shared" si="143"/>
        <v/>
      </c>
      <c r="AM291" s="43" t="str">
        <f t="shared" si="143"/>
        <v/>
      </c>
      <c r="AN291" s="43" t="str">
        <f t="shared" si="143"/>
        <v/>
      </c>
      <c r="AO291" s="43" t="str">
        <f t="shared" si="143"/>
        <v/>
      </c>
      <c r="AP291" s="43" t="str">
        <f t="shared" si="143"/>
        <v/>
      </c>
      <c r="AQ291" s="43" t="str">
        <f t="shared" si="143"/>
        <v/>
      </c>
      <c r="AR291" s="43" t="str">
        <f t="shared" si="143"/>
        <v/>
      </c>
      <c r="AS291" s="43" t="str">
        <f t="shared" si="143"/>
        <v/>
      </c>
      <c r="AT291" s="43" t="str">
        <f t="shared" si="143"/>
        <v/>
      </c>
      <c r="AU291" s="43" t="str">
        <f t="shared" si="143"/>
        <v/>
      </c>
      <c r="AV291" s="43" t="str">
        <f t="shared" si="144"/>
        <v/>
      </c>
      <c r="AW291" s="43" t="str">
        <f t="shared" si="144"/>
        <v/>
      </c>
      <c r="AX291" s="43" t="str">
        <f t="shared" si="144"/>
        <v/>
      </c>
      <c r="AY291" s="43" t="str">
        <f t="shared" si="144"/>
        <v/>
      </c>
      <c r="AZ291" s="43" t="str">
        <f t="shared" si="144"/>
        <v/>
      </c>
      <c r="BA291" s="43" t="str">
        <f t="shared" si="144"/>
        <v/>
      </c>
      <c r="BB291" s="43"/>
      <c r="BC291" s="43"/>
      <c r="BD291" s="43"/>
      <c r="BE291" s="43"/>
      <c r="BF291" s="43"/>
      <c r="BG291" s="43"/>
      <c r="BW291" s="1250"/>
    </row>
    <row r="292" spans="1:75" x14ac:dyDescent="0.25">
      <c r="A292" s="1251"/>
      <c r="B292" s="462">
        <v>286</v>
      </c>
      <c r="C292" s="462"/>
      <c r="D292" s="1244"/>
      <c r="E292" s="1050"/>
      <c r="F292" s="1244"/>
      <c r="H292" s="43" t="str">
        <f t="shared" si="140"/>
        <v/>
      </c>
      <c r="I292" s="43" t="str">
        <f t="shared" si="140"/>
        <v/>
      </c>
      <c r="J292" s="43" t="str">
        <f t="shared" si="140"/>
        <v/>
      </c>
      <c r="K292" s="43" t="str">
        <f t="shared" si="140"/>
        <v/>
      </c>
      <c r="L292" s="43" t="str">
        <f t="shared" si="140"/>
        <v/>
      </c>
      <c r="M292" s="43" t="str">
        <f t="shared" si="140"/>
        <v/>
      </c>
      <c r="N292" s="43" t="str">
        <f t="shared" si="140"/>
        <v/>
      </c>
      <c r="O292" s="43" t="str">
        <f t="shared" si="140"/>
        <v/>
      </c>
      <c r="P292" s="43" t="str">
        <f t="shared" si="140"/>
        <v/>
      </c>
      <c r="Q292" s="43" t="str">
        <f t="shared" si="140"/>
        <v/>
      </c>
      <c r="R292" s="43" t="str">
        <f t="shared" si="141"/>
        <v/>
      </c>
      <c r="S292" s="43" t="str">
        <f t="shared" si="141"/>
        <v/>
      </c>
      <c r="T292" s="43" t="str">
        <f t="shared" si="141"/>
        <v/>
      </c>
      <c r="U292" s="43" t="str">
        <f t="shared" si="141"/>
        <v/>
      </c>
      <c r="V292" s="43" t="str">
        <f t="shared" si="141"/>
        <v/>
      </c>
      <c r="W292" s="43" t="str">
        <f t="shared" si="141"/>
        <v/>
      </c>
      <c r="X292" s="43" t="str">
        <f t="shared" si="141"/>
        <v/>
      </c>
      <c r="Y292" s="43" t="str">
        <f t="shared" si="141"/>
        <v/>
      </c>
      <c r="Z292" s="43" t="str">
        <f t="shared" si="141"/>
        <v/>
      </c>
      <c r="AA292" s="43" t="str">
        <f t="shared" si="141"/>
        <v/>
      </c>
      <c r="AB292" s="43" t="str">
        <f t="shared" si="142"/>
        <v/>
      </c>
      <c r="AC292" s="43" t="str">
        <f t="shared" si="142"/>
        <v/>
      </c>
      <c r="AD292" s="43" t="str">
        <f t="shared" si="142"/>
        <v/>
      </c>
      <c r="AE292" s="43" t="str">
        <f t="shared" si="142"/>
        <v/>
      </c>
      <c r="AF292" s="43" t="str">
        <f t="shared" si="142"/>
        <v/>
      </c>
      <c r="AG292" s="43" t="str">
        <f t="shared" si="142"/>
        <v/>
      </c>
      <c r="AH292" s="43" t="str">
        <f t="shared" si="142"/>
        <v/>
      </c>
      <c r="AI292" s="43" t="str">
        <f t="shared" si="142"/>
        <v/>
      </c>
      <c r="AJ292" s="43" t="str">
        <f t="shared" si="142"/>
        <v/>
      </c>
      <c r="AK292" s="43" t="str">
        <f t="shared" si="142"/>
        <v/>
      </c>
      <c r="AL292" s="43" t="str">
        <f t="shared" si="143"/>
        <v/>
      </c>
      <c r="AM292" s="43" t="str">
        <f t="shared" si="143"/>
        <v/>
      </c>
      <c r="AN292" s="43" t="str">
        <f t="shared" si="143"/>
        <v/>
      </c>
      <c r="AO292" s="43" t="str">
        <f t="shared" si="143"/>
        <v/>
      </c>
      <c r="AP292" s="43" t="str">
        <f t="shared" si="143"/>
        <v/>
      </c>
      <c r="AQ292" s="43" t="str">
        <f t="shared" si="143"/>
        <v/>
      </c>
      <c r="AR292" s="43" t="str">
        <f t="shared" si="143"/>
        <v/>
      </c>
      <c r="AS292" s="43" t="str">
        <f t="shared" si="143"/>
        <v/>
      </c>
      <c r="AT292" s="43" t="str">
        <f t="shared" si="143"/>
        <v/>
      </c>
      <c r="AU292" s="43" t="str">
        <f t="shared" si="143"/>
        <v/>
      </c>
      <c r="AV292" s="43" t="str">
        <f t="shared" si="144"/>
        <v/>
      </c>
      <c r="AW292" s="43" t="str">
        <f t="shared" si="144"/>
        <v/>
      </c>
      <c r="AX292" s="43" t="str">
        <f t="shared" si="144"/>
        <v/>
      </c>
      <c r="AY292" s="43" t="str">
        <f t="shared" si="144"/>
        <v/>
      </c>
      <c r="AZ292" s="43" t="str">
        <f t="shared" si="144"/>
        <v/>
      </c>
      <c r="BA292" s="43" t="str">
        <f t="shared" si="144"/>
        <v/>
      </c>
      <c r="BB292" s="43"/>
      <c r="BC292" s="43"/>
      <c r="BD292" s="43"/>
      <c r="BE292" s="43"/>
      <c r="BF292" s="43"/>
      <c r="BG292" s="43"/>
      <c r="BW292" s="1250"/>
    </row>
    <row r="293" spans="1:75" x14ac:dyDescent="0.25">
      <c r="A293" s="1251"/>
      <c r="B293" s="462">
        <v>287</v>
      </c>
      <c r="C293" s="462"/>
      <c r="D293" s="1244"/>
      <c r="E293" s="1050"/>
      <c r="F293" s="1244"/>
      <c r="H293" s="43" t="str">
        <f t="shared" si="140"/>
        <v/>
      </c>
      <c r="I293" s="43" t="str">
        <f t="shared" si="140"/>
        <v/>
      </c>
      <c r="J293" s="43" t="str">
        <f t="shared" si="140"/>
        <v/>
      </c>
      <c r="K293" s="43" t="str">
        <f t="shared" si="140"/>
        <v/>
      </c>
      <c r="L293" s="43" t="str">
        <f t="shared" si="140"/>
        <v/>
      </c>
      <c r="M293" s="43" t="str">
        <f t="shared" si="140"/>
        <v/>
      </c>
      <c r="N293" s="43" t="str">
        <f t="shared" si="140"/>
        <v/>
      </c>
      <c r="O293" s="43" t="str">
        <f t="shared" si="140"/>
        <v/>
      </c>
      <c r="P293" s="43" t="str">
        <f t="shared" si="140"/>
        <v/>
      </c>
      <c r="Q293" s="43" t="str">
        <f t="shared" si="140"/>
        <v/>
      </c>
      <c r="R293" s="43" t="str">
        <f t="shared" si="141"/>
        <v/>
      </c>
      <c r="S293" s="43" t="str">
        <f t="shared" si="141"/>
        <v/>
      </c>
      <c r="T293" s="43" t="str">
        <f t="shared" si="141"/>
        <v/>
      </c>
      <c r="U293" s="43" t="str">
        <f t="shared" si="141"/>
        <v/>
      </c>
      <c r="V293" s="43" t="str">
        <f t="shared" si="141"/>
        <v/>
      </c>
      <c r="W293" s="43" t="str">
        <f t="shared" si="141"/>
        <v/>
      </c>
      <c r="X293" s="43" t="str">
        <f t="shared" si="141"/>
        <v/>
      </c>
      <c r="Y293" s="43" t="str">
        <f t="shared" si="141"/>
        <v/>
      </c>
      <c r="Z293" s="43" t="str">
        <f t="shared" si="141"/>
        <v/>
      </c>
      <c r="AA293" s="43" t="str">
        <f t="shared" si="141"/>
        <v/>
      </c>
      <c r="AB293" s="43" t="str">
        <f t="shared" si="142"/>
        <v/>
      </c>
      <c r="AC293" s="43" t="str">
        <f t="shared" si="142"/>
        <v/>
      </c>
      <c r="AD293" s="43" t="str">
        <f t="shared" si="142"/>
        <v/>
      </c>
      <c r="AE293" s="43" t="str">
        <f t="shared" si="142"/>
        <v/>
      </c>
      <c r="AF293" s="43" t="str">
        <f t="shared" si="142"/>
        <v/>
      </c>
      <c r="AG293" s="43" t="str">
        <f t="shared" si="142"/>
        <v/>
      </c>
      <c r="AH293" s="43" t="str">
        <f t="shared" si="142"/>
        <v/>
      </c>
      <c r="AI293" s="43" t="str">
        <f t="shared" si="142"/>
        <v/>
      </c>
      <c r="AJ293" s="43" t="str">
        <f t="shared" si="142"/>
        <v/>
      </c>
      <c r="AK293" s="43" t="str">
        <f t="shared" si="142"/>
        <v/>
      </c>
      <c r="AL293" s="43" t="str">
        <f t="shared" si="143"/>
        <v/>
      </c>
      <c r="AM293" s="43" t="str">
        <f t="shared" si="143"/>
        <v/>
      </c>
      <c r="AN293" s="43" t="str">
        <f t="shared" si="143"/>
        <v/>
      </c>
      <c r="AO293" s="43" t="str">
        <f t="shared" si="143"/>
        <v/>
      </c>
      <c r="AP293" s="43" t="str">
        <f t="shared" si="143"/>
        <v/>
      </c>
      <c r="AQ293" s="43" t="str">
        <f t="shared" si="143"/>
        <v/>
      </c>
      <c r="AR293" s="43" t="str">
        <f t="shared" si="143"/>
        <v/>
      </c>
      <c r="AS293" s="43" t="str">
        <f t="shared" si="143"/>
        <v/>
      </c>
      <c r="AT293" s="43" t="str">
        <f t="shared" si="143"/>
        <v/>
      </c>
      <c r="AU293" s="43" t="str">
        <f t="shared" si="143"/>
        <v/>
      </c>
      <c r="AV293" s="43" t="str">
        <f t="shared" si="144"/>
        <v/>
      </c>
      <c r="AW293" s="43" t="str">
        <f t="shared" si="144"/>
        <v/>
      </c>
      <c r="AX293" s="43" t="str">
        <f t="shared" si="144"/>
        <v/>
      </c>
      <c r="AY293" s="43" t="str">
        <f t="shared" si="144"/>
        <v/>
      </c>
      <c r="AZ293" s="43" t="str">
        <f t="shared" si="144"/>
        <v/>
      </c>
      <c r="BA293" s="43" t="str">
        <f t="shared" si="144"/>
        <v/>
      </c>
      <c r="BB293" s="43"/>
      <c r="BC293" s="43"/>
      <c r="BD293" s="43"/>
      <c r="BE293" s="43"/>
      <c r="BF293" s="43"/>
      <c r="BG293" s="43"/>
      <c r="BW293" s="1250"/>
    </row>
    <row r="294" spans="1:75" x14ac:dyDescent="0.25">
      <c r="A294" s="1251"/>
      <c r="B294" s="462">
        <v>288</v>
      </c>
      <c r="C294" s="462"/>
      <c r="D294" s="1244"/>
      <c r="E294" s="1050"/>
      <c r="F294" s="1244"/>
      <c r="H294" s="43" t="str">
        <f t="shared" si="140"/>
        <v/>
      </c>
      <c r="I294" s="43" t="str">
        <f t="shared" si="140"/>
        <v/>
      </c>
      <c r="J294" s="43" t="str">
        <f t="shared" si="140"/>
        <v/>
      </c>
      <c r="K294" s="43" t="str">
        <f t="shared" si="140"/>
        <v/>
      </c>
      <c r="L294" s="43" t="str">
        <f t="shared" si="140"/>
        <v/>
      </c>
      <c r="M294" s="43" t="str">
        <f t="shared" si="140"/>
        <v/>
      </c>
      <c r="N294" s="43" t="str">
        <f t="shared" si="140"/>
        <v/>
      </c>
      <c r="O294" s="43" t="str">
        <f t="shared" si="140"/>
        <v/>
      </c>
      <c r="P294" s="43" t="str">
        <f t="shared" si="140"/>
        <v/>
      </c>
      <c r="Q294" s="43" t="str">
        <f t="shared" si="140"/>
        <v/>
      </c>
      <c r="R294" s="43" t="str">
        <f t="shared" si="141"/>
        <v/>
      </c>
      <c r="S294" s="43" t="str">
        <f t="shared" si="141"/>
        <v/>
      </c>
      <c r="T294" s="43" t="str">
        <f t="shared" si="141"/>
        <v/>
      </c>
      <c r="U294" s="43" t="str">
        <f t="shared" si="141"/>
        <v/>
      </c>
      <c r="V294" s="43" t="str">
        <f t="shared" si="141"/>
        <v/>
      </c>
      <c r="W294" s="43" t="str">
        <f t="shared" si="141"/>
        <v/>
      </c>
      <c r="X294" s="43" t="str">
        <f t="shared" si="141"/>
        <v/>
      </c>
      <c r="Y294" s="43" t="str">
        <f t="shared" si="141"/>
        <v/>
      </c>
      <c r="Z294" s="43" t="str">
        <f t="shared" si="141"/>
        <v/>
      </c>
      <c r="AA294" s="43" t="str">
        <f t="shared" si="141"/>
        <v/>
      </c>
      <c r="AB294" s="43" t="str">
        <f t="shared" si="142"/>
        <v/>
      </c>
      <c r="AC294" s="43" t="str">
        <f t="shared" si="142"/>
        <v/>
      </c>
      <c r="AD294" s="43" t="str">
        <f t="shared" si="142"/>
        <v/>
      </c>
      <c r="AE294" s="43" t="str">
        <f t="shared" si="142"/>
        <v/>
      </c>
      <c r="AF294" s="43" t="str">
        <f t="shared" si="142"/>
        <v/>
      </c>
      <c r="AG294" s="43" t="str">
        <f t="shared" si="142"/>
        <v/>
      </c>
      <c r="AH294" s="43" t="str">
        <f t="shared" si="142"/>
        <v/>
      </c>
      <c r="AI294" s="43" t="str">
        <f t="shared" si="142"/>
        <v/>
      </c>
      <c r="AJ294" s="43" t="str">
        <f t="shared" si="142"/>
        <v/>
      </c>
      <c r="AK294" s="43" t="str">
        <f t="shared" si="142"/>
        <v/>
      </c>
      <c r="AL294" s="43" t="str">
        <f t="shared" si="143"/>
        <v/>
      </c>
      <c r="AM294" s="43" t="str">
        <f t="shared" si="143"/>
        <v/>
      </c>
      <c r="AN294" s="43" t="str">
        <f t="shared" si="143"/>
        <v/>
      </c>
      <c r="AO294" s="43" t="str">
        <f t="shared" si="143"/>
        <v/>
      </c>
      <c r="AP294" s="43" t="str">
        <f t="shared" si="143"/>
        <v/>
      </c>
      <c r="AQ294" s="43" t="str">
        <f t="shared" si="143"/>
        <v/>
      </c>
      <c r="AR294" s="43" t="str">
        <f t="shared" si="143"/>
        <v/>
      </c>
      <c r="AS294" s="43" t="str">
        <f t="shared" si="143"/>
        <v/>
      </c>
      <c r="AT294" s="43" t="str">
        <f t="shared" si="143"/>
        <v/>
      </c>
      <c r="AU294" s="43" t="str">
        <f t="shared" si="143"/>
        <v/>
      </c>
      <c r="AV294" s="43" t="str">
        <f t="shared" si="144"/>
        <v/>
      </c>
      <c r="AW294" s="43" t="str">
        <f t="shared" si="144"/>
        <v/>
      </c>
      <c r="AX294" s="43" t="str">
        <f t="shared" si="144"/>
        <v/>
      </c>
      <c r="AY294" s="43" t="str">
        <f t="shared" si="144"/>
        <v/>
      </c>
      <c r="AZ294" s="43" t="str">
        <f t="shared" si="144"/>
        <v/>
      </c>
      <c r="BA294" s="43" t="str">
        <f t="shared" si="144"/>
        <v/>
      </c>
      <c r="BB294" s="43"/>
      <c r="BC294" s="43"/>
      <c r="BD294" s="43"/>
      <c r="BE294" s="43"/>
      <c r="BF294" s="43"/>
      <c r="BG294" s="43"/>
      <c r="BW294" s="1250"/>
    </row>
    <row r="295" spans="1:75" x14ac:dyDescent="0.25">
      <c r="A295" s="1251"/>
      <c r="B295" s="462">
        <v>289</v>
      </c>
      <c r="C295" s="462"/>
      <c r="D295" s="1244"/>
      <c r="E295" s="1050"/>
      <c r="F295" s="1244"/>
      <c r="H295" s="43" t="str">
        <f t="shared" si="140"/>
        <v/>
      </c>
      <c r="I295" s="43" t="str">
        <f t="shared" si="140"/>
        <v/>
      </c>
      <c r="J295" s="43" t="str">
        <f t="shared" si="140"/>
        <v/>
      </c>
      <c r="K295" s="43" t="str">
        <f t="shared" si="140"/>
        <v/>
      </c>
      <c r="L295" s="43" t="str">
        <f t="shared" si="140"/>
        <v/>
      </c>
      <c r="M295" s="43" t="str">
        <f t="shared" si="140"/>
        <v/>
      </c>
      <c r="N295" s="43" t="str">
        <f t="shared" si="140"/>
        <v/>
      </c>
      <c r="O295" s="43" t="str">
        <f t="shared" si="140"/>
        <v/>
      </c>
      <c r="P295" s="43" t="str">
        <f t="shared" si="140"/>
        <v/>
      </c>
      <c r="Q295" s="43" t="str">
        <f t="shared" si="140"/>
        <v/>
      </c>
      <c r="R295" s="43" t="str">
        <f t="shared" si="141"/>
        <v/>
      </c>
      <c r="S295" s="43" t="str">
        <f t="shared" si="141"/>
        <v/>
      </c>
      <c r="T295" s="43" t="str">
        <f t="shared" si="141"/>
        <v/>
      </c>
      <c r="U295" s="43" t="str">
        <f t="shared" si="141"/>
        <v/>
      </c>
      <c r="V295" s="43" t="str">
        <f t="shared" si="141"/>
        <v/>
      </c>
      <c r="W295" s="43" t="str">
        <f t="shared" si="141"/>
        <v/>
      </c>
      <c r="X295" s="43" t="str">
        <f t="shared" si="141"/>
        <v/>
      </c>
      <c r="Y295" s="43" t="str">
        <f t="shared" si="141"/>
        <v/>
      </c>
      <c r="Z295" s="43" t="str">
        <f t="shared" si="141"/>
        <v/>
      </c>
      <c r="AA295" s="43" t="str">
        <f t="shared" si="141"/>
        <v/>
      </c>
      <c r="AB295" s="43" t="str">
        <f t="shared" si="142"/>
        <v/>
      </c>
      <c r="AC295" s="43" t="str">
        <f t="shared" si="142"/>
        <v/>
      </c>
      <c r="AD295" s="43" t="str">
        <f t="shared" si="142"/>
        <v/>
      </c>
      <c r="AE295" s="43" t="str">
        <f t="shared" si="142"/>
        <v/>
      </c>
      <c r="AF295" s="43" t="str">
        <f t="shared" si="142"/>
        <v/>
      </c>
      <c r="AG295" s="43" t="str">
        <f t="shared" si="142"/>
        <v/>
      </c>
      <c r="AH295" s="43" t="str">
        <f t="shared" si="142"/>
        <v/>
      </c>
      <c r="AI295" s="43" t="str">
        <f t="shared" si="142"/>
        <v/>
      </c>
      <c r="AJ295" s="43" t="str">
        <f t="shared" si="142"/>
        <v/>
      </c>
      <c r="AK295" s="43" t="str">
        <f t="shared" si="142"/>
        <v/>
      </c>
      <c r="AL295" s="43" t="str">
        <f t="shared" si="143"/>
        <v/>
      </c>
      <c r="AM295" s="43" t="str">
        <f t="shared" si="143"/>
        <v/>
      </c>
      <c r="AN295" s="43" t="str">
        <f t="shared" si="143"/>
        <v/>
      </c>
      <c r="AO295" s="43" t="str">
        <f t="shared" si="143"/>
        <v/>
      </c>
      <c r="AP295" s="43" t="str">
        <f t="shared" si="143"/>
        <v/>
      </c>
      <c r="AQ295" s="43" t="str">
        <f t="shared" si="143"/>
        <v/>
      </c>
      <c r="AR295" s="43" t="str">
        <f t="shared" si="143"/>
        <v/>
      </c>
      <c r="AS295" s="43" t="str">
        <f t="shared" si="143"/>
        <v/>
      </c>
      <c r="AT295" s="43" t="str">
        <f t="shared" si="143"/>
        <v/>
      </c>
      <c r="AU295" s="43" t="str">
        <f t="shared" si="143"/>
        <v/>
      </c>
      <c r="AV295" s="43" t="str">
        <f t="shared" si="144"/>
        <v/>
      </c>
      <c r="AW295" s="43" t="str">
        <f t="shared" si="144"/>
        <v/>
      </c>
      <c r="AX295" s="43" t="str">
        <f t="shared" si="144"/>
        <v/>
      </c>
      <c r="AY295" s="43" t="str">
        <f t="shared" si="144"/>
        <v/>
      </c>
      <c r="AZ295" s="43" t="str">
        <f t="shared" si="144"/>
        <v/>
      </c>
      <c r="BA295" s="43" t="str">
        <f t="shared" si="144"/>
        <v/>
      </c>
      <c r="BB295" s="43"/>
      <c r="BC295" s="43"/>
      <c r="BD295" s="43"/>
      <c r="BE295" s="43"/>
      <c r="BF295" s="43"/>
      <c r="BG295" s="43"/>
      <c r="BW295" s="1250"/>
    </row>
    <row r="296" spans="1:75" x14ac:dyDescent="0.25">
      <c r="A296" s="1251"/>
      <c r="B296" s="462">
        <v>290</v>
      </c>
      <c r="C296" s="462"/>
      <c r="D296" s="1244"/>
      <c r="E296" s="1050"/>
      <c r="F296" s="1244"/>
      <c r="H296" s="43" t="str">
        <f t="shared" si="140"/>
        <v/>
      </c>
      <c r="I296" s="43" t="str">
        <f t="shared" si="140"/>
        <v/>
      </c>
      <c r="J296" s="43" t="str">
        <f t="shared" si="140"/>
        <v/>
      </c>
      <c r="K296" s="43" t="str">
        <f t="shared" si="140"/>
        <v/>
      </c>
      <c r="L296" s="43" t="str">
        <f t="shared" si="140"/>
        <v/>
      </c>
      <c r="M296" s="43" t="str">
        <f t="shared" si="140"/>
        <v/>
      </c>
      <c r="N296" s="43" t="str">
        <f t="shared" si="140"/>
        <v/>
      </c>
      <c r="O296" s="43" t="str">
        <f t="shared" si="140"/>
        <v/>
      </c>
      <c r="P296" s="43" t="str">
        <f t="shared" si="140"/>
        <v/>
      </c>
      <c r="Q296" s="43" t="str">
        <f t="shared" si="140"/>
        <v/>
      </c>
      <c r="R296" s="43" t="str">
        <f t="shared" si="141"/>
        <v/>
      </c>
      <c r="S296" s="43" t="str">
        <f t="shared" si="141"/>
        <v/>
      </c>
      <c r="T296" s="43" t="str">
        <f t="shared" si="141"/>
        <v/>
      </c>
      <c r="U296" s="43" t="str">
        <f t="shared" si="141"/>
        <v/>
      </c>
      <c r="V296" s="43" t="str">
        <f t="shared" si="141"/>
        <v/>
      </c>
      <c r="W296" s="43" t="str">
        <f t="shared" si="141"/>
        <v/>
      </c>
      <c r="X296" s="43" t="str">
        <f t="shared" si="141"/>
        <v/>
      </c>
      <c r="Y296" s="43" t="str">
        <f t="shared" si="141"/>
        <v/>
      </c>
      <c r="Z296" s="43" t="str">
        <f t="shared" si="141"/>
        <v/>
      </c>
      <c r="AA296" s="43" t="str">
        <f t="shared" si="141"/>
        <v/>
      </c>
      <c r="AB296" s="43" t="str">
        <f t="shared" si="142"/>
        <v/>
      </c>
      <c r="AC296" s="43" t="str">
        <f t="shared" si="142"/>
        <v/>
      </c>
      <c r="AD296" s="43" t="str">
        <f t="shared" si="142"/>
        <v/>
      </c>
      <c r="AE296" s="43" t="str">
        <f t="shared" si="142"/>
        <v/>
      </c>
      <c r="AF296" s="43" t="str">
        <f t="shared" si="142"/>
        <v/>
      </c>
      <c r="AG296" s="43" t="str">
        <f t="shared" si="142"/>
        <v/>
      </c>
      <c r="AH296" s="43" t="str">
        <f t="shared" si="142"/>
        <v/>
      </c>
      <c r="AI296" s="43" t="str">
        <f t="shared" si="142"/>
        <v/>
      </c>
      <c r="AJ296" s="43" t="str">
        <f t="shared" si="142"/>
        <v/>
      </c>
      <c r="AK296" s="43" t="str">
        <f t="shared" si="142"/>
        <v/>
      </c>
      <c r="AL296" s="43" t="str">
        <f t="shared" si="143"/>
        <v/>
      </c>
      <c r="AM296" s="43" t="str">
        <f t="shared" si="143"/>
        <v/>
      </c>
      <c r="AN296" s="43" t="str">
        <f t="shared" si="143"/>
        <v/>
      </c>
      <c r="AO296" s="43" t="str">
        <f t="shared" si="143"/>
        <v/>
      </c>
      <c r="AP296" s="43" t="str">
        <f t="shared" si="143"/>
        <v/>
      </c>
      <c r="AQ296" s="43" t="str">
        <f t="shared" si="143"/>
        <v/>
      </c>
      <c r="AR296" s="43" t="str">
        <f t="shared" si="143"/>
        <v/>
      </c>
      <c r="AS296" s="43" t="str">
        <f t="shared" si="143"/>
        <v/>
      </c>
      <c r="AT296" s="43" t="str">
        <f t="shared" si="143"/>
        <v/>
      </c>
      <c r="AU296" s="43" t="str">
        <f t="shared" si="143"/>
        <v/>
      </c>
      <c r="AV296" s="43" t="str">
        <f t="shared" si="144"/>
        <v/>
      </c>
      <c r="AW296" s="43" t="str">
        <f t="shared" si="144"/>
        <v/>
      </c>
      <c r="AX296" s="43" t="str">
        <f t="shared" si="144"/>
        <v/>
      </c>
      <c r="AY296" s="43" t="str">
        <f t="shared" si="144"/>
        <v/>
      </c>
      <c r="AZ296" s="43" t="str">
        <f t="shared" si="144"/>
        <v/>
      </c>
      <c r="BA296" s="43" t="str">
        <f t="shared" si="144"/>
        <v/>
      </c>
      <c r="BB296" s="43"/>
      <c r="BC296" s="43"/>
      <c r="BD296" s="43"/>
      <c r="BE296" s="43"/>
      <c r="BF296" s="43"/>
      <c r="BG296" s="43"/>
      <c r="BW296" s="1250"/>
    </row>
    <row r="297" spans="1:75" x14ac:dyDescent="0.25">
      <c r="A297" s="1251"/>
      <c r="B297" s="462">
        <v>291</v>
      </c>
      <c r="C297" s="462"/>
      <c r="D297" s="1244"/>
      <c r="E297" s="1050"/>
      <c r="F297" s="1244"/>
      <c r="H297" s="43" t="str">
        <f t="shared" ref="H297:Q306" si="145">IF($D297=H$6,$B297&amp;", ","")</f>
        <v/>
      </c>
      <c r="I297" s="43" t="str">
        <f t="shared" si="145"/>
        <v/>
      </c>
      <c r="J297" s="43" t="str">
        <f t="shared" si="145"/>
        <v/>
      </c>
      <c r="K297" s="43" t="str">
        <f t="shared" si="145"/>
        <v/>
      </c>
      <c r="L297" s="43" t="str">
        <f t="shared" si="145"/>
        <v/>
      </c>
      <c r="M297" s="43" t="str">
        <f t="shared" si="145"/>
        <v/>
      </c>
      <c r="N297" s="43" t="str">
        <f t="shared" si="145"/>
        <v/>
      </c>
      <c r="O297" s="43" t="str">
        <f t="shared" si="145"/>
        <v/>
      </c>
      <c r="P297" s="43" t="str">
        <f t="shared" si="145"/>
        <v/>
      </c>
      <c r="Q297" s="43" t="str">
        <f t="shared" si="145"/>
        <v/>
      </c>
      <c r="R297" s="43" t="str">
        <f t="shared" ref="R297:AA306" si="146">IF($D297=R$6,$B297&amp;", ","")</f>
        <v/>
      </c>
      <c r="S297" s="43" t="str">
        <f t="shared" si="146"/>
        <v/>
      </c>
      <c r="T297" s="43" t="str">
        <f t="shared" si="146"/>
        <v/>
      </c>
      <c r="U297" s="43" t="str">
        <f t="shared" si="146"/>
        <v/>
      </c>
      <c r="V297" s="43" t="str">
        <f t="shared" si="146"/>
        <v/>
      </c>
      <c r="W297" s="43" t="str">
        <f t="shared" si="146"/>
        <v/>
      </c>
      <c r="X297" s="43" t="str">
        <f t="shared" si="146"/>
        <v/>
      </c>
      <c r="Y297" s="43" t="str">
        <f t="shared" si="146"/>
        <v/>
      </c>
      <c r="Z297" s="43" t="str">
        <f t="shared" si="146"/>
        <v/>
      </c>
      <c r="AA297" s="43" t="str">
        <f t="shared" si="146"/>
        <v/>
      </c>
      <c r="AB297" s="43" t="str">
        <f t="shared" ref="AB297:AK306" si="147">IF($D297=AB$6,$B297&amp;", ","")</f>
        <v/>
      </c>
      <c r="AC297" s="43" t="str">
        <f t="shared" si="147"/>
        <v/>
      </c>
      <c r="AD297" s="43" t="str">
        <f t="shared" si="147"/>
        <v/>
      </c>
      <c r="AE297" s="43" t="str">
        <f t="shared" si="147"/>
        <v/>
      </c>
      <c r="AF297" s="43" t="str">
        <f t="shared" si="147"/>
        <v/>
      </c>
      <c r="AG297" s="43" t="str">
        <f t="shared" si="147"/>
        <v/>
      </c>
      <c r="AH297" s="43" t="str">
        <f t="shared" si="147"/>
        <v/>
      </c>
      <c r="AI297" s="43" t="str">
        <f t="shared" si="147"/>
        <v/>
      </c>
      <c r="AJ297" s="43" t="str">
        <f t="shared" si="147"/>
        <v/>
      </c>
      <c r="AK297" s="43" t="str">
        <f t="shared" si="147"/>
        <v/>
      </c>
      <c r="AL297" s="43" t="str">
        <f t="shared" ref="AL297:AU306" si="148">IF($D297=AL$6,$B297&amp;", ","")</f>
        <v/>
      </c>
      <c r="AM297" s="43" t="str">
        <f t="shared" si="148"/>
        <v/>
      </c>
      <c r="AN297" s="43" t="str">
        <f t="shared" si="148"/>
        <v/>
      </c>
      <c r="AO297" s="43" t="str">
        <f t="shared" si="148"/>
        <v/>
      </c>
      <c r="AP297" s="43" t="str">
        <f t="shared" si="148"/>
        <v/>
      </c>
      <c r="AQ297" s="43" t="str">
        <f t="shared" si="148"/>
        <v/>
      </c>
      <c r="AR297" s="43" t="str">
        <f t="shared" si="148"/>
        <v/>
      </c>
      <c r="AS297" s="43" t="str">
        <f t="shared" si="148"/>
        <v/>
      </c>
      <c r="AT297" s="43" t="str">
        <f t="shared" si="148"/>
        <v/>
      </c>
      <c r="AU297" s="43" t="str">
        <f t="shared" si="148"/>
        <v/>
      </c>
      <c r="AV297" s="43" t="str">
        <f t="shared" ref="AV297:BA306" si="149">IF($D297=AV$6,$B297&amp;", ","")</f>
        <v/>
      </c>
      <c r="AW297" s="43" t="str">
        <f t="shared" si="149"/>
        <v/>
      </c>
      <c r="AX297" s="43" t="str">
        <f t="shared" si="149"/>
        <v/>
      </c>
      <c r="AY297" s="43" t="str">
        <f t="shared" si="149"/>
        <v/>
      </c>
      <c r="AZ297" s="43" t="str">
        <f t="shared" si="149"/>
        <v/>
      </c>
      <c r="BA297" s="43" t="str">
        <f t="shared" si="149"/>
        <v/>
      </c>
      <c r="BB297" s="43"/>
      <c r="BC297" s="43"/>
      <c r="BD297" s="43"/>
      <c r="BE297" s="43"/>
      <c r="BF297" s="43"/>
      <c r="BG297" s="43"/>
      <c r="BW297" s="1250"/>
    </row>
    <row r="298" spans="1:75" x14ac:dyDescent="0.25">
      <c r="A298" s="1251"/>
      <c r="B298" s="462">
        <v>292</v>
      </c>
      <c r="C298" s="462"/>
      <c r="D298" s="1244"/>
      <c r="E298" s="1050"/>
      <c r="F298" s="1244"/>
      <c r="H298" s="43" t="str">
        <f t="shared" si="145"/>
        <v/>
      </c>
      <c r="I298" s="43" t="str">
        <f t="shared" si="145"/>
        <v/>
      </c>
      <c r="J298" s="43" t="str">
        <f t="shared" si="145"/>
        <v/>
      </c>
      <c r="K298" s="43" t="str">
        <f t="shared" si="145"/>
        <v/>
      </c>
      <c r="L298" s="43" t="str">
        <f t="shared" si="145"/>
        <v/>
      </c>
      <c r="M298" s="43" t="str">
        <f t="shared" si="145"/>
        <v/>
      </c>
      <c r="N298" s="43" t="str">
        <f t="shared" si="145"/>
        <v/>
      </c>
      <c r="O298" s="43" t="str">
        <f t="shared" si="145"/>
        <v/>
      </c>
      <c r="P298" s="43" t="str">
        <f t="shared" si="145"/>
        <v/>
      </c>
      <c r="Q298" s="43" t="str">
        <f t="shared" si="145"/>
        <v/>
      </c>
      <c r="R298" s="43" t="str">
        <f t="shared" si="146"/>
        <v/>
      </c>
      <c r="S298" s="43" t="str">
        <f t="shared" si="146"/>
        <v/>
      </c>
      <c r="T298" s="43" t="str">
        <f t="shared" si="146"/>
        <v/>
      </c>
      <c r="U298" s="43" t="str">
        <f t="shared" si="146"/>
        <v/>
      </c>
      <c r="V298" s="43" t="str">
        <f t="shared" si="146"/>
        <v/>
      </c>
      <c r="W298" s="43" t="str">
        <f t="shared" si="146"/>
        <v/>
      </c>
      <c r="X298" s="43" t="str">
        <f t="shared" si="146"/>
        <v/>
      </c>
      <c r="Y298" s="43" t="str">
        <f t="shared" si="146"/>
        <v/>
      </c>
      <c r="Z298" s="43" t="str">
        <f t="shared" si="146"/>
        <v/>
      </c>
      <c r="AA298" s="43" t="str">
        <f t="shared" si="146"/>
        <v/>
      </c>
      <c r="AB298" s="43" t="str">
        <f t="shared" si="147"/>
        <v/>
      </c>
      <c r="AC298" s="43" t="str">
        <f t="shared" si="147"/>
        <v/>
      </c>
      <c r="AD298" s="43" t="str">
        <f t="shared" si="147"/>
        <v/>
      </c>
      <c r="AE298" s="43" t="str">
        <f t="shared" si="147"/>
        <v/>
      </c>
      <c r="AF298" s="43" t="str">
        <f t="shared" si="147"/>
        <v/>
      </c>
      <c r="AG298" s="43" t="str">
        <f t="shared" si="147"/>
        <v/>
      </c>
      <c r="AH298" s="43" t="str">
        <f t="shared" si="147"/>
        <v/>
      </c>
      <c r="AI298" s="43" t="str">
        <f t="shared" si="147"/>
        <v/>
      </c>
      <c r="AJ298" s="43" t="str">
        <f t="shared" si="147"/>
        <v/>
      </c>
      <c r="AK298" s="43" t="str">
        <f t="shared" si="147"/>
        <v/>
      </c>
      <c r="AL298" s="43" t="str">
        <f t="shared" si="148"/>
        <v/>
      </c>
      <c r="AM298" s="43" t="str">
        <f t="shared" si="148"/>
        <v/>
      </c>
      <c r="AN298" s="43" t="str">
        <f t="shared" si="148"/>
        <v/>
      </c>
      <c r="AO298" s="43" t="str">
        <f t="shared" si="148"/>
        <v/>
      </c>
      <c r="AP298" s="43" t="str">
        <f t="shared" si="148"/>
        <v/>
      </c>
      <c r="AQ298" s="43" t="str">
        <f t="shared" si="148"/>
        <v/>
      </c>
      <c r="AR298" s="43" t="str">
        <f t="shared" si="148"/>
        <v/>
      </c>
      <c r="AS298" s="43" t="str">
        <f t="shared" si="148"/>
        <v/>
      </c>
      <c r="AT298" s="43" t="str">
        <f t="shared" si="148"/>
        <v/>
      </c>
      <c r="AU298" s="43" t="str">
        <f t="shared" si="148"/>
        <v/>
      </c>
      <c r="AV298" s="43" t="str">
        <f t="shared" si="149"/>
        <v/>
      </c>
      <c r="AW298" s="43" t="str">
        <f t="shared" si="149"/>
        <v/>
      </c>
      <c r="AX298" s="43" t="str">
        <f t="shared" si="149"/>
        <v/>
      </c>
      <c r="AY298" s="43" t="str">
        <f t="shared" si="149"/>
        <v/>
      </c>
      <c r="AZ298" s="43" t="str">
        <f t="shared" si="149"/>
        <v/>
      </c>
      <c r="BA298" s="43" t="str">
        <f t="shared" si="149"/>
        <v/>
      </c>
      <c r="BB298" s="43"/>
      <c r="BC298" s="43"/>
      <c r="BD298" s="43"/>
      <c r="BE298" s="43"/>
      <c r="BF298" s="43"/>
      <c r="BG298" s="43"/>
      <c r="BW298" s="1250"/>
    </row>
    <row r="299" spans="1:75" x14ac:dyDescent="0.25">
      <c r="A299" s="1251"/>
      <c r="B299" s="462">
        <v>293</v>
      </c>
      <c r="C299" s="462"/>
      <c r="D299" s="1244"/>
      <c r="E299" s="1050"/>
      <c r="F299" s="1244"/>
      <c r="H299" s="43" t="str">
        <f t="shared" si="145"/>
        <v/>
      </c>
      <c r="I299" s="43" t="str">
        <f t="shared" si="145"/>
        <v/>
      </c>
      <c r="J299" s="43" t="str">
        <f t="shared" si="145"/>
        <v/>
      </c>
      <c r="K299" s="43" t="str">
        <f t="shared" si="145"/>
        <v/>
      </c>
      <c r="L299" s="43" t="str">
        <f t="shared" si="145"/>
        <v/>
      </c>
      <c r="M299" s="43" t="str">
        <f t="shared" si="145"/>
        <v/>
      </c>
      <c r="N299" s="43" t="str">
        <f t="shared" si="145"/>
        <v/>
      </c>
      <c r="O299" s="43" t="str">
        <f t="shared" si="145"/>
        <v/>
      </c>
      <c r="P299" s="43" t="str">
        <f t="shared" si="145"/>
        <v/>
      </c>
      <c r="Q299" s="43" t="str">
        <f t="shared" si="145"/>
        <v/>
      </c>
      <c r="R299" s="43" t="str">
        <f t="shared" si="146"/>
        <v/>
      </c>
      <c r="S299" s="43" t="str">
        <f t="shared" si="146"/>
        <v/>
      </c>
      <c r="T299" s="43" t="str">
        <f t="shared" si="146"/>
        <v/>
      </c>
      <c r="U299" s="43" t="str">
        <f t="shared" si="146"/>
        <v/>
      </c>
      <c r="V299" s="43" t="str">
        <f t="shared" si="146"/>
        <v/>
      </c>
      <c r="W299" s="43" t="str">
        <f t="shared" si="146"/>
        <v/>
      </c>
      <c r="X299" s="43" t="str">
        <f t="shared" si="146"/>
        <v/>
      </c>
      <c r="Y299" s="43" t="str">
        <f t="shared" si="146"/>
        <v/>
      </c>
      <c r="Z299" s="43" t="str">
        <f t="shared" si="146"/>
        <v/>
      </c>
      <c r="AA299" s="43" t="str">
        <f t="shared" si="146"/>
        <v/>
      </c>
      <c r="AB299" s="43" t="str">
        <f t="shared" si="147"/>
        <v/>
      </c>
      <c r="AC299" s="43" t="str">
        <f t="shared" si="147"/>
        <v/>
      </c>
      <c r="AD299" s="43" t="str">
        <f t="shared" si="147"/>
        <v/>
      </c>
      <c r="AE299" s="43" t="str">
        <f t="shared" si="147"/>
        <v/>
      </c>
      <c r="AF299" s="43" t="str">
        <f t="shared" si="147"/>
        <v/>
      </c>
      <c r="AG299" s="43" t="str">
        <f t="shared" si="147"/>
        <v/>
      </c>
      <c r="AH299" s="43" t="str">
        <f t="shared" si="147"/>
        <v/>
      </c>
      <c r="AI299" s="43" t="str">
        <f t="shared" si="147"/>
        <v/>
      </c>
      <c r="AJ299" s="43" t="str">
        <f t="shared" si="147"/>
        <v/>
      </c>
      <c r="AK299" s="43" t="str">
        <f t="shared" si="147"/>
        <v/>
      </c>
      <c r="AL299" s="43" t="str">
        <f t="shared" si="148"/>
        <v/>
      </c>
      <c r="AM299" s="43" t="str">
        <f t="shared" si="148"/>
        <v/>
      </c>
      <c r="AN299" s="43" t="str">
        <f t="shared" si="148"/>
        <v/>
      </c>
      <c r="AO299" s="43" t="str">
        <f t="shared" si="148"/>
        <v/>
      </c>
      <c r="AP299" s="43" t="str">
        <f t="shared" si="148"/>
        <v/>
      </c>
      <c r="AQ299" s="43" t="str">
        <f t="shared" si="148"/>
        <v/>
      </c>
      <c r="AR299" s="43" t="str">
        <f t="shared" si="148"/>
        <v/>
      </c>
      <c r="AS299" s="43" t="str">
        <f t="shared" si="148"/>
        <v/>
      </c>
      <c r="AT299" s="43" t="str">
        <f t="shared" si="148"/>
        <v/>
      </c>
      <c r="AU299" s="43" t="str">
        <f t="shared" si="148"/>
        <v/>
      </c>
      <c r="AV299" s="43" t="str">
        <f t="shared" si="149"/>
        <v/>
      </c>
      <c r="AW299" s="43" t="str">
        <f t="shared" si="149"/>
        <v/>
      </c>
      <c r="AX299" s="43" t="str">
        <f t="shared" si="149"/>
        <v/>
      </c>
      <c r="AY299" s="43" t="str">
        <f t="shared" si="149"/>
        <v/>
      </c>
      <c r="AZ299" s="43" t="str">
        <f t="shared" si="149"/>
        <v/>
      </c>
      <c r="BA299" s="43" t="str">
        <f t="shared" si="149"/>
        <v/>
      </c>
      <c r="BB299" s="43"/>
      <c r="BC299" s="43"/>
      <c r="BD299" s="43"/>
      <c r="BE299" s="43"/>
      <c r="BF299" s="43"/>
      <c r="BG299" s="43"/>
      <c r="BW299" s="1250"/>
    </row>
    <row r="300" spans="1:75" x14ac:dyDescent="0.25">
      <c r="A300" s="1251"/>
      <c r="B300" s="462">
        <v>294</v>
      </c>
      <c r="C300" s="462"/>
      <c r="D300" s="1244"/>
      <c r="E300" s="1050"/>
      <c r="F300" s="1244"/>
      <c r="H300" s="43" t="str">
        <f t="shared" si="145"/>
        <v/>
      </c>
      <c r="I300" s="43" t="str">
        <f t="shared" si="145"/>
        <v/>
      </c>
      <c r="J300" s="43" t="str">
        <f t="shared" si="145"/>
        <v/>
      </c>
      <c r="K300" s="43" t="str">
        <f t="shared" si="145"/>
        <v/>
      </c>
      <c r="L300" s="43" t="str">
        <f t="shared" si="145"/>
        <v/>
      </c>
      <c r="M300" s="43" t="str">
        <f t="shared" si="145"/>
        <v/>
      </c>
      <c r="N300" s="43" t="str">
        <f t="shared" si="145"/>
        <v/>
      </c>
      <c r="O300" s="43" t="str">
        <f t="shared" si="145"/>
        <v/>
      </c>
      <c r="P300" s="43" t="str">
        <f t="shared" si="145"/>
        <v/>
      </c>
      <c r="Q300" s="43" t="str">
        <f t="shared" si="145"/>
        <v/>
      </c>
      <c r="R300" s="43" t="str">
        <f t="shared" si="146"/>
        <v/>
      </c>
      <c r="S300" s="43" t="str">
        <f t="shared" si="146"/>
        <v/>
      </c>
      <c r="T300" s="43" t="str">
        <f t="shared" si="146"/>
        <v/>
      </c>
      <c r="U300" s="43" t="str">
        <f t="shared" si="146"/>
        <v/>
      </c>
      <c r="V300" s="43" t="str">
        <f t="shared" si="146"/>
        <v/>
      </c>
      <c r="W300" s="43" t="str">
        <f t="shared" si="146"/>
        <v/>
      </c>
      <c r="X300" s="43" t="str">
        <f t="shared" si="146"/>
        <v/>
      </c>
      <c r="Y300" s="43" t="str">
        <f t="shared" si="146"/>
        <v/>
      </c>
      <c r="Z300" s="43" t="str">
        <f t="shared" si="146"/>
        <v/>
      </c>
      <c r="AA300" s="43" t="str">
        <f t="shared" si="146"/>
        <v/>
      </c>
      <c r="AB300" s="43" t="str">
        <f t="shared" si="147"/>
        <v/>
      </c>
      <c r="AC300" s="43" t="str">
        <f t="shared" si="147"/>
        <v/>
      </c>
      <c r="AD300" s="43" t="str">
        <f t="shared" si="147"/>
        <v/>
      </c>
      <c r="AE300" s="43" t="str">
        <f t="shared" si="147"/>
        <v/>
      </c>
      <c r="AF300" s="43" t="str">
        <f t="shared" si="147"/>
        <v/>
      </c>
      <c r="AG300" s="43" t="str">
        <f t="shared" si="147"/>
        <v/>
      </c>
      <c r="AH300" s="43" t="str">
        <f t="shared" si="147"/>
        <v/>
      </c>
      <c r="AI300" s="43" t="str">
        <f t="shared" si="147"/>
        <v/>
      </c>
      <c r="AJ300" s="43" t="str">
        <f t="shared" si="147"/>
        <v/>
      </c>
      <c r="AK300" s="43" t="str">
        <f t="shared" si="147"/>
        <v/>
      </c>
      <c r="AL300" s="43" t="str">
        <f t="shared" si="148"/>
        <v/>
      </c>
      <c r="AM300" s="43" t="str">
        <f t="shared" si="148"/>
        <v/>
      </c>
      <c r="AN300" s="43" t="str">
        <f t="shared" si="148"/>
        <v/>
      </c>
      <c r="AO300" s="43" t="str">
        <f t="shared" si="148"/>
        <v/>
      </c>
      <c r="AP300" s="43" t="str">
        <f t="shared" si="148"/>
        <v/>
      </c>
      <c r="AQ300" s="43" t="str">
        <f t="shared" si="148"/>
        <v/>
      </c>
      <c r="AR300" s="43" t="str">
        <f t="shared" si="148"/>
        <v/>
      </c>
      <c r="AS300" s="43" t="str">
        <f t="shared" si="148"/>
        <v/>
      </c>
      <c r="AT300" s="43" t="str">
        <f t="shared" si="148"/>
        <v/>
      </c>
      <c r="AU300" s="43" t="str">
        <f t="shared" si="148"/>
        <v/>
      </c>
      <c r="AV300" s="43" t="str">
        <f t="shared" si="149"/>
        <v/>
      </c>
      <c r="AW300" s="43" t="str">
        <f t="shared" si="149"/>
        <v/>
      </c>
      <c r="AX300" s="43" t="str">
        <f t="shared" si="149"/>
        <v/>
      </c>
      <c r="AY300" s="43" t="str">
        <f t="shared" si="149"/>
        <v/>
      </c>
      <c r="AZ300" s="43" t="str">
        <f t="shared" si="149"/>
        <v/>
      </c>
      <c r="BA300" s="43" t="str">
        <f t="shared" si="149"/>
        <v/>
      </c>
      <c r="BB300" s="43"/>
      <c r="BC300" s="43"/>
      <c r="BD300" s="43"/>
      <c r="BE300" s="43"/>
      <c r="BF300" s="43"/>
      <c r="BG300" s="43"/>
      <c r="BW300" s="1250"/>
    </row>
    <row r="301" spans="1:75" x14ac:dyDescent="0.25">
      <c r="A301" s="1251"/>
      <c r="B301" s="462">
        <v>295</v>
      </c>
      <c r="C301" s="462"/>
      <c r="D301" s="1244"/>
      <c r="E301" s="1050"/>
      <c r="F301" s="1244"/>
      <c r="H301" s="43" t="str">
        <f t="shared" si="145"/>
        <v/>
      </c>
      <c r="I301" s="43" t="str">
        <f t="shared" si="145"/>
        <v/>
      </c>
      <c r="J301" s="43" t="str">
        <f t="shared" si="145"/>
        <v/>
      </c>
      <c r="K301" s="43" t="str">
        <f t="shared" si="145"/>
        <v/>
      </c>
      <c r="L301" s="43" t="str">
        <f t="shared" si="145"/>
        <v/>
      </c>
      <c r="M301" s="43" t="str">
        <f t="shared" si="145"/>
        <v/>
      </c>
      <c r="N301" s="43" t="str">
        <f t="shared" si="145"/>
        <v/>
      </c>
      <c r="O301" s="43" t="str">
        <f t="shared" si="145"/>
        <v/>
      </c>
      <c r="P301" s="43" t="str">
        <f t="shared" si="145"/>
        <v/>
      </c>
      <c r="Q301" s="43" t="str">
        <f t="shared" si="145"/>
        <v/>
      </c>
      <c r="R301" s="43" t="str">
        <f t="shared" si="146"/>
        <v/>
      </c>
      <c r="S301" s="43" t="str">
        <f t="shared" si="146"/>
        <v/>
      </c>
      <c r="T301" s="43" t="str">
        <f t="shared" si="146"/>
        <v/>
      </c>
      <c r="U301" s="43" t="str">
        <f t="shared" si="146"/>
        <v/>
      </c>
      <c r="V301" s="43" t="str">
        <f t="shared" si="146"/>
        <v/>
      </c>
      <c r="W301" s="43" t="str">
        <f t="shared" si="146"/>
        <v/>
      </c>
      <c r="X301" s="43" t="str">
        <f t="shared" si="146"/>
        <v/>
      </c>
      <c r="Y301" s="43" t="str">
        <f t="shared" si="146"/>
        <v/>
      </c>
      <c r="Z301" s="43" t="str">
        <f t="shared" si="146"/>
        <v/>
      </c>
      <c r="AA301" s="43" t="str">
        <f t="shared" si="146"/>
        <v/>
      </c>
      <c r="AB301" s="43" t="str">
        <f t="shared" si="147"/>
        <v/>
      </c>
      <c r="AC301" s="43" t="str">
        <f t="shared" si="147"/>
        <v/>
      </c>
      <c r="AD301" s="43" t="str">
        <f t="shared" si="147"/>
        <v/>
      </c>
      <c r="AE301" s="43" t="str">
        <f t="shared" si="147"/>
        <v/>
      </c>
      <c r="AF301" s="43" t="str">
        <f t="shared" si="147"/>
        <v/>
      </c>
      <c r="AG301" s="43" t="str">
        <f t="shared" si="147"/>
        <v/>
      </c>
      <c r="AH301" s="43" t="str">
        <f t="shared" si="147"/>
        <v/>
      </c>
      <c r="AI301" s="43" t="str">
        <f t="shared" si="147"/>
        <v/>
      </c>
      <c r="AJ301" s="43" t="str">
        <f t="shared" si="147"/>
        <v/>
      </c>
      <c r="AK301" s="43" t="str">
        <f t="shared" si="147"/>
        <v/>
      </c>
      <c r="AL301" s="43" t="str">
        <f t="shared" si="148"/>
        <v/>
      </c>
      <c r="AM301" s="43" t="str">
        <f t="shared" si="148"/>
        <v/>
      </c>
      <c r="AN301" s="43" t="str">
        <f t="shared" si="148"/>
        <v/>
      </c>
      <c r="AO301" s="43" t="str">
        <f t="shared" si="148"/>
        <v/>
      </c>
      <c r="AP301" s="43" t="str">
        <f t="shared" si="148"/>
        <v/>
      </c>
      <c r="AQ301" s="43" t="str">
        <f t="shared" si="148"/>
        <v/>
      </c>
      <c r="AR301" s="43" t="str">
        <f t="shared" si="148"/>
        <v/>
      </c>
      <c r="AS301" s="43" t="str">
        <f t="shared" si="148"/>
        <v/>
      </c>
      <c r="AT301" s="43" t="str">
        <f t="shared" si="148"/>
        <v/>
      </c>
      <c r="AU301" s="43" t="str">
        <f t="shared" si="148"/>
        <v/>
      </c>
      <c r="AV301" s="43" t="str">
        <f t="shared" si="149"/>
        <v/>
      </c>
      <c r="AW301" s="43" t="str">
        <f t="shared" si="149"/>
        <v/>
      </c>
      <c r="AX301" s="43" t="str">
        <f t="shared" si="149"/>
        <v/>
      </c>
      <c r="AY301" s="43" t="str">
        <f t="shared" si="149"/>
        <v/>
      </c>
      <c r="AZ301" s="43" t="str">
        <f t="shared" si="149"/>
        <v/>
      </c>
      <c r="BA301" s="43" t="str">
        <f t="shared" si="149"/>
        <v/>
      </c>
      <c r="BB301" s="43"/>
      <c r="BC301" s="43"/>
      <c r="BD301" s="43"/>
      <c r="BE301" s="43"/>
      <c r="BF301" s="43"/>
      <c r="BG301" s="43"/>
      <c r="BW301" s="1250"/>
    </row>
    <row r="302" spans="1:75" x14ac:dyDescent="0.25">
      <c r="A302" s="1251"/>
      <c r="B302" s="462">
        <v>296</v>
      </c>
      <c r="C302" s="462"/>
      <c r="D302" s="1244"/>
      <c r="E302" s="1050"/>
      <c r="F302" s="1244"/>
      <c r="H302" s="43" t="str">
        <f t="shared" si="145"/>
        <v/>
      </c>
      <c r="I302" s="43" t="str">
        <f t="shared" si="145"/>
        <v/>
      </c>
      <c r="J302" s="43" t="str">
        <f t="shared" si="145"/>
        <v/>
      </c>
      <c r="K302" s="43" t="str">
        <f t="shared" si="145"/>
        <v/>
      </c>
      <c r="L302" s="43" t="str">
        <f t="shared" si="145"/>
        <v/>
      </c>
      <c r="M302" s="43" t="str">
        <f t="shared" si="145"/>
        <v/>
      </c>
      <c r="N302" s="43" t="str">
        <f t="shared" si="145"/>
        <v/>
      </c>
      <c r="O302" s="43" t="str">
        <f t="shared" si="145"/>
        <v/>
      </c>
      <c r="P302" s="43" t="str">
        <f t="shared" si="145"/>
        <v/>
      </c>
      <c r="Q302" s="43" t="str">
        <f t="shared" si="145"/>
        <v/>
      </c>
      <c r="R302" s="43" t="str">
        <f t="shared" si="146"/>
        <v/>
      </c>
      <c r="S302" s="43" t="str">
        <f t="shared" si="146"/>
        <v/>
      </c>
      <c r="T302" s="43" t="str">
        <f t="shared" si="146"/>
        <v/>
      </c>
      <c r="U302" s="43" t="str">
        <f t="shared" si="146"/>
        <v/>
      </c>
      <c r="V302" s="43" t="str">
        <f t="shared" si="146"/>
        <v/>
      </c>
      <c r="W302" s="43" t="str">
        <f t="shared" si="146"/>
        <v/>
      </c>
      <c r="X302" s="43" t="str">
        <f t="shared" si="146"/>
        <v/>
      </c>
      <c r="Y302" s="43" t="str">
        <f t="shared" si="146"/>
        <v/>
      </c>
      <c r="Z302" s="43" t="str">
        <f t="shared" si="146"/>
        <v/>
      </c>
      <c r="AA302" s="43" t="str">
        <f t="shared" si="146"/>
        <v/>
      </c>
      <c r="AB302" s="43" t="str">
        <f t="shared" si="147"/>
        <v/>
      </c>
      <c r="AC302" s="43" t="str">
        <f t="shared" si="147"/>
        <v/>
      </c>
      <c r="AD302" s="43" t="str">
        <f t="shared" si="147"/>
        <v/>
      </c>
      <c r="AE302" s="43" t="str">
        <f t="shared" si="147"/>
        <v/>
      </c>
      <c r="AF302" s="43" t="str">
        <f t="shared" si="147"/>
        <v/>
      </c>
      <c r="AG302" s="43" t="str">
        <f t="shared" si="147"/>
        <v/>
      </c>
      <c r="AH302" s="43" t="str">
        <f t="shared" si="147"/>
        <v/>
      </c>
      <c r="AI302" s="43" t="str">
        <f t="shared" si="147"/>
        <v/>
      </c>
      <c r="AJ302" s="43" t="str">
        <f t="shared" si="147"/>
        <v/>
      </c>
      <c r="AK302" s="43" t="str">
        <f t="shared" si="147"/>
        <v/>
      </c>
      <c r="AL302" s="43" t="str">
        <f t="shared" si="148"/>
        <v/>
      </c>
      <c r="AM302" s="43" t="str">
        <f t="shared" si="148"/>
        <v/>
      </c>
      <c r="AN302" s="43" t="str">
        <f t="shared" si="148"/>
        <v/>
      </c>
      <c r="AO302" s="43" t="str">
        <f t="shared" si="148"/>
        <v/>
      </c>
      <c r="AP302" s="43" t="str">
        <f t="shared" si="148"/>
        <v/>
      </c>
      <c r="AQ302" s="43" t="str">
        <f t="shared" si="148"/>
        <v/>
      </c>
      <c r="AR302" s="43" t="str">
        <f t="shared" si="148"/>
        <v/>
      </c>
      <c r="AS302" s="43" t="str">
        <f t="shared" si="148"/>
        <v/>
      </c>
      <c r="AT302" s="43" t="str">
        <f t="shared" si="148"/>
        <v/>
      </c>
      <c r="AU302" s="43" t="str">
        <f t="shared" si="148"/>
        <v/>
      </c>
      <c r="AV302" s="43" t="str">
        <f t="shared" si="149"/>
        <v/>
      </c>
      <c r="AW302" s="43" t="str">
        <f t="shared" si="149"/>
        <v/>
      </c>
      <c r="AX302" s="43" t="str">
        <f t="shared" si="149"/>
        <v/>
      </c>
      <c r="AY302" s="43" t="str">
        <f t="shared" si="149"/>
        <v/>
      </c>
      <c r="AZ302" s="43" t="str">
        <f t="shared" si="149"/>
        <v/>
      </c>
      <c r="BA302" s="43" t="str">
        <f t="shared" si="149"/>
        <v/>
      </c>
      <c r="BB302" s="43"/>
      <c r="BC302" s="43"/>
      <c r="BD302" s="43"/>
      <c r="BE302" s="43"/>
      <c r="BF302" s="43"/>
      <c r="BG302" s="43"/>
      <c r="BW302" s="1250"/>
    </row>
    <row r="303" spans="1:75" x14ac:dyDescent="0.25">
      <c r="A303" s="1251"/>
      <c r="B303" s="462">
        <v>297</v>
      </c>
      <c r="C303" s="462"/>
      <c r="D303" s="1244"/>
      <c r="E303" s="1050"/>
      <c r="F303" s="1244"/>
      <c r="H303" s="43" t="str">
        <f t="shared" si="145"/>
        <v/>
      </c>
      <c r="I303" s="43" t="str">
        <f t="shared" si="145"/>
        <v/>
      </c>
      <c r="J303" s="43" t="str">
        <f t="shared" si="145"/>
        <v/>
      </c>
      <c r="K303" s="43" t="str">
        <f t="shared" si="145"/>
        <v/>
      </c>
      <c r="L303" s="43" t="str">
        <f t="shared" si="145"/>
        <v/>
      </c>
      <c r="M303" s="43" t="str">
        <f t="shared" si="145"/>
        <v/>
      </c>
      <c r="N303" s="43" t="str">
        <f t="shared" si="145"/>
        <v/>
      </c>
      <c r="O303" s="43" t="str">
        <f t="shared" si="145"/>
        <v/>
      </c>
      <c r="P303" s="43" t="str">
        <f t="shared" si="145"/>
        <v/>
      </c>
      <c r="Q303" s="43" t="str">
        <f t="shared" si="145"/>
        <v/>
      </c>
      <c r="R303" s="43" t="str">
        <f t="shared" si="146"/>
        <v/>
      </c>
      <c r="S303" s="43" t="str">
        <f t="shared" si="146"/>
        <v/>
      </c>
      <c r="T303" s="43" t="str">
        <f t="shared" si="146"/>
        <v/>
      </c>
      <c r="U303" s="43" t="str">
        <f t="shared" si="146"/>
        <v/>
      </c>
      <c r="V303" s="43" t="str">
        <f t="shared" si="146"/>
        <v/>
      </c>
      <c r="W303" s="43" t="str">
        <f t="shared" si="146"/>
        <v/>
      </c>
      <c r="X303" s="43" t="str">
        <f t="shared" si="146"/>
        <v/>
      </c>
      <c r="Y303" s="43" t="str">
        <f t="shared" si="146"/>
        <v/>
      </c>
      <c r="Z303" s="43" t="str">
        <f t="shared" si="146"/>
        <v/>
      </c>
      <c r="AA303" s="43" t="str">
        <f t="shared" si="146"/>
        <v/>
      </c>
      <c r="AB303" s="43" t="str">
        <f t="shared" si="147"/>
        <v/>
      </c>
      <c r="AC303" s="43" t="str">
        <f t="shared" si="147"/>
        <v/>
      </c>
      <c r="AD303" s="43" t="str">
        <f t="shared" si="147"/>
        <v/>
      </c>
      <c r="AE303" s="43" t="str">
        <f t="shared" si="147"/>
        <v/>
      </c>
      <c r="AF303" s="43" t="str">
        <f t="shared" si="147"/>
        <v/>
      </c>
      <c r="AG303" s="43" t="str">
        <f t="shared" si="147"/>
        <v/>
      </c>
      <c r="AH303" s="43" t="str">
        <f t="shared" si="147"/>
        <v/>
      </c>
      <c r="AI303" s="43" t="str">
        <f t="shared" si="147"/>
        <v/>
      </c>
      <c r="AJ303" s="43" t="str">
        <f t="shared" si="147"/>
        <v/>
      </c>
      <c r="AK303" s="43" t="str">
        <f t="shared" si="147"/>
        <v/>
      </c>
      <c r="AL303" s="43" t="str">
        <f t="shared" si="148"/>
        <v/>
      </c>
      <c r="AM303" s="43" t="str">
        <f t="shared" si="148"/>
        <v/>
      </c>
      <c r="AN303" s="43" t="str">
        <f t="shared" si="148"/>
        <v/>
      </c>
      <c r="AO303" s="43" t="str">
        <f t="shared" si="148"/>
        <v/>
      </c>
      <c r="AP303" s="43" t="str">
        <f t="shared" si="148"/>
        <v/>
      </c>
      <c r="AQ303" s="43" t="str">
        <f t="shared" si="148"/>
        <v/>
      </c>
      <c r="AR303" s="43" t="str">
        <f t="shared" si="148"/>
        <v/>
      </c>
      <c r="AS303" s="43" t="str">
        <f t="shared" si="148"/>
        <v/>
      </c>
      <c r="AT303" s="43" t="str">
        <f t="shared" si="148"/>
        <v/>
      </c>
      <c r="AU303" s="43" t="str">
        <f t="shared" si="148"/>
        <v/>
      </c>
      <c r="AV303" s="43" t="str">
        <f t="shared" si="149"/>
        <v/>
      </c>
      <c r="AW303" s="43" t="str">
        <f t="shared" si="149"/>
        <v/>
      </c>
      <c r="AX303" s="43" t="str">
        <f t="shared" si="149"/>
        <v/>
      </c>
      <c r="AY303" s="43" t="str">
        <f t="shared" si="149"/>
        <v/>
      </c>
      <c r="AZ303" s="43" t="str">
        <f t="shared" si="149"/>
        <v/>
      </c>
      <c r="BA303" s="43" t="str">
        <f t="shared" si="149"/>
        <v/>
      </c>
      <c r="BB303" s="43"/>
      <c r="BC303" s="43"/>
      <c r="BD303" s="43"/>
      <c r="BE303" s="43"/>
      <c r="BF303" s="43"/>
      <c r="BG303" s="43"/>
      <c r="BW303" s="1250"/>
    </row>
    <row r="304" spans="1:75" x14ac:dyDescent="0.25">
      <c r="A304" s="1251"/>
      <c r="B304" s="462">
        <v>298</v>
      </c>
      <c r="C304" s="462"/>
      <c r="D304" s="1244"/>
      <c r="E304" s="1050"/>
      <c r="F304" s="1244"/>
      <c r="H304" s="43" t="str">
        <f t="shared" si="145"/>
        <v/>
      </c>
      <c r="I304" s="43" t="str">
        <f t="shared" si="145"/>
        <v/>
      </c>
      <c r="J304" s="43" t="str">
        <f t="shared" si="145"/>
        <v/>
      </c>
      <c r="K304" s="43" t="str">
        <f t="shared" si="145"/>
        <v/>
      </c>
      <c r="L304" s="43" t="str">
        <f t="shared" si="145"/>
        <v/>
      </c>
      <c r="M304" s="43" t="str">
        <f t="shared" si="145"/>
        <v/>
      </c>
      <c r="N304" s="43" t="str">
        <f t="shared" si="145"/>
        <v/>
      </c>
      <c r="O304" s="43" t="str">
        <f t="shared" si="145"/>
        <v/>
      </c>
      <c r="P304" s="43" t="str">
        <f t="shared" si="145"/>
        <v/>
      </c>
      <c r="Q304" s="43" t="str">
        <f t="shared" si="145"/>
        <v/>
      </c>
      <c r="R304" s="43" t="str">
        <f t="shared" si="146"/>
        <v/>
      </c>
      <c r="S304" s="43" t="str">
        <f t="shared" si="146"/>
        <v/>
      </c>
      <c r="T304" s="43" t="str">
        <f t="shared" si="146"/>
        <v/>
      </c>
      <c r="U304" s="43" t="str">
        <f t="shared" si="146"/>
        <v/>
      </c>
      <c r="V304" s="43" t="str">
        <f t="shared" si="146"/>
        <v/>
      </c>
      <c r="W304" s="43" t="str">
        <f t="shared" si="146"/>
        <v/>
      </c>
      <c r="X304" s="43" t="str">
        <f t="shared" si="146"/>
        <v/>
      </c>
      <c r="Y304" s="43" t="str">
        <f t="shared" si="146"/>
        <v/>
      </c>
      <c r="Z304" s="43" t="str">
        <f t="shared" si="146"/>
        <v/>
      </c>
      <c r="AA304" s="43" t="str">
        <f t="shared" si="146"/>
        <v/>
      </c>
      <c r="AB304" s="43" t="str">
        <f t="shared" si="147"/>
        <v/>
      </c>
      <c r="AC304" s="43" t="str">
        <f t="shared" si="147"/>
        <v/>
      </c>
      <c r="AD304" s="43" t="str">
        <f t="shared" si="147"/>
        <v/>
      </c>
      <c r="AE304" s="43" t="str">
        <f t="shared" si="147"/>
        <v/>
      </c>
      <c r="AF304" s="43" t="str">
        <f t="shared" si="147"/>
        <v/>
      </c>
      <c r="AG304" s="43" t="str">
        <f t="shared" si="147"/>
        <v/>
      </c>
      <c r="AH304" s="43" t="str">
        <f t="shared" si="147"/>
        <v/>
      </c>
      <c r="AI304" s="43" t="str">
        <f t="shared" si="147"/>
        <v/>
      </c>
      <c r="AJ304" s="43" t="str">
        <f t="shared" si="147"/>
        <v/>
      </c>
      <c r="AK304" s="43" t="str">
        <f t="shared" si="147"/>
        <v/>
      </c>
      <c r="AL304" s="43" t="str">
        <f t="shared" si="148"/>
        <v/>
      </c>
      <c r="AM304" s="43" t="str">
        <f t="shared" si="148"/>
        <v/>
      </c>
      <c r="AN304" s="43" t="str">
        <f t="shared" si="148"/>
        <v/>
      </c>
      <c r="AO304" s="43" t="str">
        <f t="shared" si="148"/>
        <v/>
      </c>
      <c r="AP304" s="43" t="str">
        <f t="shared" si="148"/>
        <v/>
      </c>
      <c r="AQ304" s="43" t="str">
        <f t="shared" si="148"/>
        <v/>
      </c>
      <c r="AR304" s="43" t="str">
        <f t="shared" si="148"/>
        <v/>
      </c>
      <c r="AS304" s="43" t="str">
        <f t="shared" si="148"/>
        <v/>
      </c>
      <c r="AT304" s="43" t="str">
        <f t="shared" si="148"/>
        <v/>
      </c>
      <c r="AU304" s="43" t="str">
        <f t="shared" si="148"/>
        <v/>
      </c>
      <c r="AV304" s="43" t="str">
        <f t="shared" si="149"/>
        <v/>
      </c>
      <c r="AW304" s="43" t="str">
        <f t="shared" si="149"/>
        <v/>
      </c>
      <c r="AX304" s="43" t="str">
        <f t="shared" si="149"/>
        <v/>
      </c>
      <c r="AY304" s="43" t="str">
        <f t="shared" si="149"/>
        <v/>
      </c>
      <c r="AZ304" s="43" t="str">
        <f t="shared" si="149"/>
        <v/>
      </c>
      <c r="BA304" s="43" t="str">
        <f t="shared" si="149"/>
        <v/>
      </c>
      <c r="BB304" s="43"/>
      <c r="BC304" s="43"/>
      <c r="BD304" s="43"/>
      <c r="BE304" s="43"/>
      <c r="BF304" s="43"/>
      <c r="BG304" s="43"/>
      <c r="BW304" s="1250"/>
    </row>
    <row r="305" spans="1:75" x14ac:dyDescent="0.25">
      <c r="A305" s="1251"/>
      <c r="B305" s="462">
        <v>299</v>
      </c>
      <c r="C305" s="462"/>
      <c r="D305" s="1244"/>
      <c r="E305" s="1050"/>
      <c r="F305" s="1244"/>
      <c r="H305" s="43" t="str">
        <f t="shared" si="145"/>
        <v/>
      </c>
      <c r="I305" s="43" t="str">
        <f t="shared" si="145"/>
        <v/>
      </c>
      <c r="J305" s="43" t="str">
        <f t="shared" si="145"/>
        <v/>
      </c>
      <c r="K305" s="43" t="str">
        <f t="shared" si="145"/>
        <v/>
      </c>
      <c r="L305" s="43" t="str">
        <f t="shared" si="145"/>
        <v/>
      </c>
      <c r="M305" s="43" t="str">
        <f t="shared" si="145"/>
        <v/>
      </c>
      <c r="N305" s="43" t="str">
        <f t="shared" si="145"/>
        <v/>
      </c>
      <c r="O305" s="43" t="str">
        <f t="shared" si="145"/>
        <v/>
      </c>
      <c r="P305" s="43" t="str">
        <f t="shared" si="145"/>
        <v/>
      </c>
      <c r="Q305" s="43" t="str">
        <f t="shared" si="145"/>
        <v/>
      </c>
      <c r="R305" s="43" t="str">
        <f t="shared" si="146"/>
        <v/>
      </c>
      <c r="S305" s="43" t="str">
        <f t="shared" si="146"/>
        <v/>
      </c>
      <c r="T305" s="43" t="str">
        <f t="shared" si="146"/>
        <v/>
      </c>
      <c r="U305" s="43" t="str">
        <f t="shared" si="146"/>
        <v/>
      </c>
      <c r="V305" s="43" t="str">
        <f t="shared" si="146"/>
        <v/>
      </c>
      <c r="W305" s="43" t="str">
        <f t="shared" si="146"/>
        <v/>
      </c>
      <c r="X305" s="43" t="str">
        <f t="shared" si="146"/>
        <v/>
      </c>
      <c r="Y305" s="43" t="str">
        <f t="shared" si="146"/>
        <v/>
      </c>
      <c r="Z305" s="43" t="str">
        <f t="shared" si="146"/>
        <v/>
      </c>
      <c r="AA305" s="43" t="str">
        <f t="shared" si="146"/>
        <v/>
      </c>
      <c r="AB305" s="43" t="str">
        <f t="shared" si="147"/>
        <v/>
      </c>
      <c r="AC305" s="43" t="str">
        <f t="shared" si="147"/>
        <v/>
      </c>
      <c r="AD305" s="43" t="str">
        <f t="shared" si="147"/>
        <v/>
      </c>
      <c r="AE305" s="43" t="str">
        <f t="shared" si="147"/>
        <v/>
      </c>
      <c r="AF305" s="43" t="str">
        <f t="shared" si="147"/>
        <v/>
      </c>
      <c r="AG305" s="43" t="str">
        <f t="shared" si="147"/>
        <v/>
      </c>
      <c r="AH305" s="43" t="str">
        <f t="shared" si="147"/>
        <v/>
      </c>
      <c r="AI305" s="43" t="str">
        <f t="shared" si="147"/>
        <v/>
      </c>
      <c r="AJ305" s="43" t="str">
        <f t="shared" si="147"/>
        <v/>
      </c>
      <c r="AK305" s="43" t="str">
        <f t="shared" si="147"/>
        <v/>
      </c>
      <c r="AL305" s="43" t="str">
        <f t="shared" si="148"/>
        <v/>
      </c>
      <c r="AM305" s="43" t="str">
        <f t="shared" si="148"/>
        <v/>
      </c>
      <c r="AN305" s="43" t="str">
        <f t="shared" si="148"/>
        <v/>
      </c>
      <c r="AO305" s="43" t="str">
        <f t="shared" si="148"/>
        <v/>
      </c>
      <c r="AP305" s="43" t="str">
        <f t="shared" si="148"/>
        <v/>
      </c>
      <c r="AQ305" s="43" t="str">
        <f t="shared" si="148"/>
        <v/>
      </c>
      <c r="AR305" s="43" t="str">
        <f t="shared" si="148"/>
        <v/>
      </c>
      <c r="AS305" s="43" t="str">
        <f t="shared" si="148"/>
        <v/>
      </c>
      <c r="AT305" s="43" t="str">
        <f t="shared" si="148"/>
        <v/>
      </c>
      <c r="AU305" s="43" t="str">
        <f t="shared" si="148"/>
        <v/>
      </c>
      <c r="AV305" s="43" t="str">
        <f t="shared" si="149"/>
        <v/>
      </c>
      <c r="AW305" s="43" t="str">
        <f t="shared" si="149"/>
        <v/>
      </c>
      <c r="AX305" s="43" t="str">
        <f t="shared" si="149"/>
        <v/>
      </c>
      <c r="AY305" s="43" t="str">
        <f t="shared" si="149"/>
        <v/>
      </c>
      <c r="AZ305" s="43" t="str">
        <f t="shared" si="149"/>
        <v/>
      </c>
      <c r="BA305" s="43" t="str">
        <f t="shared" si="149"/>
        <v/>
      </c>
      <c r="BB305" s="43"/>
      <c r="BC305" s="43"/>
      <c r="BD305" s="43"/>
      <c r="BE305" s="43"/>
      <c r="BF305" s="43"/>
      <c r="BG305" s="43"/>
      <c r="BW305" s="1250"/>
    </row>
    <row r="306" spans="1:75" x14ac:dyDescent="0.25">
      <c r="A306" s="1251"/>
      <c r="B306" s="462">
        <v>300</v>
      </c>
      <c r="C306" s="462"/>
      <c r="D306" s="1244"/>
      <c r="E306" s="1050"/>
      <c r="F306" s="1244"/>
      <c r="H306" s="43" t="str">
        <f t="shared" si="145"/>
        <v/>
      </c>
      <c r="I306" s="43" t="str">
        <f t="shared" si="145"/>
        <v/>
      </c>
      <c r="J306" s="43" t="str">
        <f t="shared" si="145"/>
        <v/>
      </c>
      <c r="K306" s="43" t="str">
        <f t="shared" si="145"/>
        <v/>
      </c>
      <c r="L306" s="43" t="str">
        <f t="shared" si="145"/>
        <v/>
      </c>
      <c r="M306" s="43" t="str">
        <f t="shared" si="145"/>
        <v/>
      </c>
      <c r="N306" s="43" t="str">
        <f t="shared" si="145"/>
        <v/>
      </c>
      <c r="O306" s="43" t="str">
        <f t="shared" si="145"/>
        <v/>
      </c>
      <c r="P306" s="43" t="str">
        <f t="shared" si="145"/>
        <v/>
      </c>
      <c r="Q306" s="43" t="str">
        <f t="shared" si="145"/>
        <v/>
      </c>
      <c r="R306" s="43" t="str">
        <f t="shared" si="146"/>
        <v/>
      </c>
      <c r="S306" s="43" t="str">
        <f t="shared" si="146"/>
        <v/>
      </c>
      <c r="T306" s="43" t="str">
        <f t="shared" si="146"/>
        <v/>
      </c>
      <c r="U306" s="43" t="str">
        <f t="shared" si="146"/>
        <v/>
      </c>
      <c r="V306" s="43" t="str">
        <f t="shared" si="146"/>
        <v/>
      </c>
      <c r="W306" s="43" t="str">
        <f t="shared" si="146"/>
        <v/>
      </c>
      <c r="X306" s="43" t="str">
        <f t="shared" si="146"/>
        <v/>
      </c>
      <c r="Y306" s="43" t="str">
        <f t="shared" si="146"/>
        <v/>
      </c>
      <c r="Z306" s="43" t="str">
        <f t="shared" si="146"/>
        <v/>
      </c>
      <c r="AA306" s="43" t="str">
        <f t="shared" si="146"/>
        <v/>
      </c>
      <c r="AB306" s="43" t="str">
        <f t="shared" si="147"/>
        <v/>
      </c>
      <c r="AC306" s="43" t="str">
        <f t="shared" si="147"/>
        <v/>
      </c>
      <c r="AD306" s="43" t="str">
        <f t="shared" si="147"/>
        <v/>
      </c>
      <c r="AE306" s="43" t="str">
        <f t="shared" si="147"/>
        <v/>
      </c>
      <c r="AF306" s="43" t="str">
        <f t="shared" si="147"/>
        <v/>
      </c>
      <c r="AG306" s="43" t="str">
        <f t="shared" si="147"/>
        <v/>
      </c>
      <c r="AH306" s="43" t="str">
        <f t="shared" si="147"/>
        <v/>
      </c>
      <c r="AI306" s="43" t="str">
        <f t="shared" si="147"/>
        <v/>
      </c>
      <c r="AJ306" s="43" t="str">
        <f t="shared" si="147"/>
        <v/>
      </c>
      <c r="AK306" s="43" t="str">
        <f t="shared" si="147"/>
        <v/>
      </c>
      <c r="AL306" s="43" t="str">
        <f t="shared" si="148"/>
        <v/>
      </c>
      <c r="AM306" s="43" t="str">
        <f t="shared" si="148"/>
        <v/>
      </c>
      <c r="AN306" s="43" t="str">
        <f t="shared" si="148"/>
        <v/>
      </c>
      <c r="AO306" s="43" t="str">
        <f t="shared" si="148"/>
        <v/>
      </c>
      <c r="AP306" s="43" t="str">
        <f t="shared" si="148"/>
        <v/>
      </c>
      <c r="AQ306" s="43" t="str">
        <f t="shared" si="148"/>
        <v/>
      </c>
      <c r="AR306" s="43" t="str">
        <f t="shared" si="148"/>
        <v/>
      </c>
      <c r="AS306" s="43" t="str">
        <f t="shared" si="148"/>
        <v/>
      </c>
      <c r="AT306" s="43" t="str">
        <f t="shared" si="148"/>
        <v/>
      </c>
      <c r="AU306" s="43" t="str">
        <f t="shared" si="148"/>
        <v/>
      </c>
      <c r="AV306" s="43" t="str">
        <f t="shared" si="149"/>
        <v/>
      </c>
      <c r="AW306" s="43" t="str">
        <f t="shared" si="149"/>
        <v/>
      </c>
      <c r="AX306" s="43" t="str">
        <f t="shared" si="149"/>
        <v/>
      </c>
      <c r="AY306" s="43" t="str">
        <f t="shared" si="149"/>
        <v/>
      </c>
      <c r="AZ306" s="43" t="str">
        <f t="shared" si="149"/>
        <v/>
      </c>
      <c r="BA306" s="43" t="str">
        <f t="shared" si="149"/>
        <v/>
      </c>
      <c r="BB306" s="43"/>
      <c r="BC306" s="43"/>
      <c r="BD306" s="43"/>
      <c r="BE306" s="43"/>
      <c r="BF306" s="43"/>
      <c r="BG306" s="43"/>
      <c r="BW306" s="1250"/>
    </row>
    <row r="307" spans="1:75" x14ac:dyDescent="0.25">
      <c r="A307" s="1251"/>
      <c r="B307" s="462">
        <v>301</v>
      </c>
      <c r="C307" s="462"/>
      <c r="D307" s="1244"/>
      <c r="E307" s="1050"/>
      <c r="F307" s="1244"/>
      <c r="H307" s="43" t="str">
        <f t="shared" ref="H307:Q316" si="150">IF($D307=H$6,$B307&amp;", ","")</f>
        <v/>
      </c>
      <c r="I307" s="43" t="str">
        <f t="shared" si="150"/>
        <v/>
      </c>
      <c r="J307" s="43" t="str">
        <f t="shared" si="150"/>
        <v/>
      </c>
      <c r="K307" s="43" t="str">
        <f t="shared" si="150"/>
        <v/>
      </c>
      <c r="L307" s="43" t="str">
        <f t="shared" si="150"/>
        <v/>
      </c>
      <c r="M307" s="43" t="str">
        <f t="shared" si="150"/>
        <v/>
      </c>
      <c r="N307" s="43" t="str">
        <f t="shared" si="150"/>
        <v/>
      </c>
      <c r="O307" s="43" t="str">
        <f t="shared" si="150"/>
        <v/>
      </c>
      <c r="P307" s="43" t="str">
        <f t="shared" si="150"/>
        <v/>
      </c>
      <c r="Q307" s="43" t="str">
        <f t="shared" si="150"/>
        <v/>
      </c>
      <c r="R307" s="43" t="str">
        <f t="shared" ref="R307:AA316" si="151">IF($D307=R$6,$B307&amp;", ","")</f>
        <v/>
      </c>
      <c r="S307" s="43" t="str">
        <f t="shared" si="151"/>
        <v/>
      </c>
      <c r="T307" s="43" t="str">
        <f t="shared" si="151"/>
        <v/>
      </c>
      <c r="U307" s="43" t="str">
        <f t="shared" si="151"/>
        <v/>
      </c>
      <c r="V307" s="43" t="str">
        <f t="shared" si="151"/>
        <v/>
      </c>
      <c r="W307" s="43" t="str">
        <f t="shared" si="151"/>
        <v/>
      </c>
      <c r="X307" s="43" t="str">
        <f t="shared" si="151"/>
        <v/>
      </c>
      <c r="Y307" s="43" t="str">
        <f t="shared" si="151"/>
        <v/>
      </c>
      <c r="Z307" s="43" t="str">
        <f t="shared" si="151"/>
        <v/>
      </c>
      <c r="AA307" s="43" t="str">
        <f t="shared" si="151"/>
        <v/>
      </c>
      <c r="AB307" s="43" t="str">
        <f t="shared" ref="AB307:AK316" si="152">IF($D307=AB$6,$B307&amp;", ","")</f>
        <v/>
      </c>
      <c r="AC307" s="43" t="str">
        <f t="shared" si="152"/>
        <v/>
      </c>
      <c r="AD307" s="43" t="str">
        <f t="shared" si="152"/>
        <v/>
      </c>
      <c r="AE307" s="43" t="str">
        <f t="shared" si="152"/>
        <v/>
      </c>
      <c r="AF307" s="43" t="str">
        <f t="shared" si="152"/>
        <v/>
      </c>
      <c r="AG307" s="43" t="str">
        <f t="shared" si="152"/>
        <v/>
      </c>
      <c r="AH307" s="43" t="str">
        <f t="shared" si="152"/>
        <v/>
      </c>
      <c r="AI307" s="43" t="str">
        <f t="shared" si="152"/>
        <v/>
      </c>
      <c r="AJ307" s="43" t="str">
        <f t="shared" si="152"/>
        <v/>
      </c>
      <c r="AK307" s="43" t="str">
        <f t="shared" si="152"/>
        <v/>
      </c>
      <c r="AL307" s="43" t="str">
        <f t="shared" ref="AL307:AU316" si="153">IF($D307=AL$6,$B307&amp;", ","")</f>
        <v/>
      </c>
      <c r="AM307" s="43" t="str">
        <f t="shared" si="153"/>
        <v/>
      </c>
      <c r="AN307" s="43" t="str">
        <f t="shared" si="153"/>
        <v/>
      </c>
      <c r="AO307" s="43" t="str">
        <f t="shared" si="153"/>
        <v/>
      </c>
      <c r="AP307" s="43" t="str">
        <f t="shared" si="153"/>
        <v/>
      </c>
      <c r="AQ307" s="43" t="str">
        <f t="shared" si="153"/>
        <v/>
      </c>
      <c r="AR307" s="43" t="str">
        <f t="shared" si="153"/>
        <v/>
      </c>
      <c r="AS307" s="43" t="str">
        <f t="shared" si="153"/>
        <v/>
      </c>
      <c r="AT307" s="43" t="str">
        <f t="shared" si="153"/>
        <v/>
      </c>
      <c r="AU307" s="43" t="str">
        <f t="shared" si="153"/>
        <v/>
      </c>
      <c r="AV307" s="43" t="str">
        <f t="shared" ref="AV307:BA316" si="154">IF($D307=AV$6,$B307&amp;", ","")</f>
        <v/>
      </c>
      <c r="AW307" s="43" t="str">
        <f t="shared" si="154"/>
        <v/>
      </c>
      <c r="AX307" s="43" t="str">
        <f t="shared" si="154"/>
        <v/>
      </c>
      <c r="AY307" s="43" t="str">
        <f t="shared" si="154"/>
        <v/>
      </c>
      <c r="AZ307" s="43" t="str">
        <f t="shared" si="154"/>
        <v/>
      </c>
      <c r="BA307" s="43" t="str">
        <f t="shared" si="154"/>
        <v/>
      </c>
      <c r="BB307" s="43"/>
      <c r="BC307" s="43"/>
      <c r="BD307" s="43"/>
      <c r="BE307" s="43"/>
      <c r="BF307" s="43"/>
      <c r="BG307" s="43"/>
      <c r="BW307" s="1250"/>
    </row>
    <row r="308" spans="1:75" x14ac:dyDescent="0.25">
      <c r="A308" s="1251"/>
      <c r="B308" s="462">
        <v>302</v>
      </c>
      <c r="C308" s="462"/>
      <c r="D308" s="1244"/>
      <c r="E308" s="1050"/>
      <c r="F308" s="1244"/>
      <c r="H308" s="43" t="str">
        <f t="shared" si="150"/>
        <v/>
      </c>
      <c r="I308" s="43" t="str">
        <f t="shared" si="150"/>
        <v/>
      </c>
      <c r="J308" s="43" t="str">
        <f t="shared" si="150"/>
        <v/>
      </c>
      <c r="K308" s="43" t="str">
        <f t="shared" si="150"/>
        <v/>
      </c>
      <c r="L308" s="43" t="str">
        <f t="shared" si="150"/>
        <v/>
      </c>
      <c r="M308" s="43" t="str">
        <f t="shared" si="150"/>
        <v/>
      </c>
      <c r="N308" s="43" t="str">
        <f t="shared" si="150"/>
        <v/>
      </c>
      <c r="O308" s="43" t="str">
        <f t="shared" si="150"/>
        <v/>
      </c>
      <c r="P308" s="43" t="str">
        <f t="shared" si="150"/>
        <v/>
      </c>
      <c r="Q308" s="43" t="str">
        <f t="shared" si="150"/>
        <v/>
      </c>
      <c r="R308" s="43" t="str">
        <f t="shared" si="151"/>
        <v/>
      </c>
      <c r="S308" s="43" t="str">
        <f t="shared" si="151"/>
        <v/>
      </c>
      <c r="T308" s="43" t="str">
        <f t="shared" si="151"/>
        <v/>
      </c>
      <c r="U308" s="43" t="str">
        <f t="shared" si="151"/>
        <v/>
      </c>
      <c r="V308" s="43" t="str">
        <f t="shared" si="151"/>
        <v/>
      </c>
      <c r="W308" s="43" t="str">
        <f t="shared" si="151"/>
        <v/>
      </c>
      <c r="X308" s="43" t="str">
        <f t="shared" si="151"/>
        <v/>
      </c>
      <c r="Y308" s="43" t="str">
        <f t="shared" si="151"/>
        <v/>
      </c>
      <c r="Z308" s="43" t="str">
        <f t="shared" si="151"/>
        <v/>
      </c>
      <c r="AA308" s="43" t="str">
        <f t="shared" si="151"/>
        <v/>
      </c>
      <c r="AB308" s="43" t="str">
        <f t="shared" si="152"/>
        <v/>
      </c>
      <c r="AC308" s="43" t="str">
        <f t="shared" si="152"/>
        <v/>
      </c>
      <c r="AD308" s="43" t="str">
        <f t="shared" si="152"/>
        <v/>
      </c>
      <c r="AE308" s="43" t="str">
        <f t="shared" si="152"/>
        <v/>
      </c>
      <c r="AF308" s="43" t="str">
        <f t="shared" si="152"/>
        <v/>
      </c>
      <c r="AG308" s="43" t="str">
        <f t="shared" si="152"/>
        <v/>
      </c>
      <c r="AH308" s="43" t="str">
        <f t="shared" si="152"/>
        <v/>
      </c>
      <c r="AI308" s="43" t="str">
        <f t="shared" si="152"/>
        <v/>
      </c>
      <c r="AJ308" s="43" t="str">
        <f t="shared" si="152"/>
        <v/>
      </c>
      <c r="AK308" s="43" t="str">
        <f t="shared" si="152"/>
        <v/>
      </c>
      <c r="AL308" s="43" t="str">
        <f t="shared" si="153"/>
        <v/>
      </c>
      <c r="AM308" s="43" t="str">
        <f t="shared" si="153"/>
        <v/>
      </c>
      <c r="AN308" s="43" t="str">
        <f t="shared" si="153"/>
        <v/>
      </c>
      <c r="AO308" s="43" t="str">
        <f t="shared" si="153"/>
        <v/>
      </c>
      <c r="AP308" s="43" t="str">
        <f t="shared" si="153"/>
        <v/>
      </c>
      <c r="AQ308" s="43" t="str">
        <f t="shared" si="153"/>
        <v/>
      </c>
      <c r="AR308" s="43" t="str">
        <f t="shared" si="153"/>
        <v/>
      </c>
      <c r="AS308" s="43" t="str">
        <f t="shared" si="153"/>
        <v/>
      </c>
      <c r="AT308" s="43" t="str">
        <f t="shared" si="153"/>
        <v/>
      </c>
      <c r="AU308" s="43" t="str">
        <f t="shared" si="153"/>
        <v/>
      </c>
      <c r="AV308" s="43" t="str">
        <f t="shared" si="154"/>
        <v/>
      </c>
      <c r="AW308" s="43" t="str">
        <f t="shared" si="154"/>
        <v/>
      </c>
      <c r="AX308" s="43" t="str">
        <f t="shared" si="154"/>
        <v/>
      </c>
      <c r="AY308" s="43" t="str">
        <f t="shared" si="154"/>
        <v/>
      </c>
      <c r="AZ308" s="43" t="str">
        <f t="shared" si="154"/>
        <v/>
      </c>
      <c r="BA308" s="43" t="str">
        <f t="shared" si="154"/>
        <v/>
      </c>
      <c r="BB308" s="43"/>
      <c r="BC308" s="43"/>
      <c r="BD308" s="43"/>
      <c r="BE308" s="43"/>
      <c r="BF308" s="43"/>
      <c r="BG308" s="43"/>
      <c r="BW308" s="1250"/>
    </row>
    <row r="309" spans="1:75" x14ac:dyDescent="0.25">
      <c r="A309" s="1251"/>
      <c r="B309" s="462">
        <v>303</v>
      </c>
      <c r="C309" s="462"/>
      <c r="D309" s="1244"/>
      <c r="E309" s="1050"/>
      <c r="F309" s="1244"/>
      <c r="H309" s="43" t="str">
        <f t="shared" si="150"/>
        <v/>
      </c>
      <c r="I309" s="43" t="str">
        <f t="shared" si="150"/>
        <v/>
      </c>
      <c r="J309" s="43" t="str">
        <f t="shared" si="150"/>
        <v/>
      </c>
      <c r="K309" s="43" t="str">
        <f t="shared" si="150"/>
        <v/>
      </c>
      <c r="L309" s="43" t="str">
        <f t="shared" si="150"/>
        <v/>
      </c>
      <c r="M309" s="43" t="str">
        <f t="shared" si="150"/>
        <v/>
      </c>
      <c r="N309" s="43" t="str">
        <f t="shared" si="150"/>
        <v/>
      </c>
      <c r="O309" s="43" t="str">
        <f t="shared" si="150"/>
        <v/>
      </c>
      <c r="P309" s="43" t="str">
        <f t="shared" si="150"/>
        <v/>
      </c>
      <c r="Q309" s="43" t="str">
        <f t="shared" si="150"/>
        <v/>
      </c>
      <c r="R309" s="43" t="str">
        <f t="shared" si="151"/>
        <v/>
      </c>
      <c r="S309" s="43" t="str">
        <f t="shared" si="151"/>
        <v/>
      </c>
      <c r="T309" s="43" t="str">
        <f t="shared" si="151"/>
        <v/>
      </c>
      <c r="U309" s="43" t="str">
        <f t="shared" si="151"/>
        <v/>
      </c>
      <c r="V309" s="43" t="str">
        <f t="shared" si="151"/>
        <v/>
      </c>
      <c r="W309" s="43" t="str">
        <f t="shared" si="151"/>
        <v/>
      </c>
      <c r="X309" s="43" t="str">
        <f t="shared" si="151"/>
        <v/>
      </c>
      <c r="Y309" s="43" t="str">
        <f t="shared" si="151"/>
        <v/>
      </c>
      <c r="Z309" s="43" t="str">
        <f t="shared" si="151"/>
        <v/>
      </c>
      <c r="AA309" s="43" t="str">
        <f t="shared" si="151"/>
        <v/>
      </c>
      <c r="AB309" s="43" t="str">
        <f t="shared" si="152"/>
        <v/>
      </c>
      <c r="AC309" s="43" t="str">
        <f t="shared" si="152"/>
        <v/>
      </c>
      <c r="AD309" s="43" t="str">
        <f t="shared" si="152"/>
        <v/>
      </c>
      <c r="AE309" s="43" t="str">
        <f t="shared" si="152"/>
        <v/>
      </c>
      <c r="AF309" s="43" t="str">
        <f t="shared" si="152"/>
        <v/>
      </c>
      <c r="AG309" s="43" t="str">
        <f t="shared" si="152"/>
        <v/>
      </c>
      <c r="AH309" s="43" t="str">
        <f t="shared" si="152"/>
        <v/>
      </c>
      <c r="AI309" s="43" t="str">
        <f t="shared" si="152"/>
        <v/>
      </c>
      <c r="AJ309" s="43" t="str">
        <f t="shared" si="152"/>
        <v/>
      </c>
      <c r="AK309" s="43" t="str">
        <f t="shared" si="152"/>
        <v/>
      </c>
      <c r="AL309" s="43" t="str">
        <f t="shared" si="153"/>
        <v/>
      </c>
      <c r="AM309" s="43" t="str">
        <f t="shared" si="153"/>
        <v/>
      </c>
      <c r="AN309" s="43" t="str">
        <f t="shared" si="153"/>
        <v/>
      </c>
      <c r="AO309" s="43" t="str">
        <f t="shared" si="153"/>
        <v/>
      </c>
      <c r="AP309" s="43" t="str">
        <f t="shared" si="153"/>
        <v/>
      </c>
      <c r="AQ309" s="43" t="str">
        <f t="shared" si="153"/>
        <v/>
      </c>
      <c r="AR309" s="43" t="str">
        <f t="shared" si="153"/>
        <v/>
      </c>
      <c r="AS309" s="43" t="str">
        <f t="shared" si="153"/>
        <v/>
      </c>
      <c r="AT309" s="43" t="str">
        <f t="shared" si="153"/>
        <v/>
      </c>
      <c r="AU309" s="43" t="str">
        <f t="shared" si="153"/>
        <v/>
      </c>
      <c r="AV309" s="43" t="str">
        <f t="shared" si="154"/>
        <v/>
      </c>
      <c r="AW309" s="43" t="str">
        <f t="shared" si="154"/>
        <v/>
      </c>
      <c r="AX309" s="43" t="str">
        <f t="shared" si="154"/>
        <v/>
      </c>
      <c r="AY309" s="43" t="str">
        <f t="shared" si="154"/>
        <v/>
      </c>
      <c r="AZ309" s="43" t="str">
        <f t="shared" si="154"/>
        <v/>
      </c>
      <c r="BA309" s="43" t="str">
        <f t="shared" si="154"/>
        <v/>
      </c>
      <c r="BB309" s="43"/>
      <c r="BC309" s="43"/>
      <c r="BD309" s="43"/>
      <c r="BE309" s="43"/>
      <c r="BF309" s="43"/>
      <c r="BG309" s="43"/>
      <c r="BW309" s="1250"/>
    </row>
    <row r="310" spans="1:75" x14ac:dyDescent="0.25">
      <c r="A310" s="1251"/>
      <c r="B310" s="462">
        <v>304</v>
      </c>
      <c r="C310" s="462"/>
      <c r="D310" s="1244"/>
      <c r="E310" s="1050"/>
      <c r="F310" s="1244"/>
      <c r="H310" s="43" t="str">
        <f t="shared" si="150"/>
        <v/>
      </c>
      <c r="I310" s="43" t="str">
        <f t="shared" si="150"/>
        <v/>
      </c>
      <c r="J310" s="43" t="str">
        <f t="shared" si="150"/>
        <v/>
      </c>
      <c r="K310" s="43" t="str">
        <f t="shared" si="150"/>
        <v/>
      </c>
      <c r="L310" s="43" t="str">
        <f t="shared" si="150"/>
        <v/>
      </c>
      <c r="M310" s="43" t="str">
        <f t="shared" si="150"/>
        <v/>
      </c>
      <c r="N310" s="43" t="str">
        <f t="shared" si="150"/>
        <v/>
      </c>
      <c r="O310" s="43" t="str">
        <f t="shared" si="150"/>
        <v/>
      </c>
      <c r="P310" s="43" t="str">
        <f t="shared" si="150"/>
        <v/>
      </c>
      <c r="Q310" s="43" t="str">
        <f t="shared" si="150"/>
        <v/>
      </c>
      <c r="R310" s="43" t="str">
        <f t="shared" si="151"/>
        <v/>
      </c>
      <c r="S310" s="43" t="str">
        <f t="shared" si="151"/>
        <v/>
      </c>
      <c r="T310" s="43" t="str">
        <f t="shared" si="151"/>
        <v/>
      </c>
      <c r="U310" s="43" t="str">
        <f t="shared" si="151"/>
        <v/>
      </c>
      <c r="V310" s="43" t="str">
        <f t="shared" si="151"/>
        <v/>
      </c>
      <c r="W310" s="43" t="str">
        <f t="shared" si="151"/>
        <v/>
      </c>
      <c r="X310" s="43" t="str">
        <f t="shared" si="151"/>
        <v/>
      </c>
      <c r="Y310" s="43" t="str">
        <f t="shared" si="151"/>
        <v/>
      </c>
      <c r="Z310" s="43" t="str">
        <f t="shared" si="151"/>
        <v/>
      </c>
      <c r="AA310" s="43" t="str">
        <f t="shared" si="151"/>
        <v/>
      </c>
      <c r="AB310" s="43" t="str">
        <f t="shared" si="152"/>
        <v/>
      </c>
      <c r="AC310" s="43" t="str">
        <f t="shared" si="152"/>
        <v/>
      </c>
      <c r="AD310" s="43" t="str">
        <f t="shared" si="152"/>
        <v/>
      </c>
      <c r="AE310" s="43" t="str">
        <f t="shared" si="152"/>
        <v/>
      </c>
      <c r="AF310" s="43" t="str">
        <f t="shared" si="152"/>
        <v/>
      </c>
      <c r="AG310" s="43" t="str">
        <f t="shared" si="152"/>
        <v/>
      </c>
      <c r="AH310" s="43" t="str">
        <f t="shared" si="152"/>
        <v/>
      </c>
      <c r="AI310" s="43" t="str">
        <f t="shared" si="152"/>
        <v/>
      </c>
      <c r="AJ310" s="43" t="str">
        <f t="shared" si="152"/>
        <v/>
      </c>
      <c r="AK310" s="43" t="str">
        <f t="shared" si="152"/>
        <v/>
      </c>
      <c r="AL310" s="43" t="str">
        <f t="shared" si="153"/>
        <v/>
      </c>
      <c r="AM310" s="43" t="str">
        <f t="shared" si="153"/>
        <v/>
      </c>
      <c r="AN310" s="43" t="str">
        <f t="shared" si="153"/>
        <v/>
      </c>
      <c r="AO310" s="43" t="str">
        <f t="shared" si="153"/>
        <v/>
      </c>
      <c r="AP310" s="43" t="str">
        <f t="shared" si="153"/>
        <v/>
      </c>
      <c r="AQ310" s="43" t="str">
        <f t="shared" si="153"/>
        <v/>
      </c>
      <c r="AR310" s="43" t="str">
        <f t="shared" si="153"/>
        <v/>
      </c>
      <c r="AS310" s="43" t="str">
        <f t="shared" si="153"/>
        <v/>
      </c>
      <c r="AT310" s="43" t="str">
        <f t="shared" si="153"/>
        <v/>
      </c>
      <c r="AU310" s="43" t="str">
        <f t="shared" si="153"/>
        <v/>
      </c>
      <c r="AV310" s="43" t="str">
        <f t="shared" si="154"/>
        <v/>
      </c>
      <c r="AW310" s="43" t="str">
        <f t="shared" si="154"/>
        <v/>
      </c>
      <c r="AX310" s="43" t="str">
        <f t="shared" si="154"/>
        <v/>
      </c>
      <c r="AY310" s="43" t="str">
        <f t="shared" si="154"/>
        <v/>
      </c>
      <c r="AZ310" s="43" t="str">
        <f t="shared" si="154"/>
        <v/>
      </c>
      <c r="BA310" s="43" t="str">
        <f t="shared" si="154"/>
        <v/>
      </c>
      <c r="BB310" s="43"/>
      <c r="BC310" s="43"/>
      <c r="BD310" s="43"/>
      <c r="BE310" s="43"/>
      <c r="BF310" s="43"/>
      <c r="BG310" s="43"/>
      <c r="BW310" s="1250"/>
    </row>
    <row r="311" spans="1:75" x14ac:dyDescent="0.25">
      <c r="A311" s="1251"/>
      <c r="B311" s="462">
        <v>305</v>
      </c>
      <c r="C311" s="462"/>
      <c r="D311" s="1244"/>
      <c r="E311" s="1050"/>
      <c r="F311" s="1244"/>
      <c r="H311" s="43" t="str">
        <f t="shared" si="150"/>
        <v/>
      </c>
      <c r="I311" s="43" t="str">
        <f t="shared" si="150"/>
        <v/>
      </c>
      <c r="J311" s="43" t="str">
        <f t="shared" si="150"/>
        <v/>
      </c>
      <c r="K311" s="43" t="str">
        <f t="shared" si="150"/>
        <v/>
      </c>
      <c r="L311" s="43" t="str">
        <f t="shared" si="150"/>
        <v/>
      </c>
      <c r="M311" s="43" t="str">
        <f t="shared" si="150"/>
        <v/>
      </c>
      <c r="N311" s="43" t="str">
        <f t="shared" si="150"/>
        <v/>
      </c>
      <c r="O311" s="43" t="str">
        <f t="shared" si="150"/>
        <v/>
      </c>
      <c r="P311" s="43" t="str">
        <f t="shared" si="150"/>
        <v/>
      </c>
      <c r="Q311" s="43" t="str">
        <f t="shared" si="150"/>
        <v/>
      </c>
      <c r="R311" s="43" t="str">
        <f t="shared" si="151"/>
        <v/>
      </c>
      <c r="S311" s="43" t="str">
        <f t="shared" si="151"/>
        <v/>
      </c>
      <c r="T311" s="43" t="str">
        <f t="shared" si="151"/>
        <v/>
      </c>
      <c r="U311" s="43" t="str">
        <f t="shared" si="151"/>
        <v/>
      </c>
      <c r="V311" s="43" t="str">
        <f t="shared" si="151"/>
        <v/>
      </c>
      <c r="W311" s="43" t="str">
        <f t="shared" si="151"/>
        <v/>
      </c>
      <c r="X311" s="43" t="str">
        <f t="shared" si="151"/>
        <v/>
      </c>
      <c r="Y311" s="43" t="str">
        <f t="shared" si="151"/>
        <v/>
      </c>
      <c r="Z311" s="43" t="str">
        <f t="shared" si="151"/>
        <v/>
      </c>
      <c r="AA311" s="43" t="str">
        <f t="shared" si="151"/>
        <v/>
      </c>
      <c r="AB311" s="43" t="str">
        <f t="shared" si="152"/>
        <v/>
      </c>
      <c r="AC311" s="43" t="str">
        <f t="shared" si="152"/>
        <v/>
      </c>
      <c r="AD311" s="43" t="str">
        <f t="shared" si="152"/>
        <v/>
      </c>
      <c r="AE311" s="43" t="str">
        <f t="shared" si="152"/>
        <v/>
      </c>
      <c r="AF311" s="43" t="str">
        <f t="shared" si="152"/>
        <v/>
      </c>
      <c r="AG311" s="43" t="str">
        <f t="shared" si="152"/>
        <v/>
      </c>
      <c r="AH311" s="43" t="str">
        <f t="shared" si="152"/>
        <v/>
      </c>
      <c r="AI311" s="43" t="str">
        <f t="shared" si="152"/>
        <v/>
      </c>
      <c r="AJ311" s="43" t="str">
        <f t="shared" si="152"/>
        <v/>
      </c>
      <c r="AK311" s="43" t="str">
        <f t="shared" si="152"/>
        <v/>
      </c>
      <c r="AL311" s="43" t="str">
        <f t="shared" si="153"/>
        <v/>
      </c>
      <c r="AM311" s="43" t="str">
        <f t="shared" si="153"/>
        <v/>
      </c>
      <c r="AN311" s="43" t="str">
        <f t="shared" si="153"/>
        <v/>
      </c>
      <c r="AO311" s="43" t="str">
        <f t="shared" si="153"/>
        <v/>
      </c>
      <c r="AP311" s="43" t="str">
        <f t="shared" si="153"/>
        <v/>
      </c>
      <c r="AQ311" s="43" t="str">
        <f t="shared" si="153"/>
        <v/>
      </c>
      <c r="AR311" s="43" t="str">
        <f t="shared" si="153"/>
        <v/>
      </c>
      <c r="AS311" s="43" t="str">
        <f t="shared" si="153"/>
        <v/>
      </c>
      <c r="AT311" s="43" t="str">
        <f t="shared" si="153"/>
        <v/>
      </c>
      <c r="AU311" s="43" t="str">
        <f t="shared" si="153"/>
        <v/>
      </c>
      <c r="AV311" s="43" t="str">
        <f t="shared" si="154"/>
        <v/>
      </c>
      <c r="AW311" s="43" t="str">
        <f t="shared" si="154"/>
        <v/>
      </c>
      <c r="AX311" s="43" t="str">
        <f t="shared" si="154"/>
        <v/>
      </c>
      <c r="AY311" s="43" t="str">
        <f t="shared" si="154"/>
        <v/>
      </c>
      <c r="AZ311" s="43" t="str">
        <f t="shared" si="154"/>
        <v/>
      </c>
      <c r="BA311" s="43" t="str">
        <f t="shared" si="154"/>
        <v/>
      </c>
      <c r="BB311" s="43"/>
      <c r="BC311" s="43"/>
      <c r="BD311" s="43"/>
      <c r="BE311" s="43"/>
      <c r="BF311" s="43"/>
      <c r="BG311" s="43"/>
      <c r="BW311" s="1250"/>
    </row>
    <row r="312" spans="1:75" x14ac:dyDescent="0.25">
      <c r="A312" s="1251"/>
      <c r="B312" s="462">
        <v>306</v>
      </c>
      <c r="C312" s="462"/>
      <c r="D312" s="1244"/>
      <c r="E312" s="1050"/>
      <c r="F312" s="1244"/>
      <c r="H312" s="43" t="str">
        <f t="shared" si="150"/>
        <v/>
      </c>
      <c r="I312" s="43" t="str">
        <f t="shared" si="150"/>
        <v/>
      </c>
      <c r="J312" s="43" t="str">
        <f t="shared" si="150"/>
        <v/>
      </c>
      <c r="K312" s="43" t="str">
        <f t="shared" si="150"/>
        <v/>
      </c>
      <c r="L312" s="43" t="str">
        <f t="shared" si="150"/>
        <v/>
      </c>
      <c r="M312" s="43" t="str">
        <f t="shared" si="150"/>
        <v/>
      </c>
      <c r="N312" s="43" t="str">
        <f t="shared" si="150"/>
        <v/>
      </c>
      <c r="O312" s="43" t="str">
        <f t="shared" si="150"/>
        <v/>
      </c>
      <c r="P312" s="43" t="str">
        <f t="shared" si="150"/>
        <v/>
      </c>
      <c r="Q312" s="43" t="str">
        <f t="shared" si="150"/>
        <v/>
      </c>
      <c r="R312" s="43" t="str">
        <f t="shared" si="151"/>
        <v/>
      </c>
      <c r="S312" s="43" t="str">
        <f t="shared" si="151"/>
        <v/>
      </c>
      <c r="T312" s="43" t="str">
        <f t="shared" si="151"/>
        <v/>
      </c>
      <c r="U312" s="43" t="str">
        <f t="shared" si="151"/>
        <v/>
      </c>
      <c r="V312" s="43" t="str">
        <f t="shared" si="151"/>
        <v/>
      </c>
      <c r="W312" s="43" t="str">
        <f t="shared" si="151"/>
        <v/>
      </c>
      <c r="X312" s="43" t="str">
        <f t="shared" si="151"/>
        <v/>
      </c>
      <c r="Y312" s="43" t="str">
        <f t="shared" si="151"/>
        <v/>
      </c>
      <c r="Z312" s="43" t="str">
        <f t="shared" si="151"/>
        <v/>
      </c>
      <c r="AA312" s="43" t="str">
        <f t="shared" si="151"/>
        <v/>
      </c>
      <c r="AB312" s="43" t="str">
        <f t="shared" si="152"/>
        <v/>
      </c>
      <c r="AC312" s="43" t="str">
        <f t="shared" si="152"/>
        <v/>
      </c>
      <c r="AD312" s="43" t="str">
        <f t="shared" si="152"/>
        <v/>
      </c>
      <c r="AE312" s="43" t="str">
        <f t="shared" si="152"/>
        <v/>
      </c>
      <c r="AF312" s="43" t="str">
        <f t="shared" si="152"/>
        <v/>
      </c>
      <c r="AG312" s="43" t="str">
        <f t="shared" si="152"/>
        <v/>
      </c>
      <c r="AH312" s="43" t="str">
        <f t="shared" si="152"/>
        <v/>
      </c>
      <c r="AI312" s="43" t="str">
        <f t="shared" si="152"/>
        <v/>
      </c>
      <c r="AJ312" s="43" t="str">
        <f t="shared" si="152"/>
        <v/>
      </c>
      <c r="AK312" s="43" t="str">
        <f t="shared" si="152"/>
        <v/>
      </c>
      <c r="AL312" s="43" t="str">
        <f t="shared" si="153"/>
        <v/>
      </c>
      <c r="AM312" s="43" t="str">
        <f t="shared" si="153"/>
        <v/>
      </c>
      <c r="AN312" s="43" t="str">
        <f t="shared" si="153"/>
        <v/>
      </c>
      <c r="AO312" s="43" t="str">
        <f t="shared" si="153"/>
        <v/>
      </c>
      <c r="AP312" s="43" t="str">
        <f t="shared" si="153"/>
        <v/>
      </c>
      <c r="AQ312" s="43" t="str">
        <f t="shared" si="153"/>
        <v/>
      </c>
      <c r="AR312" s="43" t="str">
        <f t="shared" si="153"/>
        <v/>
      </c>
      <c r="AS312" s="43" t="str">
        <f t="shared" si="153"/>
        <v/>
      </c>
      <c r="AT312" s="43" t="str">
        <f t="shared" si="153"/>
        <v/>
      </c>
      <c r="AU312" s="43" t="str">
        <f t="shared" si="153"/>
        <v/>
      </c>
      <c r="AV312" s="43" t="str">
        <f t="shared" si="154"/>
        <v/>
      </c>
      <c r="AW312" s="43" t="str">
        <f t="shared" si="154"/>
        <v/>
      </c>
      <c r="AX312" s="43" t="str">
        <f t="shared" si="154"/>
        <v/>
      </c>
      <c r="AY312" s="43" t="str">
        <f t="shared" si="154"/>
        <v/>
      </c>
      <c r="AZ312" s="43" t="str">
        <f t="shared" si="154"/>
        <v/>
      </c>
      <c r="BA312" s="43" t="str">
        <f t="shared" si="154"/>
        <v/>
      </c>
      <c r="BB312" s="43"/>
      <c r="BC312" s="43"/>
      <c r="BD312" s="43"/>
      <c r="BE312" s="43"/>
      <c r="BF312" s="43"/>
      <c r="BG312" s="43"/>
      <c r="BW312" s="1250"/>
    </row>
    <row r="313" spans="1:75" x14ac:dyDescent="0.25">
      <c r="A313" s="1251"/>
      <c r="B313" s="462">
        <v>307</v>
      </c>
      <c r="C313" s="462"/>
      <c r="D313" s="1244"/>
      <c r="E313" s="1050"/>
      <c r="F313" s="1244"/>
      <c r="H313" s="43" t="str">
        <f t="shared" si="150"/>
        <v/>
      </c>
      <c r="I313" s="43" t="str">
        <f t="shared" si="150"/>
        <v/>
      </c>
      <c r="J313" s="43" t="str">
        <f t="shared" si="150"/>
        <v/>
      </c>
      <c r="K313" s="43" t="str">
        <f t="shared" si="150"/>
        <v/>
      </c>
      <c r="L313" s="43" t="str">
        <f t="shared" si="150"/>
        <v/>
      </c>
      <c r="M313" s="43" t="str">
        <f t="shared" si="150"/>
        <v/>
      </c>
      <c r="N313" s="43" t="str">
        <f t="shared" si="150"/>
        <v/>
      </c>
      <c r="O313" s="43" t="str">
        <f t="shared" si="150"/>
        <v/>
      </c>
      <c r="P313" s="43" t="str">
        <f t="shared" si="150"/>
        <v/>
      </c>
      <c r="Q313" s="43" t="str">
        <f t="shared" si="150"/>
        <v/>
      </c>
      <c r="R313" s="43" t="str">
        <f t="shared" si="151"/>
        <v/>
      </c>
      <c r="S313" s="43" t="str">
        <f t="shared" si="151"/>
        <v/>
      </c>
      <c r="T313" s="43" t="str">
        <f t="shared" si="151"/>
        <v/>
      </c>
      <c r="U313" s="43" t="str">
        <f t="shared" si="151"/>
        <v/>
      </c>
      <c r="V313" s="43" t="str">
        <f t="shared" si="151"/>
        <v/>
      </c>
      <c r="W313" s="43" t="str">
        <f t="shared" si="151"/>
        <v/>
      </c>
      <c r="X313" s="43" t="str">
        <f t="shared" si="151"/>
        <v/>
      </c>
      <c r="Y313" s="43" t="str">
        <f t="shared" si="151"/>
        <v/>
      </c>
      <c r="Z313" s="43" t="str">
        <f t="shared" si="151"/>
        <v/>
      </c>
      <c r="AA313" s="43" t="str">
        <f t="shared" si="151"/>
        <v/>
      </c>
      <c r="AB313" s="43" t="str">
        <f t="shared" si="152"/>
        <v/>
      </c>
      <c r="AC313" s="43" t="str">
        <f t="shared" si="152"/>
        <v/>
      </c>
      <c r="AD313" s="43" t="str">
        <f t="shared" si="152"/>
        <v/>
      </c>
      <c r="AE313" s="43" t="str">
        <f t="shared" si="152"/>
        <v/>
      </c>
      <c r="AF313" s="43" t="str">
        <f t="shared" si="152"/>
        <v/>
      </c>
      <c r="AG313" s="43" t="str">
        <f t="shared" si="152"/>
        <v/>
      </c>
      <c r="AH313" s="43" t="str">
        <f t="shared" si="152"/>
        <v/>
      </c>
      <c r="AI313" s="43" t="str">
        <f t="shared" si="152"/>
        <v/>
      </c>
      <c r="AJ313" s="43" t="str">
        <f t="shared" si="152"/>
        <v/>
      </c>
      <c r="AK313" s="43" t="str">
        <f t="shared" si="152"/>
        <v/>
      </c>
      <c r="AL313" s="43" t="str">
        <f t="shared" si="153"/>
        <v/>
      </c>
      <c r="AM313" s="43" t="str">
        <f t="shared" si="153"/>
        <v/>
      </c>
      <c r="AN313" s="43" t="str">
        <f t="shared" si="153"/>
        <v/>
      </c>
      <c r="AO313" s="43" t="str">
        <f t="shared" si="153"/>
        <v/>
      </c>
      <c r="AP313" s="43" t="str">
        <f t="shared" si="153"/>
        <v/>
      </c>
      <c r="AQ313" s="43" t="str">
        <f t="shared" si="153"/>
        <v/>
      </c>
      <c r="AR313" s="43" t="str">
        <f t="shared" si="153"/>
        <v/>
      </c>
      <c r="AS313" s="43" t="str">
        <f t="shared" si="153"/>
        <v/>
      </c>
      <c r="AT313" s="43" t="str">
        <f t="shared" si="153"/>
        <v/>
      </c>
      <c r="AU313" s="43" t="str">
        <f t="shared" si="153"/>
        <v/>
      </c>
      <c r="AV313" s="43" t="str">
        <f t="shared" si="154"/>
        <v/>
      </c>
      <c r="AW313" s="43" t="str">
        <f t="shared" si="154"/>
        <v/>
      </c>
      <c r="AX313" s="43" t="str">
        <f t="shared" si="154"/>
        <v/>
      </c>
      <c r="AY313" s="43" t="str">
        <f t="shared" si="154"/>
        <v/>
      </c>
      <c r="AZ313" s="43" t="str">
        <f t="shared" si="154"/>
        <v/>
      </c>
      <c r="BA313" s="43" t="str">
        <f t="shared" si="154"/>
        <v/>
      </c>
      <c r="BB313" s="43"/>
      <c r="BC313" s="43"/>
      <c r="BD313" s="43"/>
      <c r="BE313" s="43"/>
      <c r="BF313" s="43"/>
      <c r="BG313" s="43"/>
      <c r="BW313" s="1250"/>
    </row>
    <row r="314" spans="1:75" x14ac:dyDescent="0.25">
      <c r="A314" s="1251"/>
      <c r="B314" s="462">
        <v>308</v>
      </c>
      <c r="C314" s="462"/>
      <c r="D314" s="1244"/>
      <c r="E314" s="1050"/>
      <c r="F314" s="1244"/>
      <c r="H314" s="43" t="str">
        <f t="shared" si="150"/>
        <v/>
      </c>
      <c r="I314" s="43" t="str">
        <f t="shared" si="150"/>
        <v/>
      </c>
      <c r="J314" s="43" t="str">
        <f t="shared" si="150"/>
        <v/>
      </c>
      <c r="K314" s="43" t="str">
        <f t="shared" si="150"/>
        <v/>
      </c>
      <c r="L314" s="43" t="str">
        <f t="shared" si="150"/>
        <v/>
      </c>
      <c r="M314" s="43" t="str">
        <f t="shared" si="150"/>
        <v/>
      </c>
      <c r="N314" s="43" t="str">
        <f t="shared" si="150"/>
        <v/>
      </c>
      <c r="O314" s="43" t="str">
        <f t="shared" si="150"/>
        <v/>
      </c>
      <c r="P314" s="43" t="str">
        <f t="shared" si="150"/>
        <v/>
      </c>
      <c r="Q314" s="43" t="str">
        <f t="shared" si="150"/>
        <v/>
      </c>
      <c r="R314" s="43" t="str">
        <f t="shared" si="151"/>
        <v/>
      </c>
      <c r="S314" s="43" t="str">
        <f t="shared" si="151"/>
        <v/>
      </c>
      <c r="T314" s="43" t="str">
        <f t="shared" si="151"/>
        <v/>
      </c>
      <c r="U314" s="43" t="str">
        <f t="shared" si="151"/>
        <v/>
      </c>
      <c r="V314" s="43" t="str">
        <f t="shared" si="151"/>
        <v/>
      </c>
      <c r="W314" s="43" t="str">
        <f t="shared" si="151"/>
        <v/>
      </c>
      <c r="X314" s="43" t="str">
        <f t="shared" si="151"/>
        <v/>
      </c>
      <c r="Y314" s="43" t="str">
        <f t="shared" si="151"/>
        <v/>
      </c>
      <c r="Z314" s="43" t="str">
        <f t="shared" si="151"/>
        <v/>
      </c>
      <c r="AA314" s="43" t="str">
        <f t="shared" si="151"/>
        <v/>
      </c>
      <c r="AB314" s="43" t="str">
        <f t="shared" si="152"/>
        <v/>
      </c>
      <c r="AC314" s="43" t="str">
        <f t="shared" si="152"/>
        <v/>
      </c>
      <c r="AD314" s="43" t="str">
        <f t="shared" si="152"/>
        <v/>
      </c>
      <c r="AE314" s="43" t="str">
        <f t="shared" si="152"/>
        <v/>
      </c>
      <c r="AF314" s="43" t="str">
        <f t="shared" si="152"/>
        <v/>
      </c>
      <c r="AG314" s="43" t="str">
        <f t="shared" si="152"/>
        <v/>
      </c>
      <c r="AH314" s="43" t="str">
        <f t="shared" si="152"/>
        <v/>
      </c>
      <c r="AI314" s="43" t="str">
        <f t="shared" si="152"/>
        <v/>
      </c>
      <c r="AJ314" s="43" t="str">
        <f t="shared" si="152"/>
        <v/>
      </c>
      <c r="AK314" s="43" t="str">
        <f t="shared" si="152"/>
        <v/>
      </c>
      <c r="AL314" s="43" t="str">
        <f t="shared" si="153"/>
        <v/>
      </c>
      <c r="AM314" s="43" t="str">
        <f t="shared" si="153"/>
        <v/>
      </c>
      <c r="AN314" s="43" t="str">
        <f t="shared" si="153"/>
        <v/>
      </c>
      <c r="AO314" s="43" t="str">
        <f t="shared" si="153"/>
        <v/>
      </c>
      <c r="AP314" s="43" t="str">
        <f t="shared" si="153"/>
        <v/>
      </c>
      <c r="AQ314" s="43" t="str">
        <f t="shared" si="153"/>
        <v/>
      </c>
      <c r="AR314" s="43" t="str">
        <f t="shared" si="153"/>
        <v/>
      </c>
      <c r="AS314" s="43" t="str">
        <f t="shared" si="153"/>
        <v/>
      </c>
      <c r="AT314" s="43" t="str">
        <f t="shared" si="153"/>
        <v/>
      </c>
      <c r="AU314" s="43" t="str">
        <f t="shared" si="153"/>
        <v/>
      </c>
      <c r="AV314" s="43" t="str">
        <f t="shared" si="154"/>
        <v/>
      </c>
      <c r="AW314" s="43" t="str">
        <f t="shared" si="154"/>
        <v/>
      </c>
      <c r="AX314" s="43" t="str">
        <f t="shared" si="154"/>
        <v/>
      </c>
      <c r="AY314" s="43" t="str">
        <f t="shared" si="154"/>
        <v/>
      </c>
      <c r="AZ314" s="43" t="str">
        <f t="shared" si="154"/>
        <v/>
      </c>
      <c r="BA314" s="43" t="str">
        <f t="shared" si="154"/>
        <v/>
      </c>
      <c r="BB314" s="43"/>
      <c r="BC314" s="43"/>
      <c r="BD314" s="43"/>
      <c r="BE314" s="43"/>
      <c r="BF314" s="43"/>
      <c r="BG314" s="43"/>
      <c r="BW314" s="1250"/>
    </row>
    <row r="315" spans="1:75" x14ac:dyDescent="0.25">
      <c r="A315" s="1251"/>
      <c r="B315" s="462">
        <v>309</v>
      </c>
      <c r="C315" s="462"/>
      <c r="D315" s="1244"/>
      <c r="E315" s="1050"/>
      <c r="F315" s="1244"/>
      <c r="H315" s="43" t="str">
        <f t="shared" si="150"/>
        <v/>
      </c>
      <c r="I315" s="43" t="str">
        <f t="shared" si="150"/>
        <v/>
      </c>
      <c r="J315" s="43" t="str">
        <f t="shared" si="150"/>
        <v/>
      </c>
      <c r="K315" s="43" t="str">
        <f t="shared" si="150"/>
        <v/>
      </c>
      <c r="L315" s="43" t="str">
        <f t="shared" si="150"/>
        <v/>
      </c>
      <c r="M315" s="43" t="str">
        <f t="shared" si="150"/>
        <v/>
      </c>
      <c r="N315" s="43" t="str">
        <f t="shared" si="150"/>
        <v/>
      </c>
      <c r="O315" s="43" t="str">
        <f t="shared" si="150"/>
        <v/>
      </c>
      <c r="P315" s="43" t="str">
        <f t="shared" si="150"/>
        <v/>
      </c>
      <c r="Q315" s="43" t="str">
        <f t="shared" si="150"/>
        <v/>
      </c>
      <c r="R315" s="43" t="str">
        <f t="shared" si="151"/>
        <v/>
      </c>
      <c r="S315" s="43" t="str">
        <f t="shared" si="151"/>
        <v/>
      </c>
      <c r="T315" s="43" t="str">
        <f t="shared" si="151"/>
        <v/>
      </c>
      <c r="U315" s="43" t="str">
        <f t="shared" si="151"/>
        <v/>
      </c>
      <c r="V315" s="43" t="str">
        <f t="shared" si="151"/>
        <v/>
      </c>
      <c r="W315" s="43" t="str">
        <f t="shared" si="151"/>
        <v/>
      </c>
      <c r="X315" s="43" t="str">
        <f t="shared" si="151"/>
        <v/>
      </c>
      <c r="Y315" s="43" t="str">
        <f t="shared" si="151"/>
        <v/>
      </c>
      <c r="Z315" s="43" t="str">
        <f t="shared" si="151"/>
        <v/>
      </c>
      <c r="AA315" s="43" t="str">
        <f t="shared" si="151"/>
        <v/>
      </c>
      <c r="AB315" s="43" t="str">
        <f t="shared" si="152"/>
        <v/>
      </c>
      <c r="AC315" s="43" t="str">
        <f t="shared" si="152"/>
        <v/>
      </c>
      <c r="AD315" s="43" t="str">
        <f t="shared" si="152"/>
        <v/>
      </c>
      <c r="AE315" s="43" t="str">
        <f t="shared" si="152"/>
        <v/>
      </c>
      <c r="AF315" s="43" t="str">
        <f t="shared" si="152"/>
        <v/>
      </c>
      <c r="AG315" s="43" t="str">
        <f t="shared" si="152"/>
        <v/>
      </c>
      <c r="AH315" s="43" t="str">
        <f t="shared" si="152"/>
        <v/>
      </c>
      <c r="AI315" s="43" t="str">
        <f t="shared" si="152"/>
        <v/>
      </c>
      <c r="AJ315" s="43" t="str">
        <f t="shared" si="152"/>
        <v/>
      </c>
      <c r="AK315" s="43" t="str">
        <f t="shared" si="152"/>
        <v/>
      </c>
      <c r="AL315" s="43" t="str">
        <f t="shared" si="153"/>
        <v/>
      </c>
      <c r="AM315" s="43" t="str">
        <f t="shared" si="153"/>
        <v/>
      </c>
      <c r="AN315" s="43" t="str">
        <f t="shared" si="153"/>
        <v/>
      </c>
      <c r="AO315" s="43" t="str">
        <f t="shared" si="153"/>
        <v/>
      </c>
      <c r="AP315" s="43" t="str">
        <f t="shared" si="153"/>
        <v/>
      </c>
      <c r="AQ315" s="43" t="str">
        <f t="shared" si="153"/>
        <v/>
      </c>
      <c r="AR315" s="43" t="str">
        <f t="shared" si="153"/>
        <v/>
      </c>
      <c r="AS315" s="43" t="str">
        <f t="shared" si="153"/>
        <v/>
      </c>
      <c r="AT315" s="43" t="str">
        <f t="shared" si="153"/>
        <v/>
      </c>
      <c r="AU315" s="43" t="str">
        <f t="shared" si="153"/>
        <v/>
      </c>
      <c r="AV315" s="43" t="str">
        <f t="shared" si="154"/>
        <v/>
      </c>
      <c r="AW315" s="43" t="str">
        <f t="shared" si="154"/>
        <v/>
      </c>
      <c r="AX315" s="43" t="str">
        <f t="shared" si="154"/>
        <v/>
      </c>
      <c r="AY315" s="43" t="str">
        <f t="shared" si="154"/>
        <v/>
      </c>
      <c r="AZ315" s="43" t="str">
        <f t="shared" si="154"/>
        <v/>
      </c>
      <c r="BA315" s="43" t="str">
        <f t="shared" si="154"/>
        <v/>
      </c>
      <c r="BB315" s="43"/>
      <c r="BC315" s="43"/>
      <c r="BD315" s="43"/>
      <c r="BE315" s="43"/>
      <c r="BF315" s="43"/>
      <c r="BG315" s="43"/>
      <c r="BW315" s="1250"/>
    </row>
    <row r="316" spans="1:75" x14ac:dyDescent="0.25">
      <c r="A316" s="1251"/>
      <c r="B316" s="462">
        <v>310</v>
      </c>
      <c r="C316" s="462"/>
      <c r="D316" s="1244"/>
      <c r="E316" s="1050"/>
      <c r="F316" s="1244"/>
      <c r="H316" s="43" t="str">
        <f t="shared" si="150"/>
        <v/>
      </c>
      <c r="I316" s="43" t="str">
        <f t="shared" si="150"/>
        <v/>
      </c>
      <c r="J316" s="43" t="str">
        <f t="shared" si="150"/>
        <v/>
      </c>
      <c r="K316" s="43" t="str">
        <f t="shared" si="150"/>
        <v/>
      </c>
      <c r="L316" s="43" t="str">
        <f t="shared" si="150"/>
        <v/>
      </c>
      <c r="M316" s="43" t="str">
        <f t="shared" si="150"/>
        <v/>
      </c>
      <c r="N316" s="43" t="str">
        <f t="shared" si="150"/>
        <v/>
      </c>
      <c r="O316" s="43" t="str">
        <f t="shared" si="150"/>
        <v/>
      </c>
      <c r="P316" s="43" t="str">
        <f t="shared" si="150"/>
        <v/>
      </c>
      <c r="Q316" s="43" t="str">
        <f t="shared" si="150"/>
        <v/>
      </c>
      <c r="R316" s="43" t="str">
        <f t="shared" si="151"/>
        <v/>
      </c>
      <c r="S316" s="43" t="str">
        <f t="shared" si="151"/>
        <v/>
      </c>
      <c r="T316" s="43" t="str">
        <f t="shared" si="151"/>
        <v/>
      </c>
      <c r="U316" s="43" t="str">
        <f t="shared" si="151"/>
        <v/>
      </c>
      <c r="V316" s="43" t="str">
        <f t="shared" si="151"/>
        <v/>
      </c>
      <c r="W316" s="43" t="str">
        <f t="shared" si="151"/>
        <v/>
      </c>
      <c r="X316" s="43" t="str">
        <f t="shared" si="151"/>
        <v/>
      </c>
      <c r="Y316" s="43" t="str">
        <f t="shared" si="151"/>
        <v/>
      </c>
      <c r="Z316" s="43" t="str">
        <f t="shared" si="151"/>
        <v/>
      </c>
      <c r="AA316" s="43" t="str">
        <f t="shared" si="151"/>
        <v/>
      </c>
      <c r="AB316" s="43" t="str">
        <f t="shared" si="152"/>
        <v/>
      </c>
      <c r="AC316" s="43" t="str">
        <f t="shared" si="152"/>
        <v/>
      </c>
      <c r="AD316" s="43" t="str">
        <f t="shared" si="152"/>
        <v/>
      </c>
      <c r="AE316" s="43" t="str">
        <f t="shared" si="152"/>
        <v/>
      </c>
      <c r="AF316" s="43" t="str">
        <f t="shared" si="152"/>
        <v/>
      </c>
      <c r="AG316" s="43" t="str">
        <f t="shared" si="152"/>
        <v/>
      </c>
      <c r="AH316" s="43" t="str">
        <f t="shared" si="152"/>
        <v/>
      </c>
      <c r="AI316" s="43" t="str">
        <f t="shared" si="152"/>
        <v/>
      </c>
      <c r="AJ316" s="43" t="str">
        <f t="shared" si="152"/>
        <v/>
      </c>
      <c r="AK316" s="43" t="str">
        <f t="shared" si="152"/>
        <v/>
      </c>
      <c r="AL316" s="43" t="str">
        <f t="shared" si="153"/>
        <v/>
      </c>
      <c r="AM316" s="43" t="str">
        <f t="shared" si="153"/>
        <v/>
      </c>
      <c r="AN316" s="43" t="str">
        <f t="shared" si="153"/>
        <v/>
      </c>
      <c r="AO316" s="43" t="str">
        <f t="shared" si="153"/>
        <v/>
      </c>
      <c r="AP316" s="43" t="str">
        <f t="shared" si="153"/>
        <v/>
      </c>
      <c r="AQ316" s="43" t="str">
        <f t="shared" si="153"/>
        <v/>
      </c>
      <c r="AR316" s="43" t="str">
        <f t="shared" si="153"/>
        <v/>
      </c>
      <c r="AS316" s="43" t="str">
        <f t="shared" si="153"/>
        <v/>
      </c>
      <c r="AT316" s="43" t="str">
        <f t="shared" si="153"/>
        <v/>
      </c>
      <c r="AU316" s="43" t="str">
        <f t="shared" si="153"/>
        <v/>
      </c>
      <c r="AV316" s="43" t="str">
        <f t="shared" si="154"/>
        <v/>
      </c>
      <c r="AW316" s="43" t="str">
        <f t="shared" si="154"/>
        <v/>
      </c>
      <c r="AX316" s="43" t="str">
        <f t="shared" si="154"/>
        <v/>
      </c>
      <c r="AY316" s="43" t="str">
        <f t="shared" si="154"/>
        <v/>
      </c>
      <c r="AZ316" s="43" t="str">
        <f t="shared" si="154"/>
        <v/>
      </c>
      <c r="BA316" s="43" t="str">
        <f t="shared" si="154"/>
        <v/>
      </c>
      <c r="BB316" s="43"/>
      <c r="BC316" s="43"/>
      <c r="BD316" s="43"/>
      <c r="BE316" s="43"/>
      <c r="BF316" s="43"/>
      <c r="BG316" s="43"/>
      <c r="BW316" s="1250"/>
    </row>
    <row r="317" spans="1:75" x14ac:dyDescent="0.25">
      <c r="A317" s="1251"/>
      <c r="B317" s="462">
        <v>311</v>
      </c>
      <c r="C317" s="462"/>
      <c r="D317" s="1244"/>
      <c r="E317" s="1050"/>
      <c r="F317" s="1244"/>
      <c r="H317" s="43" t="str">
        <f t="shared" ref="H317:Q326" si="155">IF($D317=H$6,$B317&amp;", ","")</f>
        <v/>
      </c>
      <c r="I317" s="43" t="str">
        <f t="shared" si="155"/>
        <v/>
      </c>
      <c r="J317" s="43" t="str">
        <f t="shared" si="155"/>
        <v/>
      </c>
      <c r="K317" s="43" t="str">
        <f t="shared" si="155"/>
        <v/>
      </c>
      <c r="L317" s="43" t="str">
        <f t="shared" si="155"/>
        <v/>
      </c>
      <c r="M317" s="43" t="str">
        <f t="shared" si="155"/>
        <v/>
      </c>
      <c r="N317" s="43" t="str">
        <f t="shared" si="155"/>
        <v/>
      </c>
      <c r="O317" s="43" t="str">
        <f t="shared" si="155"/>
        <v/>
      </c>
      <c r="P317" s="43" t="str">
        <f t="shared" si="155"/>
        <v/>
      </c>
      <c r="Q317" s="43" t="str">
        <f t="shared" si="155"/>
        <v/>
      </c>
      <c r="R317" s="43" t="str">
        <f t="shared" ref="R317:AA326" si="156">IF($D317=R$6,$B317&amp;", ","")</f>
        <v/>
      </c>
      <c r="S317" s="43" t="str">
        <f t="shared" si="156"/>
        <v/>
      </c>
      <c r="T317" s="43" t="str">
        <f t="shared" si="156"/>
        <v/>
      </c>
      <c r="U317" s="43" t="str">
        <f t="shared" si="156"/>
        <v/>
      </c>
      <c r="V317" s="43" t="str">
        <f t="shared" si="156"/>
        <v/>
      </c>
      <c r="W317" s="43" t="str">
        <f t="shared" si="156"/>
        <v/>
      </c>
      <c r="X317" s="43" t="str">
        <f t="shared" si="156"/>
        <v/>
      </c>
      <c r="Y317" s="43" t="str">
        <f t="shared" si="156"/>
        <v/>
      </c>
      <c r="Z317" s="43" t="str">
        <f t="shared" si="156"/>
        <v/>
      </c>
      <c r="AA317" s="43" t="str">
        <f t="shared" si="156"/>
        <v/>
      </c>
      <c r="AB317" s="43" t="str">
        <f t="shared" ref="AB317:AK326" si="157">IF($D317=AB$6,$B317&amp;", ","")</f>
        <v/>
      </c>
      <c r="AC317" s="43" t="str">
        <f t="shared" si="157"/>
        <v/>
      </c>
      <c r="AD317" s="43" t="str">
        <f t="shared" si="157"/>
        <v/>
      </c>
      <c r="AE317" s="43" t="str">
        <f t="shared" si="157"/>
        <v/>
      </c>
      <c r="AF317" s="43" t="str">
        <f t="shared" si="157"/>
        <v/>
      </c>
      <c r="AG317" s="43" t="str">
        <f t="shared" si="157"/>
        <v/>
      </c>
      <c r="AH317" s="43" t="str">
        <f t="shared" si="157"/>
        <v/>
      </c>
      <c r="AI317" s="43" t="str">
        <f t="shared" si="157"/>
        <v/>
      </c>
      <c r="AJ317" s="43" t="str">
        <f t="shared" si="157"/>
        <v/>
      </c>
      <c r="AK317" s="43" t="str">
        <f t="shared" si="157"/>
        <v/>
      </c>
      <c r="AL317" s="43" t="str">
        <f t="shared" ref="AL317:AU326" si="158">IF($D317=AL$6,$B317&amp;", ","")</f>
        <v/>
      </c>
      <c r="AM317" s="43" t="str">
        <f t="shared" si="158"/>
        <v/>
      </c>
      <c r="AN317" s="43" t="str">
        <f t="shared" si="158"/>
        <v/>
      </c>
      <c r="AO317" s="43" t="str">
        <f t="shared" si="158"/>
        <v/>
      </c>
      <c r="AP317" s="43" t="str">
        <f t="shared" si="158"/>
        <v/>
      </c>
      <c r="AQ317" s="43" t="str">
        <f t="shared" si="158"/>
        <v/>
      </c>
      <c r="AR317" s="43" t="str">
        <f t="shared" si="158"/>
        <v/>
      </c>
      <c r="AS317" s="43" t="str">
        <f t="shared" si="158"/>
        <v/>
      </c>
      <c r="AT317" s="43" t="str">
        <f t="shared" si="158"/>
        <v/>
      </c>
      <c r="AU317" s="43" t="str">
        <f t="shared" si="158"/>
        <v/>
      </c>
      <c r="AV317" s="43" t="str">
        <f t="shared" ref="AV317:BA326" si="159">IF($D317=AV$6,$B317&amp;", ","")</f>
        <v/>
      </c>
      <c r="AW317" s="43" t="str">
        <f t="shared" si="159"/>
        <v/>
      </c>
      <c r="AX317" s="43" t="str">
        <f t="shared" si="159"/>
        <v/>
      </c>
      <c r="AY317" s="43" t="str">
        <f t="shared" si="159"/>
        <v/>
      </c>
      <c r="AZ317" s="43" t="str">
        <f t="shared" si="159"/>
        <v/>
      </c>
      <c r="BA317" s="43" t="str">
        <f t="shared" si="159"/>
        <v/>
      </c>
      <c r="BB317" s="43"/>
      <c r="BC317" s="43"/>
      <c r="BD317" s="43"/>
      <c r="BE317" s="43"/>
      <c r="BF317" s="43"/>
      <c r="BG317" s="43"/>
      <c r="BW317" s="1250"/>
    </row>
    <row r="318" spans="1:75" x14ac:dyDescent="0.25">
      <c r="A318" s="1251"/>
      <c r="B318" s="462">
        <v>312</v>
      </c>
      <c r="C318" s="462"/>
      <c r="D318" s="1244"/>
      <c r="E318" s="1050"/>
      <c r="F318" s="1244"/>
      <c r="H318" s="43" t="str">
        <f t="shared" si="155"/>
        <v/>
      </c>
      <c r="I318" s="43" t="str">
        <f t="shared" si="155"/>
        <v/>
      </c>
      <c r="J318" s="43" t="str">
        <f t="shared" si="155"/>
        <v/>
      </c>
      <c r="K318" s="43" t="str">
        <f t="shared" si="155"/>
        <v/>
      </c>
      <c r="L318" s="43" t="str">
        <f t="shared" si="155"/>
        <v/>
      </c>
      <c r="M318" s="43" t="str">
        <f t="shared" si="155"/>
        <v/>
      </c>
      <c r="N318" s="43" t="str">
        <f t="shared" si="155"/>
        <v/>
      </c>
      <c r="O318" s="43" t="str">
        <f t="shared" si="155"/>
        <v/>
      </c>
      <c r="P318" s="43" t="str">
        <f t="shared" si="155"/>
        <v/>
      </c>
      <c r="Q318" s="43" t="str">
        <f t="shared" si="155"/>
        <v/>
      </c>
      <c r="R318" s="43" t="str">
        <f t="shared" si="156"/>
        <v/>
      </c>
      <c r="S318" s="43" t="str">
        <f t="shared" si="156"/>
        <v/>
      </c>
      <c r="T318" s="43" t="str">
        <f t="shared" si="156"/>
        <v/>
      </c>
      <c r="U318" s="43" t="str">
        <f t="shared" si="156"/>
        <v/>
      </c>
      <c r="V318" s="43" t="str">
        <f t="shared" si="156"/>
        <v/>
      </c>
      <c r="W318" s="43" t="str">
        <f t="shared" si="156"/>
        <v/>
      </c>
      <c r="X318" s="43" t="str">
        <f t="shared" si="156"/>
        <v/>
      </c>
      <c r="Y318" s="43" t="str">
        <f t="shared" si="156"/>
        <v/>
      </c>
      <c r="Z318" s="43" t="str">
        <f t="shared" si="156"/>
        <v/>
      </c>
      <c r="AA318" s="43" t="str">
        <f t="shared" si="156"/>
        <v/>
      </c>
      <c r="AB318" s="43" t="str">
        <f t="shared" si="157"/>
        <v/>
      </c>
      <c r="AC318" s="43" t="str">
        <f t="shared" si="157"/>
        <v/>
      </c>
      <c r="AD318" s="43" t="str">
        <f t="shared" si="157"/>
        <v/>
      </c>
      <c r="AE318" s="43" t="str">
        <f t="shared" si="157"/>
        <v/>
      </c>
      <c r="AF318" s="43" t="str">
        <f t="shared" si="157"/>
        <v/>
      </c>
      <c r="AG318" s="43" t="str">
        <f t="shared" si="157"/>
        <v/>
      </c>
      <c r="AH318" s="43" t="str">
        <f t="shared" si="157"/>
        <v/>
      </c>
      <c r="AI318" s="43" t="str">
        <f t="shared" si="157"/>
        <v/>
      </c>
      <c r="AJ318" s="43" t="str">
        <f t="shared" si="157"/>
        <v/>
      </c>
      <c r="AK318" s="43" t="str">
        <f t="shared" si="157"/>
        <v/>
      </c>
      <c r="AL318" s="43" t="str">
        <f t="shared" si="158"/>
        <v/>
      </c>
      <c r="AM318" s="43" t="str">
        <f t="shared" si="158"/>
        <v/>
      </c>
      <c r="AN318" s="43" t="str">
        <f t="shared" si="158"/>
        <v/>
      </c>
      <c r="AO318" s="43" t="str">
        <f t="shared" si="158"/>
        <v/>
      </c>
      <c r="AP318" s="43" t="str">
        <f t="shared" si="158"/>
        <v/>
      </c>
      <c r="AQ318" s="43" t="str">
        <f t="shared" si="158"/>
        <v/>
      </c>
      <c r="AR318" s="43" t="str">
        <f t="shared" si="158"/>
        <v/>
      </c>
      <c r="AS318" s="43" t="str">
        <f t="shared" si="158"/>
        <v/>
      </c>
      <c r="AT318" s="43" t="str">
        <f t="shared" si="158"/>
        <v/>
      </c>
      <c r="AU318" s="43" t="str">
        <f t="shared" si="158"/>
        <v/>
      </c>
      <c r="AV318" s="43" t="str">
        <f t="shared" si="159"/>
        <v/>
      </c>
      <c r="AW318" s="43" t="str">
        <f t="shared" si="159"/>
        <v/>
      </c>
      <c r="AX318" s="43" t="str">
        <f t="shared" si="159"/>
        <v/>
      </c>
      <c r="AY318" s="43" t="str">
        <f t="shared" si="159"/>
        <v/>
      </c>
      <c r="AZ318" s="43" t="str">
        <f t="shared" si="159"/>
        <v/>
      </c>
      <c r="BA318" s="43" t="str">
        <f t="shared" si="159"/>
        <v/>
      </c>
      <c r="BB318" s="43"/>
      <c r="BC318" s="43"/>
      <c r="BD318" s="43"/>
      <c r="BE318" s="43"/>
      <c r="BF318" s="43"/>
      <c r="BG318" s="43"/>
      <c r="BW318" s="1250"/>
    </row>
    <row r="319" spans="1:75" x14ac:dyDescent="0.25">
      <c r="A319" s="1251"/>
      <c r="B319" s="462">
        <v>313</v>
      </c>
      <c r="C319" s="462"/>
      <c r="D319" s="1244"/>
      <c r="E319" s="1050"/>
      <c r="F319" s="1244"/>
      <c r="H319" s="43" t="str">
        <f t="shared" si="155"/>
        <v/>
      </c>
      <c r="I319" s="43" t="str">
        <f t="shared" si="155"/>
        <v/>
      </c>
      <c r="J319" s="43" t="str">
        <f t="shared" si="155"/>
        <v/>
      </c>
      <c r="K319" s="43" t="str">
        <f t="shared" si="155"/>
        <v/>
      </c>
      <c r="L319" s="43" t="str">
        <f t="shared" si="155"/>
        <v/>
      </c>
      <c r="M319" s="43" t="str">
        <f t="shared" si="155"/>
        <v/>
      </c>
      <c r="N319" s="43" t="str">
        <f t="shared" si="155"/>
        <v/>
      </c>
      <c r="O319" s="43" t="str">
        <f t="shared" si="155"/>
        <v/>
      </c>
      <c r="P319" s="43" t="str">
        <f t="shared" si="155"/>
        <v/>
      </c>
      <c r="Q319" s="43" t="str">
        <f t="shared" si="155"/>
        <v/>
      </c>
      <c r="R319" s="43" t="str">
        <f t="shared" si="156"/>
        <v/>
      </c>
      <c r="S319" s="43" t="str">
        <f t="shared" si="156"/>
        <v/>
      </c>
      <c r="T319" s="43" t="str">
        <f t="shared" si="156"/>
        <v/>
      </c>
      <c r="U319" s="43" t="str">
        <f t="shared" si="156"/>
        <v/>
      </c>
      <c r="V319" s="43" t="str">
        <f t="shared" si="156"/>
        <v/>
      </c>
      <c r="W319" s="43" t="str">
        <f t="shared" si="156"/>
        <v/>
      </c>
      <c r="X319" s="43" t="str">
        <f t="shared" si="156"/>
        <v/>
      </c>
      <c r="Y319" s="43" t="str">
        <f t="shared" si="156"/>
        <v/>
      </c>
      <c r="Z319" s="43" t="str">
        <f t="shared" si="156"/>
        <v/>
      </c>
      <c r="AA319" s="43" t="str">
        <f t="shared" si="156"/>
        <v/>
      </c>
      <c r="AB319" s="43" t="str">
        <f t="shared" si="157"/>
        <v/>
      </c>
      <c r="AC319" s="43" t="str">
        <f t="shared" si="157"/>
        <v/>
      </c>
      <c r="AD319" s="43" t="str">
        <f t="shared" si="157"/>
        <v/>
      </c>
      <c r="AE319" s="43" t="str">
        <f t="shared" si="157"/>
        <v/>
      </c>
      <c r="AF319" s="43" t="str">
        <f t="shared" si="157"/>
        <v/>
      </c>
      <c r="AG319" s="43" t="str">
        <f t="shared" si="157"/>
        <v/>
      </c>
      <c r="AH319" s="43" t="str">
        <f t="shared" si="157"/>
        <v/>
      </c>
      <c r="AI319" s="43" t="str">
        <f t="shared" si="157"/>
        <v/>
      </c>
      <c r="AJ319" s="43" t="str">
        <f t="shared" si="157"/>
        <v/>
      </c>
      <c r="AK319" s="43" t="str">
        <f t="shared" si="157"/>
        <v/>
      </c>
      <c r="AL319" s="43" t="str">
        <f t="shared" si="158"/>
        <v/>
      </c>
      <c r="AM319" s="43" t="str">
        <f t="shared" si="158"/>
        <v/>
      </c>
      <c r="AN319" s="43" t="str">
        <f t="shared" si="158"/>
        <v/>
      </c>
      <c r="AO319" s="43" t="str">
        <f t="shared" si="158"/>
        <v/>
      </c>
      <c r="AP319" s="43" t="str">
        <f t="shared" si="158"/>
        <v/>
      </c>
      <c r="AQ319" s="43" t="str">
        <f t="shared" si="158"/>
        <v/>
      </c>
      <c r="AR319" s="43" t="str">
        <f t="shared" si="158"/>
        <v/>
      </c>
      <c r="AS319" s="43" t="str">
        <f t="shared" si="158"/>
        <v/>
      </c>
      <c r="AT319" s="43" t="str">
        <f t="shared" si="158"/>
        <v/>
      </c>
      <c r="AU319" s="43" t="str">
        <f t="shared" si="158"/>
        <v/>
      </c>
      <c r="AV319" s="43" t="str">
        <f t="shared" si="159"/>
        <v/>
      </c>
      <c r="AW319" s="43" t="str">
        <f t="shared" si="159"/>
        <v/>
      </c>
      <c r="AX319" s="43" t="str">
        <f t="shared" si="159"/>
        <v/>
      </c>
      <c r="AY319" s="43" t="str">
        <f t="shared" si="159"/>
        <v/>
      </c>
      <c r="AZ319" s="43" t="str">
        <f t="shared" si="159"/>
        <v/>
      </c>
      <c r="BA319" s="43" t="str">
        <f t="shared" si="159"/>
        <v/>
      </c>
      <c r="BB319" s="43"/>
      <c r="BC319" s="43"/>
      <c r="BD319" s="43"/>
      <c r="BE319" s="43"/>
      <c r="BF319" s="43"/>
      <c r="BG319" s="43"/>
      <c r="BW319" s="1250"/>
    </row>
    <row r="320" spans="1:75" x14ac:dyDescent="0.25">
      <c r="A320" s="1251"/>
      <c r="B320" s="462">
        <v>314</v>
      </c>
      <c r="C320" s="462"/>
      <c r="D320" s="1244"/>
      <c r="E320" s="1050"/>
      <c r="F320" s="1244"/>
      <c r="H320" s="43" t="str">
        <f t="shared" si="155"/>
        <v/>
      </c>
      <c r="I320" s="43" t="str">
        <f t="shared" si="155"/>
        <v/>
      </c>
      <c r="J320" s="43" t="str">
        <f t="shared" si="155"/>
        <v/>
      </c>
      <c r="K320" s="43" t="str">
        <f t="shared" si="155"/>
        <v/>
      </c>
      <c r="L320" s="43" t="str">
        <f t="shared" si="155"/>
        <v/>
      </c>
      <c r="M320" s="43" t="str">
        <f t="shared" si="155"/>
        <v/>
      </c>
      <c r="N320" s="43" t="str">
        <f t="shared" si="155"/>
        <v/>
      </c>
      <c r="O320" s="43" t="str">
        <f t="shared" si="155"/>
        <v/>
      </c>
      <c r="P320" s="43" t="str">
        <f t="shared" si="155"/>
        <v/>
      </c>
      <c r="Q320" s="43" t="str">
        <f t="shared" si="155"/>
        <v/>
      </c>
      <c r="R320" s="43" t="str">
        <f t="shared" si="156"/>
        <v/>
      </c>
      <c r="S320" s="43" t="str">
        <f t="shared" si="156"/>
        <v/>
      </c>
      <c r="T320" s="43" t="str">
        <f t="shared" si="156"/>
        <v/>
      </c>
      <c r="U320" s="43" t="str">
        <f t="shared" si="156"/>
        <v/>
      </c>
      <c r="V320" s="43" t="str">
        <f t="shared" si="156"/>
        <v/>
      </c>
      <c r="W320" s="43" t="str">
        <f t="shared" si="156"/>
        <v/>
      </c>
      <c r="X320" s="43" t="str">
        <f t="shared" si="156"/>
        <v/>
      </c>
      <c r="Y320" s="43" t="str">
        <f t="shared" si="156"/>
        <v/>
      </c>
      <c r="Z320" s="43" t="str">
        <f t="shared" si="156"/>
        <v/>
      </c>
      <c r="AA320" s="43" t="str">
        <f t="shared" si="156"/>
        <v/>
      </c>
      <c r="AB320" s="43" t="str">
        <f t="shared" si="157"/>
        <v/>
      </c>
      <c r="AC320" s="43" t="str">
        <f t="shared" si="157"/>
        <v/>
      </c>
      <c r="AD320" s="43" t="str">
        <f t="shared" si="157"/>
        <v/>
      </c>
      <c r="AE320" s="43" t="str">
        <f t="shared" si="157"/>
        <v/>
      </c>
      <c r="AF320" s="43" t="str">
        <f t="shared" si="157"/>
        <v/>
      </c>
      <c r="AG320" s="43" t="str">
        <f t="shared" si="157"/>
        <v/>
      </c>
      <c r="AH320" s="43" t="str">
        <f t="shared" si="157"/>
        <v/>
      </c>
      <c r="AI320" s="43" t="str">
        <f t="shared" si="157"/>
        <v/>
      </c>
      <c r="AJ320" s="43" t="str">
        <f t="shared" si="157"/>
        <v/>
      </c>
      <c r="AK320" s="43" t="str">
        <f t="shared" si="157"/>
        <v/>
      </c>
      <c r="AL320" s="43" t="str">
        <f t="shared" si="158"/>
        <v/>
      </c>
      <c r="AM320" s="43" t="str">
        <f t="shared" si="158"/>
        <v/>
      </c>
      <c r="AN320" s="43" t="str">
        <f t="shared" si="158"/>
        <v/>
      </c>
      <c r="AO320" s="43" t="str">
        <f t="shared" si="158"/>
        <v/>
      </c>
      <c r="AP320" s="43" t="str">
        <f t="shared" si="158"/>
        <v/>
      </c>
      <c r="AQ320" s="43" t="str">
        <f t="shared" si="158"/>
        <v/>
      </c>
      <c r="AR320" s="43" t="str">
        <f t="shared" si="158"/>
        <v/>
      </c>
      <c r="AS320" s="43" t="str">
        <f t="shared" si="158"/>
        <v/>
      </c>
      <c r="AT320" s="43" t="str">
        <f t="shared" si="158"/>
        <v/>
      </c>
      <c r="AU320" s="43" t="str">
        <f t="shared" si="158"/>
        <v/>
      </c>
      <c r="AV320" s="43" t="str">
        <f t="shared" si="159"/>
        <v/>
      </c>
      <c r="AW320" s="43" t="str">
        <f t="shared" si="159"/>
        <v/>
      </c>
      <c r="AX320" s="43" t="str">
        <f t="shared" si="159"/>
        <v/>
      </c>
      <c r="AY320" s="43" t="str">
        <f t="shared" si="159"/>
        <v/>
      </c>
      <c r="AZ320" s="43" t="str">
        <f t="shared" si="159"/>
        <v/>
      </c>
      <c r="BA320" s="43" t="str">
        <f t="shared" si="159"/>
        <v/>
      </c>
      <c r="BB320" s="43"/>
      <c r="BC320" s="43"/>
      <c r="BD320" s="43"/>
      <c r="BE320" s="43"/>
      <c r="BF320" s="43"/>
      <c r="BG320" s="43"/>
      <c r="BW320" s="1250"/>
    </row>
    <row r="321" spans="1:75" x14ac:dyDescent="0.25">
      <c r="A321" s="1251"/>
      <c r="B321" s="462">
        <v>315</v>
      </c>
      <c r="C321" s="462"/>
      <c r="D321" s="1244"/>
      <c r="E321" s="1050"/>
      <c r="F321" s="1244"/>
      <c r="H321" s="43" t="str">
        <f t="shared" si="155"/>
        <v/>
      </c>
      <c r="I321" s="43" t="str">
        <f t="shared" si="155"/>
        <v/>
      </c>
      <c r="J321" s="43" t="str">
        <f t="shared" si="155"/>
        <v/>
      </c>
      <c r="K321" s="43" t="str">
        <f t="shared" si="155"/>
        <v/>
      </c>
      <c r="L321" s="43" t="str">
        <f t="shared" si="155"/>
        <v/>
      </c>
      <c r="M321" s="43" t="str">
        <f t="shared" si="155"/>
        <v/>
      </c>
      <c r="N321" s="43" t="str">
        <f t="shared" si="155"/>
        <v/>
      </c>
      <c r="O321" s="43" t="str">
        <f t="shared" si="155"/>
        <v/>
      </c>
      <c r="P321" s="43" t="str">
        <f t="shared" si="155"/>
        <v/>
      </c>
      <c r="Q321" s="43" t="str">
        <f t="shared" si="155"/>
        <v/>
      </c>
      <c r="R321" s="43" t="str">
        <f t="shared" si="156"/>
        <v/>
      </c>
      <c r="S321" s="43" t="str">
        <f t="shared" si="156"/>
        <v/>
      </c>
      <c r="T321" s="43" t="str">
        <f t="shared" si="156"/>
        <v/>
      </c>
      <c r="U321" s="43" t="str">
        <f t="shared" si="156"/>
        <v/>
      </c>
      <c r="V321" s="43" t="str">
        <f t="shared" si="156"/>
        <v/>
      </c>
      <c r="W321" s="43" t="str">
        <f t="shared" si="156"/>
        <v/>
      </c>
      <c r="X321" s="43" t="str">
        <f t="shared" si="156"/>
        <v/>
      </c>
      <c r="Y321" s="43" t="str">
        <f t="shared" si="156"/>
        <v/>
      </c>
      <c r="Z321" s="43" t="str">
        <f t="shared" si="156"/>
        <v/>
      </c>
      <c r="AA321" s="43" t="str">
        <f t="shared" si="156"/>
        <v/>
      </c>
      <c r="AB321" s="43" t="str">
        <f t="shared" si="157"/>
        <v/>
      </c>
      <c r="AC321" s="43" t="str">
        <f t="shared" si="157"/>
        <v/>
      </c>
      <c r="AD321" s="43" t="str">
        <f t="shared" si="157"/>
        <v/>
      </c>
      <c r="AE321" s="43" t="str">
        <f t="shared" si="157"/>
        <v/>
      </c>
      <c r="AF321" s="43" t="str">
        <f t="shared" si="157"/>
        <v/>
      </c>
      <c r="AG321" s="43" t="str">
        <f t="shared" si="157"/>
        <v/>
      </c>
      <c r="AH321" s="43" t="str">
        <f t="shared" si="157"/>
        <v/>
      </c>
      <c r="AI321" s="43" t="str">
        <f t="shared" si="157"/>
        <v/>
      </c>
      <c r="AJ321" s="43" t="str">
        <f t="shared" si="157"/>
        <v/>
      </c>
      <c r="AK321" s="43" t="str">
        <f t="shared" si="157"/>
        <v/>
      </c>
      <c r="AL321" s="43" t="str">
        <f t="shared" si="158"/>
        <v/>
      </c>
      <c r="AM321" s="43" t="str">
        <f t="shared" si="158"/>
        <v/>
      </c>
      <c r="AN321" s="43" t="str">
        <f t="shared" si="158"/>
        <v/>
      </c>
      <c r="AO321" s="43" t="str">
        <f t="shared" si="158"/>
        <v/>
      </c>
      <c r="AP321" s="43" t="str">
        <f t="shared" si="158"/>
        <v/>
      </c>
      <c r="AQ321" s="43" t="str">
        <f t="shared" si="158"/>
        <v/>
      </c>
      <c r="AR321" s="43" t="str">
        <f t="shared" si="158"/>
        <v/>
      </c>
      <c r="AS321" s="43" t="str">
        <f t="shared" si="158"/>
        <v/>
      </c>
      <c r="AT321" s="43" t="str">
        <f t="shared" si="158"/>
        <v/>
      </c>
      <c r="AU321" s="43" t="str">
        <f t="shared" si="158"/>
        <v/>
      </c>
      <c r="AV321" s="43" t="str">
        <f t="shared" si="159"/>
        <v/>
      </c>
      <c r="AW321" s="43" t="str">
        <f t="shared" si="159"/>
        <v/>
      </c>
      <c r="AX321" s="43" t="str">
        <f t="shared" si="159"/>
        <v/>
      </c>
      <c r="AY321" s="43" t="str">
        <f t="shared" si="159"/>
        <v/>
      </c>
      <c r="AZ321" s="43" t="str">
        <f t="shared" si="159"/>
        <v/>
      </c>
      <c r="BA321" s="43" t="str">
        <f t="shared" si="159"/>
        <v/>
      </c>
      <c r="BB321" s="43"/>
      <c r="BC321" s="43"/>
      <c r="BD321" s="43"/>
      <c r="BE321" s="43"/>
      <c r="BF321" s="43"/>
      <c r="BG321" s="43"/>
      <c r="BW321" s="1250"/>
    </row>
    <row r="322" spans="1:75" x14ac:dyDescent="0.25">
      <c r="A322" s="1251"/>
      <c r="B322" s="462">
        <v>316</v>
      </c>
      <c r="C322" s="462"/>
      <c r="D322" s="1244"/>
      <c r="E322" s="1050"/>
      <c r="F322" s="1244"/>
      <c r="H322" s="43" t="str">
        <f t="shared" si="155"/>
        <v/>
      </c>
      <c r="I322" s="43" t="str">
        <f t="shared" si="155"/>
        <v/>
      </c>
      <c r="J322" s="43" t="str">
        <f t="shared" si="155"/>
        <v/>
      </c>
      <c r="K322" s="43" t="str">
        <f t="shared" si="155"/>
        <v/>
      </c>
      <c r="L322" s="43" t="str">
        <f t="shared" si="155"/>
        <v/>
      </c>
      <c r="M322" s="43" t="str">
        <f t="shared" si="155"/>
        <v/>
      </c>
      <c r="N322" s="43" t="str">
        <f t="shared" si="155"/>
        <v/>
      </c>
      <c r="O322" s="43" t="str">
        <f t="shared" si="155"/>
        <v/>
      </c>
      <c r="P322" s="43" t="str">
        <f t="shared" si="155"/>
        <v/>
      </c>
      <c r="Q322" s="43" t="str">
        <f t="shared" si="155"/>
        <v/>
      </c>
      <c r="R322" s="43" t="str">
        <f t="shared" si="156"/>
        <v/>
      </c>
      <c r="S322" s="43" t="str">
        <f t="shared" si="156"/>
        <v/>
      </c>
      <c r="T322" s="43" t="str">
        <f t="shared" si="156"/>
        <v/>
      </c>
      <c r="U322" s="43" t="str">
        <f t="shared" si="156"/>
        <v/>
      </c>
      <c r="V322" s="43" t="str">
        <f t="shared" si="156"/>
        <v/>
      </c>
      <c r="W322" s="43" t="str">
        <f t="shared" si="156"/>
        <v/>
      </c>
      <c r="X322" s="43" t="str">
        <f t="shared" si="156"/>
        <v/>
      </c>
      <c r="Y322" s="43" t="str">
        <f t="shared" si="156"/>
        <v/>
      </c>
      <c r="Z322" s="43" t="str">
        <f t="shared" si="156"/>
        <v/>
      </c>
      <c r="AA322" s="43" t="str">
        <f t="shared" si="156"/>
        <v/>
      </c>
      <c r="AB322" s="43" t="str">
        <f t="shared" si="157"/>
        <v/>
      </c>
      <c r="AC322" s="43" t="str">
        <f t="shared" si="157"/>
        <v/>
      </c>
      <c r="AD322" s="43" t="str">
        <f t="shared" si="157"/>
        <v/>
      </c>
      <c r="AE322" s="43" t="str">
        <f t="shared" si="157"/>
        <v/>
      </c>
      <c r="AF322" s="43" t="str">
        <f t="shared" si="157"/>
        <v/>
      </c>
      <c r="AG322" s="43" t="str">
        <f t="shared" si="157"/>
        <v/>
      </c>
      <c r="AH322" s="43" t="str">
        <f t="shared" si="157"/>
        <v/>
      </c>
      <c r="AI322" s="43" t="str">
        <f t="shared" si="157"/>
        <v/>
      </c>
      <c r="AJ322" s="43" t="str">
        <f t="shared" si="157"/>
        <v/>
      </c>
      <c r="AK322" s="43" t="str">
        <f t="shared" si="157"/>
        <v/>
      </c>
      <c r="AL322" s="43" t="str">
        <f t="shared" si="158"/>
        <v/>
      </c>
      <c r="AM322" s="43" t="str">
        <f t="shared" si="158"/>
        <v/>
      </c>
      <c r="AN322" s="43" t="str">
        <f t="shared" si="158"/>
        <v/>
      </c>
      <c r="AO322" s="43" t="str">
        <f t="shared" si="158"/>
        <v/>
      </c>
      <c r="AP322" s="43" t="str">
        <f t="shared" si="158"/>
        <v/>
      </c>
      <c r="AQ322" s="43" t="str">
        <f t="shared" si="158"/>
        <v/>
      </c>
      <c r="AR322" s="43" t="str">
        <f t="shared" si="158"/>
        <v/>
      </c>
      <c r="AS322" s="43" t="str">
        <f t="shared" si="158"/>
        <v/>
      </c>
      <c r="AT322" s="43" t="str">
        <f t="shared" si="158"/>
        <v/>
      </c>
      <c r="AU322" s="43" t="str">
        <f t="shared" si="158"/>
        <v/>
      </c>
      <c r="AV322" s="43" t="str">
        <f t="shared" si="159"/>
        <v/>
      </c>
      <c r="AW322" s="43" t="str">
        <f t="shared" si="159"/>
        <v/>
      </c>
      <c r="AX322" s="43" t="str">
        <f t="shared" si="159"/>
        <v/>
      </c>
      <c r="AY322" s="43" t="str">
        <f t="shared" si="159"/>
        <v/>
      </c>
      <c r="AZ322" s="43" t="str">
        <f t="shared" si="159"/>
        <v/>
      </c>
      <c r="BA322" s="43" t="str">
        <f t="shared" si="159"/>
        <v/>
      </c>
      <c r="BB322" s="43"/>
      <c r="BC322" s="43"/>
      <c r="BD322" s="43"/>
      <c r="BE322" s="43"/>
      <c r="BF322" s="43"/>
      <c r="BG322" s="43"/>
      <c r="BW322" s="1250"/>
    </row>
    <row r="323" spans="1:75" x14ac:dyDescent="0.25">
      <c r="A323" s="1251"/>
      <c r="B323" s="462">
        <v>317</v>
      </c>
      <c r="C323" s="462"/>
      <c r="D323" s="1244"/>
      <c r="E323" s="1050"/>
      <c r="F323" s="1244"/>
      <c r="H323" s="43" t="str">
        <f t="shared" si="155"/>
        <v/>
      </c>
      <c r="I323" s="43" t="str">
        <f t="shared" si="155"/>
        <v/>
      </c>
      <c r="J323" s="43" t="str">
        <f t="shared" si="155"/>
        <v/>
      </c>
      <c r="K323" s="43" t="str">
        <f t="shared" si="155"/>
        <v/>
      </c>
      <c r="L323" s="43" t="str">
        <f t="shared" si="155"/>
        <v/>
      </c>
      <c r="M323" s="43" t="str">
        <f t="shared" si="155"/>
        <v/>
      </c>
      <c r="N323" s="43" t="str">
        <f t="shared" si="155"/>
        <v/>
      </c>
      <c r="O323" s="43" t="str">
        <f t="shared" si="155"/>
        <v/>
      </c>
      <c r="P323" s="43" t="str">
        <f t="shared" si="155"/>
        <v/>
      </c>
      <c r="Q323" s="43" t="str">
        <f t="shared" si="155"/>
        <v/>
      </c>
      <c r="R323" s="43" t="str">
        <f t="shared" si="156"/>
        <v/>
      </c>
      <c r="S323" s="43" t="str">
        <f t="shared" si="156"/>
        <v/>
      </c>
      <c r="T323" s="43" t="str">
        <f t="shared" si="156"/>
        <v/>
      </c>
      <c r="U323" s="43" t="str">
        <f t="shared" si="156"/>
        <v/>
      </c>
      <c r="V323" s="43" t="str">
        <f t="shared" si="156"/>
        <v/>
      </c>
      <c r="W323" s="43" t="str">
        <f t="shared" si="156"/>
        <v/>
      </c>
      <c r="X323" s="43" t="str">
        <f t="shared" si="156"/>
        <v/>
      </c>
      <c r="Y323" s="43" t="str">
        <f t="shared" si="156"/>
        <v/>
      </c>
      <c r="Z323" s="43" t="str">
        <f t="shared" si="156"/>
        <v/>
      </c>
      <c r="AA323" s="43" t="str">
        <f t="shared" si="156"/>
        <v/>
      </c>
      <c r="AB323" s="43" t="str">
        <f t="shared" si="157"/>
        <v/>
      </c>
      <c r="AC323" s="43" t="str">
        <f t="shared" si="157"/>
        <v/>
      </c>
      <c r="AD323" s="43" t="str">
        <f t="shared" si="157"/>
        <v/>
      </c>
      <c r="AE323" s="43" t="str">
        <f t="shared" si="157"/>
        <v/>
      </c>
      <c r="AF323" s="43" t="str">
        <f t="shared" si="157"/>
        <v/>
      </c>
      <c r="AG323" s="43" t="str">
        <f t="shared" si="157"/>
        <v/>
      </c>
      <c r="AH323" s="43" t="str">
        <f t="shared" si="157"/>
        <v/>
      </c>
      <c r="AI323" s="43" t="str">
        <f t="shared" si="157"/>
        <v/>
      </c>
      <c r="AJ323" s="43" t="str">
        <f t="shared" si="157"/>
        <v/>
      </c>
      <c r="AK323" s="43" t="str">
        <f t="shared" si="157"/>
        <v/>
      </c>
      <c r="AL323" s="43" t="str">
        <f t="shared" si="158"/>
        <v/>
      </c>
      <c r="AM323" s="43" t="str">
        <f t="shared" si="158"/>
        <v/>
      </c>
      <c r="AN323" s="43" t="str">
        <f t="shared" si="158"/>
        <v/>
      </c>
      <c r="AO323" s="43" t="str">
        <f t="shared" si="158"/>
        <v/>
      </c>
      <c r="AP323" s="43" t="str">
        <f t="shared" si="158"/>
        <v/>
      </c>
      <c r="AQ323" s="43" t="str">
        <f t="shared" si="158"/>
        <v/>
      </c>
      <c r="AR323" s="43" t="str">
        <f t="shared" si="158"/>
        <v/>
      </c>
      <c r="AS323" s="43" t="str">
        <f t="shared" si="158"/>
        <v/>
      </c>
      <c r="AT323" s="43" t="str">
        <f t="shared" si="158"/>
        <v/>
      </c>
      <c r="AU323" s="43" t="str">
        <f t="shared" si="158"/>
        <v/>
      </c>
      <c r="AV323" s="43" t="str">
        <f t="shared" si="159"/>
        <v/>
      </c>
      <c r="AW323" s="43" t="str">
        <f t="shared" si="159"/>
        <v/>
      </c>
      <c r="AX323" s="43" t="str">
        <f t="shared" si="159"/>
        <v/>
      </c>
      <c r="AY323" s="43" t="str">
        <f t="shared" si="159"/>
        <v/>
      </c>
      <c r="AZ323" s="43" t="str">
        <f t="shared" si="159"/>
        <v/>
      </c>
      <c r="BA323" s="43" t="str">
        <f t="shared" si="159"/>
        <v/>
      </c>
      <c r="BB323" s="43"/>
      <c r="BC323" s="43"/>
      <c r="BD323" s="43"/>
      <c r="BE323" s="43"/>
      <c r="BF323" s="43"/>
      <c r="BG323" s="43"/>
      <c r="BW323" s="1250"/>
    </row>
    <row r="324" spans="1:75" x14ac:dyDescent="0.25">
      <c r="A324" s="1251"/>
      <c r="B324" s="462">
        <v>318</v>
      </c>
      <c r="C324" s="462"/>
      <c r="D324" s="1244"/>
      <c r="E324" s="1050"/>
      <c r="F324" s="1244"/>
      <c r="H324" s="43" t="str">
        <f t="shared" si="155"/>
        <v/>
      </c>
      <c r="I324" s="43" t="str">
        <f t="shared" si="155"/>
        <v/>
      </c>
      <c r="J324" s="43" t="str">
        <f t="shared" si="155"/>
        <v/>
      </c>
      <c r="K324" s="43" t="str">
        <f t="shared" si="155"/>
        <v/>
      </c>
      <c r="L324" s="43" t="str">
        <f t="shared" si="155"/>
        <v/>
      </c>
      <c r="M324" s="43" t="str">
        <f t="shared" si="155"/>
        <v/>
      </c>
      <c r="N324" s="43" t="str">
        <f t="shared" si="155"/>
        <v/>
      </c>
      <c r="O324" s="43" t="str">
        <f t="shared" si="155"/>
        <v/>
      </c>
      <c r="P324" s="43" t="str">
        <f t="shared" si="155"/>
        <v/>
      </c>
      <c r="Q324" s="43" t="str">
        <f t="shared" si="155"/>
        <v/>
      </c>
      <c r="R324" s="43" t="str">
        <f t="shared" si="156"/>
        <v/>
      </c>
      <c r="S324" s="43" t="str">
        <f t="shared" si="156"/>
        <v/>
      </c>
      <c r="T324" s="43" t="str">
        <f t="shared" si="156"/>
        <v/>
      </c>
      <c r="U324" s="43" t="str">
        <f t="shared" si="156"/>
        <v/>
      </c>
      <c r="V324" s="43" t="str">
        <f t="shared" si="156"/>
        <v/>
      </c>
      <c r="W324" s="43" t="str">
        <f t="shared" si="156"/>
        <v/>
      </c>
      <c r="X324" s="43" t="str">
        <f t="shared" si="156"/>
        <v/>
      </c>
      <c r="Y324" s="43" t="str">
        <f t="shared" si="156"/>
        <v/>
      </c>
      <c r="Z324" s="43" t="str">
        <f t="shared" si="156"/>
        <v/>
      </c>
      <c r="AA324" s="43" t="str">
        <f t="shared" si="156"/>
        <v/>
      </c>
      <c r="AB324" s="43" t="str">
        <f t="shared" si="157"/>
        <v/>
      </c>
      <c r="AC324" s="43" t="str">
        <f t="shared" si="157"/>
        <v/>
      </c>
      <c r="AD324" s="43" t="str">
        <f t="shared" si="157"/>
        <v/>
      </c>
      <c r="AE324" s="43" t="str">
        <f t="shared" si="157"/>
        <v/>
      </c>
      <c r="AF324" s="43" t="str">
        <f t="shared" si="157"/>
        <v/>
      </c>
      <c r="AG324" s="43" t="str">
        <f t="shared" si="157"/>
        <v/>
      </c>
      <c r="AH324" s="43" t="str">
        <f t="shared" si="157"/>
        <v/>
      </c>
      <c r="AI324" s="43" t="str">
        <f t="shared" si="157"/>
        <v/>
      </c>
      <c r="AJ324" s="43" t="str">
        <f t="shared" si="157"/>
        <v/>
      </c>
      <c r="AK324" s="43" t="str">
        <f t="shared" si="157"/>
        <v/>
      </c>
      <c r="AL324" s="43" t="str">
        <f t="shared" si="158"/>
        <v/>
      </c>
      <c r="AM324" s="43" t="str">
        <f t="shared" si="158"/>
        <v/>
      </c>
      <c r="AN324" s="43" t="str">
        <f t="shared" si="158"/>
        <v/>
      </c>
      <c r="AO324" s="43" t="str">
        <f t="shared" si="158"/>
        <v/>
      </c>
      <c r="AP324" s="43" t="str">
        <f t="shared" si="158"/>
        <v/>
      </c>
      <c r="AQ324" s="43" t="str">
        <f t="shared" si="158"/>
        <v/>
      </c>
      <c r="AR324" s="43" t="str">
        <f t="shared" si="158"/>
        <v/>
      </c>
      <c r="AS324" s="43" t="str">
        <f t="shared" si="158"/>
        <v/>
      </c>
      <c r="AT324" s="43" t="str">
        <f t="shared" si="158"/>
        <v/>
      </c>
      <c r="AU324" s="43" t="str">
        <f t="shared" si="158"/>
        <v/>
      </c>
      <c r="AV324" s="43" t="str">
        <f t="shared" si="159"/>
        <v/>
      </c>
      <c r="AW324" s="43" t="str">
        <f t="shared" si="159"/>
        <v/>
      </c>
      <c r="AX324" s="43" t="str">
        <f t="shared" si="159"/>
        <v/>
      </c>
      <c r="AY324" s="43" t="str">
        <f t="shared" si="159"/>
        <v/>
      </c>
      <c r="AZ324" s="43" t="str">
        <f t="shared" si="159"/>
        <v/>
      </c>
      <c r="BA324" s="43" t="str">
        <f t="shared" si="159"/>
        <v/>
      </c>
      <c r="BB324" s="43"/>
      <c r="BC324" s="43"/>
      <c r="BD324" s="43"/>
      <c r="BE324" s="43"/>
      <c r="BF324" s="43"/>
      <c r="BG324" s="43"/>
      <c r="BW324" s="1250"/>
    </row>
    <row r="325" spans="1:75" x14ac:dyDescent="0.25">
      <c r="A325" s="1251"/>
      <c r="B325" s="462">
        <v>319</v>
      </c>
      <c r="C325" s="462"/>
      <c r="D325" s="1244"/>
      <c r="E325" s="1050"/>
      <c r="F325" s="1244"/>
      <c r="H325" s="43" t="str">
        <f t="shared" si="155"/>
        <v/>
      </c>
      <c r="I325" s="43" t="str">
        <f t="shared" si="155"/>
        <v/>
      </c>
      <c r="J325" s="43" t="str">
        <f t="shared" si="155"/>
        <v/>
      </c>
      <c r="K325" s="43" t="str">
        <f t="shared" si="155"/>
        <v/>
      </c>
      <c r="L325" s="43" t="str">
        <f t="shared" si="155"/>
        <v/>
      </c>
      <c r="M325" s="43" t="str">
        <f t="shared" si="155"/>
        <v/>
      </c>
      <c r="N325" s="43" t="str">
        <f t="shared" si="155"/>
        <v/>
      </c>
      <c r="O325" s="43" t="str">
        <f t="shared" si="155"/>
        <v/>
      </c>
      <c r="P325" s="43" t="str">
        <f t="shared" si="155"/>
        <v/>
      </c>
      <c r="Q325" s="43" t="str">
        <f t="shared" si="155"/>
        <v/>
      </c>
      <c r="R325" s="43" t="str">
        <f t="shared" si="156"/>
        <v/>
      </c>
      <c r="S325" s="43" t="str">
        <f t="shared" si="156"/>
        <v/>
      </c>
      <c r="T325" s="43" t="str">
        <f t="shared" si="156"/>
        <v/>
      </c>
      <c r="U325" s="43" t="str">
        <f t="shared" si="156"/>
        <v/>
      </c>
      <c r="V325" s="43" t="str">
        <f t="shared" si="156"/>
        <v/>
      </c>
      <c r="W325" s="43" t="str">
        <f t="shared" si="156"/>
        <v/>
      </c>
      <c r="X325" s="43" t="str">
        <f t="shared" si="156"/>
        <v/>
      </c>
      <c r="Y325" s="43" t="str">
        <f t="shared" si="156"/>
        <v/>
      </c>
      <c r="Z325" s="43" t="str">
        <f t="shared" si="156"/>
        <v/>
      </c>
      <c r="AA325" s="43" t="str">
        <f t="shared" si="156"/>
        <v/>
      </c>
      <c r="AB325" s="43" t="str">
        <f t="shared" si="157"/>
        <v/>
      </c>
      <c r="AC325" s="43" t="str">
        <f t="shared" si="157"/>
        <v/>
      </c>
      <c r="AD325" s="43" t="str">
        <f t="shared" si="157"/>
        <v/>
      </c>
      <c r="AE325" s="43" t="str">
        <f t="shared" si="157"/>
        <v/>
      </c>
      <c r="AF325" s="43" t="str">
        <f t="shared" si="157"/>
        <v/>
      </c>
      <c r="AG325" s="43" t="str">
        <f t="shared" si="157"/>
        <v/>
      </c>
      <c r="AH325" s="43" t="str">
        <f t="shared" si="157"/>
        <v/>
      </c>
      <c r="AI325" s="43" t="str">
        <f t="shared" si="157"/>
        <v/>
      </c>
      <c r="AJ325" s="43" t="str">
        <f t="shared" si="157"/>
        <v/>
      </c>
      <c r="AK325" s="43" t="str">
        <f t="shared" si="157"/>
        <v/>
      </c>
      <c r="AL325" s="43" t="str">
        <f t="shared" si="158"/>
        <v/>
      </c>
      <c r="AM325" s="43" t="str">
        <f t="shared" si="158"/>
        <v/>
      </c>
      <c r="AN325" s="43" t="str">
        <f t="shared" si="158"/>
        <v/>
      </c>
      <c r="AO325" s="43" t="str">
        <f t="shared" si="158"/>
        <v/>
      </c>
      <c r="AP325" s="43" t="str">
        <f t="shared" si="158"/>
        <v/>
      </c>
      <c r="AQ325" s="43" t="str">
        <f t="shared" si="158"/>
        <v/>
      </c>
      <c r="AR325" s="43" t="str">
        <f t="shared" si="158"/>
        <v/>
      </c>
      <c r="AS325" s="43" t="str">
        <f t="shared" si="158"/>
        <v/>
      </c>
      <c r="AT325" s="43" t="str">
        <f t="shared" si="158"/>
        <v/>
      </c>
      <c r="AU325" s="43" t="str">
        <f t="shared" si="158"/>
        <v/>
      </c>
      <c r="AV325" s="43" t="str">
        <f t="shared" si="159"/>
        <v/>
      </c>
      <c r="AW325" s="43" t="str">
        <f t="shared" si="159"/>
        <v/>
      </c>
      <c r="AX325" s="43" t="str">
        <f t="shared" si="159"/>
        <v/>
      </c>
      <c r="AY325" s="43" t="str">
        <f t="shared" si="159"/>
        <v/>
      </c>
      <c r="AZ325" s="43" t="str">
        <f t="shared" si="159"/>
        <v/>
      </c>
      <c r="BA325" s="43" t="str">
        <f t="shared" si="159"/>
        <v/>
      </c>
      <c r="BB325" s="43"/>
      <c r="BC325" s="43"/>
      <c r="BD325" s="43"/>
      <c r="BE325" s="43"/>
      <c r="BF325" s="43"/>
      <c r="BG325" s="43"/>
      <c r="BW325" s="1250"/>
    </row>
    <row r="326" spans="1:75" x14ac:dyDescent="0.25">
      <c r="A326" s="1251"/>
      <c r="B326" s="462">
        <v>320</v>
      </c>
      <c r="C326" s="462"/>
      <c r="D326" s="1244"/>
      <c r="E326" s="1050"/>
      <c r="F326" s="1244"/>
      <c r="H326" s="43" t="str">
        <f t="shared" si="155"/>
        <v/>
      </c>
      <c r="I326" s="43" t="str">
        <f t="shared" si="155"/>
        <v/>
      </c>
      <c r="J326" s="43" t="str">
        <f t="shared" si="155"/>
        <v/>
      </c>
      <c r="K326" s="43" t="str">
        <f t="shared" si="155"/>
        <v/>
      </c>
      <c r="L326" s="43" t="str">
        <f t="shared" si="155"/>
        <v/>
      </c>
      <c r="M326" s="43" t="str">
        <f t="shared" si="155"/>
        <v/>
      </c>
      <c r="N326" s="43" t="str">
        <f t="shared" si="155"/>
        <v/>
      </c>
      <c r="O326" s="43" t="str">
        <f t="shared" si="155"/>
        <v/>
      </c>
      <c r="P326" s="43" t="str">
        <f t="shared" si="155"/>
        <v/>
      </c>
      <c r="Q326" s="43" t="str">
        <f t="shared" si="155"/>
        <v/>
      </c>
      <c r="R326" s="43" t="str">
        <f t="shared" si="156"/>
        <v/>
      </c>
      <c r="S326" s="43" t="str">
        <f t="shared" si="156"/>
        <v/>
      </c>
      <c r="T326" s="43" t="str">
        <f t="shared" si="156"/>
        <v/>
      </c>
      <c r="U326" s="43" t="str">
        <f t="shared" si="156"/>
        <v/>
      </c>
      <c r="V326" s="43" t="str">
        <f t="shared" si="156"/>
        <v/>
      </c>
      <c r="W326" s="43" t="str">
        <f t="shared" si="156"/>
        <v/>
      </c>
      <c r="X326" s="43" t="str">
        <f t="shared" si="156"/>
        <v/>
      </c>
      <c r="Y326" s="43" t="str">
        <f t="shared" si="156"/>
        <v/>
      </c>
      <c r="Z326" s="43" t="str">
        <f t="shared" si="156"/>
        <v/>
      </c>
      <c r="AA326" s="43" t="str">
        <f t="shared" si="156"/>
        <v/>
      </c>
      <c r="AB326" s="43" t="str">
        <f t="shared" si="157"/>
        <v/>
      </c>
      <c r="AC326" s="43" t="str">
        <f t="shared" si="157"/>
        <v/>
      </c>
      <c r="AD326" s="43" t="str">
        <f t="shared" si="157"/>
        <v/>
      </c>
      <c r="AE326" s="43" t="str">
        <f t="shared" si="157"/>
        <v/>
      </c>
      <c r="AF326" s="43" t="str">
        <f t="shared" si="157"/>
        <v/>
      </c>
      <c r="AG326" s="43" t="str">
        <f t="shared" si="157"/>
        <v/>
      </c>
      <c r="AH326" s="43" t="str">
        <f t="shared" si="157"/>
        <v/>
      </c>
      <c r="AI326" s="43" t="str">
        <f t="shared" si="157"/>
        <v/>
      </c>
      <c r="AJ326" s="43" t="str">
        <f t="shared" si="157"/>
        <v/>
      </c>
      <c r="AK326" s="43" t="str">
        <f t="shared" si="157"/>
        <v/>
      </c>
      <c r="AL326" s="43" t="str">
        <f t="shared" si="158"/>
        <v/>
      </c>
      <c r="AM326" s="43" t="str">
        <f t="shared" si="158"/>
        <v/>
      </c>
      <c r="AN326" s="43" t="str">
        <f t="shared" si="158"/>
        <v/>
      </c>
      <c r="AO326" s="43" t="str">
        <f t="shared" si="158"/>
        <v/>
      </c>
      <c r="AP326" s="43" t="str">
        <f t="shared" si="158"/>
        <v/>
      </c>
      <c r="AQ326" s="43" t="str">
        <f t="shared" si="158"/>
        <v/>
      </c>
      <c r="AR326" s="43" t="str">
        <f t="shared" si="158"/>
        <v/>
      </c>
      <c r="AS326" s="43" t="str">
        <f t="shared" si="158"/>
        <v/>
      </c>
      <c r="AT326" s="43" t="str">
        <f t="shared" si="158"/>
        <v/>
      </c>
      <c r="AU326" s="43" t="str">
        <f t="shared" si="158"/>
        <v/>
      </c>
      <c r="AV326" s="43" t="str">
        <f t="shared" si="159"/>
        <v/>
      </c>
      <c r="AW326" s="43" t="str">
        <f t="shared" si="159"/>
        <v/>
      </c>
      <c r="AX326" s="43" t="str">
        <f t="shared" si="159"/>
        <v/>
      </c>
      <c r="AY326" s="43" t="str">
        <f t="shared" si="159"/>
        <v/>
      </c>
      <c r="AZ326" s="43" t="str">
        <f t="shared" si="159"/>
        <v/>
      </c>
      <c r="BA326" s="43" t="str">
        <f t="shared" si="159"/>
        <v/>
      </c>
      <c r="BB326" s="43"/>
      <c r="BC326" s="43"/>
      <c r="BD326" s="43"/>
      <c r="BE326" s="43"/>
      <c r="BF326" s="43"/>
      <c r="BG326" s="43"/>
      <c r="BW326" s="1250"/>
    </row>
    <row r="327" spans="1:75" x14ac:dyDescent="0.25">
      <c r="A327" s="1251"/>
      <c r="B327" s="462">
        <v>321</v>
      </c>
      <c r="C327" s="462"/>
      <c r="D327" s="1244"/>
      <c r="E327" s="1050"/>
      <c r="F327" s="1244"/>
      <c r="H327" s="43" t="str">
        <f t="shared" ref="H327:Q336" si="160">IF($D327=H$6,$B327&amp;", ","")</f>
        <v/>
      </c>
      <c r="I327" s="43" t="str">
        <f t="shared" si="160"/>
        <v/>
      </c>
      <c r="J327" s="43" t="str">
        <f t="shared" si="160"/>
        <v/>
      </c>
      <c r="K327" s="43" t="str">
        <f t="shared" si="160"/>
        <v/>
      </c>
      <c r="L327" s="43" t="str">
        <f t="shared" si="160"/>
        <v/>
      </c>
      <c r="M327" s="43" t="str">
        <f t="shared" si="160"/>
        <v/>
      </c>
      <c r="N327" s="43" t="str">
        <f t="shared" si="160"/>
        <v/>
      </c>
      <c r="O327" s="43" t="str">
        <f t="shared" si="160"/>
        <v/>
      </c>
      <c r="P327" s="43" t="str">
        <f t="shared" si="160"/>
        <v/>
      </c>
      <c r="Q327" s="43" t="str">
        <f t="shared" si="160"/>
        <v/>
      </c>
      <c r="R327" s="43" t="str">
        <f t="shared" ref="R327:AA336" si="161">IF($D327=R$6,$B327&amp;", ","")</f>
        <v/>
      </c>
      <c r="S327" s="43" t="str">
        <f t="shared" si="161"/>
        <v/>
      </c>
      <c r="T327" s="43" t="str">
        <f t="shared" si="161"/>
        <v/>
      </c>
      <c r="U327" s="43" t="str">
        <f t="shared" si="161"/>
        <v/>
      </c>
      <c r="V327" s="43" t="str">
        <f t="shared" si="161"/>
        <v/>
      </c>
      <c r="W327" s="43" t="str">
        <f t="shared" si="161"/>
        <v/>
      </c>
      <c r="X327" s="43" t="str">
        <f t="shared" si="161"/>
        <v/>
      </c>
      <c r="Y327" s="43" t="str">
        <f t="shared" si="161"/>
        <v/>
      </c>
      <c r="Z327" s="43" t="str">
        <f t="shared" si="161"/>
        <v/>
      </c>
      <c r="AA327" s="43" t="str">
        <f t="shared" si="161"/>
        <v/>
      </c>
      <c r="AB327" s="43" t="str">
        <f t="shared" ref="AB327:AK336" si="162">IF($D327=AB$6,$B327&amp;", ","")</f>
        <v/>
      </c>
      <c r="AC327" s="43" t="str">
        <f t="shared" si="162"/>
        <v/>
      </c>
      <c r="AD327" s="43" t="str">
        <f t="shared" si="162"/>
        <v/>
      </c>
      <c r="AE327" s="43" t="str">
        <f t="shared" si="162"/>
        <v/>
      </c>
      <c r="AF327" s="43" t="str">
        <f t="shared" si="162"/>
        <v/>
      </c>
      <c r="AG327" s="43" t="str">
        <f t="shared" si="162"/>
        <v/>
      </c>
      <c r="AH327" s="43" t="str">
        <f t="shared" si="162"/>
        <v/>
      </c>
      <c r="AI327" s="43" t="str">
        <f t="shared" si="162"/>
        <v/>
      </c>
      <c r="AJ327" s="43" t="str">
        <f t="shared" si="162"/>
        <v/>
      </c>
      <c r="AK327" s="43" t="str">
        <f t="shared" si="162"/>
        <v/>
      </c>
      <c r="AL327" s="43" t="str">
        <f t="shared" ref="AL327:AU336" si="163">IF($D327=AL$6,$B327&amp;", ","")</f>
        <v/>
      </c>
      <c r="AM327" s="43" t="str">
        <f t="shared" si="163"/>
        <v/>
      </c>
      <c r="AN327" s="43" t="str">
        <f t="shared" si="163"/>
        <v/>
      </c>
      <c r="AO327" s="43" t="str">
        <f t="shared" si="163"/>
        <v/>
      </c>
      <c r="AP327" s="43" t="str">
        <f t="shared" si="163"/>
        <v/>
      </c>
      <c r="AQ327" s="43" t="str">
        <f t="shared" si="163"/>
        <v/>
      </c>
      <c r="AR327" s="43" t="str">
        <f t="shared" si="163"/>
        <v/>
      </c>
      <c r="AS327" s="43" t="str">
        <f t="shared" si="163"/>
        <v/>
      </c>
      <c r="AT327" s="43" t="str">
        <f t="shared" si="163"/>
        <v/>
      </c>
      <c r="AU327" s="43" t="str">
        <f t="shared" si="163"/>
        <v/>
      </c>
      <c r="AV327" s="43" t="str">
        <f t="shared" ref="AV327:BA336" si="164">IF($D327=AV$6,$B327&amp;", ","")</f>
        <v/>
      </c>
      <c r="AW327" s="43" t="str">
        <f t="shared" si="164"/>
        <v/>
      </c>
      <c r="AX327" s="43" t="str">
        <f t="shared" si="164"/>
        <v/>
      </c>
      <c r="AY327" s="43" t="str">
        <f t="shared" si="164"/>
        <v/>
      </c>
      <c r="AZ327" s="43" t="str">
        <f t="shared" si="164"/>
        <v/>
      </c>
      <c r="BA327" s="43" t="str">
        <f t="shared" si="164"/>
        <v/>
      </c>
      <c r="BB327" s="43"/>
      <c r="BC327" s="43"/>
      <c r="BD327" s="43"/>
      <c r="BE327" s="43"/>
      <c r="BF327" s="43"/>
      <c r="BG327" s="43"/>
      <c r="BW327" s="1250"/>
    </row>
    <row r="328" spans="1:75" x14ac:dyDescent="0.25">
      <c r="A328" s="1251"/>
      <c r="B328" s="462">
        <v>322</v>
      </c>
      <c r="C328" s="462"/>
      <c r="D328" s="1244"/>
      <c r="E328" s="1050"/>
      <c r="F328" s="1244"/>
      <c r="H328" s="43" t="str">
        <f t="shared" si="160"/>
        <v/>
      </c>
      <c r="I328" s="43" t="str">
        <f t="shared" si="160"/>
        <v/>
      </c>
      <c r="J328" s="43" t="str">
        <f t="shared" si="160"/>
        <v/>
      </c>
      <c r="K328" s="43" t="str">
        <f t="shared" si="160"/>
        <v/>
      </c>
      <c r="L328" s="43" t="str">
        <f t="shared" si="160"/>
        <v/>
      </c>
      <c r="M328" s="43" t="str">
        <f t="shared" si="160"/>
        <v/>
      </c>
      <c r="N328" s="43" t="str">
        <f t="shared" si="160"/>
        <v/>
      </c>
      <c r="O328" s="43" t="str">
        <f t="shared" si="160"/>
        <v/>
      </c>
      <c r="P328" s="43" t="str">
        <f t="shared" si="160"/>
        <v/>
      </c>
      <c r="Q328" s="43" t="str">
        <f t="shared" si="160"/>
        <v/>
      </c>
      <c r="R328" s="43" t="str">
        <f t="shared" si="161"/>
        <v/>
      </c>
      <c r="S328" s="43" t="str">
        <f t="shared" si="161"/>
        <v/>
      </c>
      <c r="T328" s="43" t="str">
        <f t="shared" si="161"/>
        <v/>
      </c>
      <c r="U328" s="43" t="str">
        <f t="shared" si="161"/>
        <v/>
      </c>
      <c r="V328" s="43" t="str">
        <f t="shared" si="161"/>
        <v/>
      </c>
      <c r="W328" s="43" t="str">
        <f t="shared" si="161"/>
        <v/>
      </c>
      <c r="X328" s="43" t="str">
        <f t="shared" si="161"/>
        <v/>
      </c>
      <c r="Y328" s="43" t="str">
        <f t="shared" si="161"/>
        <v/>
      </c>
      <c r="Z328" s="43" t="str">
        <f t="shared" si="161"/>
        <v/>
      </c>
      <c r="AA328" s="43" t="str">
        <f t="shared" si="161"/>
        <v/>
      </c>
      <c r="AB328" s="43" t="str">
        <f t="shared" si="162"/>
        <v/>
      </c>
      <c r="AC328" s="43" t="str">
        <f t="shared" si="162"/>
        <v/>
      </c>
      <c r="AD328" s="43" t="str">
        <f t="shared" si="162"/>
        <v/>
      </c>
      <c r="AE328" s="43" t="str">
        <f t="shared" si="162"/>
        <v/>
      </c>
      <c r="AF328" s="43" t="str">
        <f t="shared" si="162"/>
        <v/>
      </c>
      <c r="AG328" s="43" t="str">
        <f t="shared" si="162"/>
        <v/>
      </c>
      <c r="AH328" s="43" t="str">
        <f t="shared" si="162"/>
        <v/>
      </c>
      <c r="AI328" s="43" t="str">
        <f t="shared" si="162"/>
        <v/>
      </c>
      <c r="AJ328" s="43" t="str">
        <f t="shared" si="162"/>
        <v/>
      </c>
      <c r="AK328" s="43" t="str">
        <f t="shared" si="162"/>
        <v/>
      </c>
      <c r="AL328" s="43" t="str">
        <f t="shared" si="163"/>
        <v/>
      </c>
      <c r="AM328" s="43" t="str">
        <f t="shared" si="163"/>
        <v/>
      </c>
      <c r="AN328" s="43" t="str">
        <f t="shared" si="163"/>
        <v/>
      </c>
      <c r="AO328" s="43" t="str">
        <f t="shared" si="163"/>
        <v/>
      </c>
      <c r="AP328" s="43" t="str">
        <f t="shared" si="163"/>
        <v/>
      </c>
      <c r="AQ328" s="43" t="str">
        <f t="shared" si="163"/>
        <v/>
      </c>
      <c r="AR328" s="43" t="str">
        <f t="shared" si="163"/>
        <v/>
      </c>
      <c r="AS328" s="43" t="str">
        <f t="shared" si="163"/>
        <v/>
      </c>
      <c r="AT328" s="43" t="str">
        <f t="shared" si="163"/>
        <v/>
      </c>
      <c r="AU328" s="43" t="str">
        <f t="shared" si="163"/>
        <v/>
      </c>
      <c r="AV328" s="43" t="str">
        <f t="shared" si="164"/>
        <v/>
      </c>
      <c r="AW328" s="43" t="str">
        <f t="shared" si="164"/>
        <v/>
      </c>
      <c r="AX328" s="43" t="str">
        <f t="shared" si="164"/>
        <v/>
      </c>
      <c r="AY328" s="43" t="str">
        <f t="shared" si="164"/>
        <v/>
      </c>
      <c r="AZ328" s="43" t="str">
        <f t="shared" si="164"/>
        <v/>
      </c>
      <c r="BA328" s="43" t="str">
        <f t="shared" si="164"/>
        <v/>
      </c>
      <c r="BB328" s="43"/>
      <c r="BC328" s="43"/>
      <c r="BD328" s="43"/>
      <c r="BE328" s="43"/>
      <c r="BF328" s="43"/>
      <c r="BG328" s="43"/>
      <c r="BW328" s="1250"/>
    </row>
    <row r="329" spans="1:75" x14ac:dyDescent="0.25">
      <c r="A329" s="1251"/>
      <c r="B329" s="462">
        <v>323</v>
      </c>
      <c r="C329" s="462"/>
      <c r="D329" s="1244"/>
      <c r="E329" s="1050"/>
      <c r="F329" s="1244"/>
      <c r="H329" s="43" t="str">
        <f t="shared" si="160"/>
        <v/>
      </c>
      <c r="I329" s="43" t="str">
        <f t="shared" si="160"/>
        <v/>
      </c>
      <c r="J329" s="43" t="str">
        <f t="shared" si="160"/>
        <v/>
      </c>
      <c r="K329" s="43" t="str">
        <f t="shared" si="160"/>
        <v/>
      </c>
      <c r="L329" s="43" t="str">
        <f t="shared" si="160"/>
        <v/>
      </c>
      <c r="M329" s="43" t="str">
        <f t="shared" si="160"/>
        <v/>
      </c>
      <c r="N329" s="43" t="str">
        <f t="shared" si="160"/>
        <v/>
      </c>
      <c r="O329" s="43" t="str">
        <f t="shared" si="160"/>
        <v/>
      </c>
      <c r="P329" s="43" t="str">
        <f t="shared" si="160"/>
        <v/>
      </c>
      <c r="Q329" s="43" t="str">
        <f t="shared" si="160"/>
        <v/>
      </c>
      <c r="R329" s="43" t="str">
        <f t="shared" si="161"/>
        <v/>
      </c>
      <c r="S329" s="43" t="str">
        <f t="shared" si="161"/>
        <v/>
      </c>
      <c r="T329" s="43" t="str">
        <f t="shared" si="161"/>
        <v/>
      </c>
      <c r="U329" s="43" t="str">
        <f t="shared" si="161"/>
        <v/>
      </c>
      <c r="V329" s="43" t="str">
        <f t="shared" si="161"/>
        <v/>
      </c>
      <c r="W329" s="43" t="str">
        <f t="shared" si="161"/>
        <v/>
      </c>
      <c r="X329" s="43" t="str">
        <f t="shared" si="161"/>
        <v/>
      </c>
      <c r="Y329" s="43" t="str">
        <f t="shared" si="161"/>
        <v/>
      </c>
      <c r="Z329" s="43" t="str">
        <f t="shared" si="161"/>
        <v/>
      </c>
      <c r="AA329" s="43" t="str">
        <f t="shared" si="161"/>
        <v/>
      </c>
      <c r="AB329" s="43" t="str">
        <f t="shared" si="162"/>
        <v/>
      </c>
      <c r="AC329" s="43" t="str">
        <f t="shared" si="162"/>
        <v/>
      </c>
      <c r="AD329" s="43" t="str">
        <f t="shared" si="162"/>
        <v/>
      </c>
      <c r="AE329" s="43" t="str">
        <f t="shared" si="162"/>
        <v/>
      </c>
      <c r="AF329" s="43" t="str">
        <f t="shared" si="162"/>
        <v/>
      </c>
      <c r="AG329" s="43" t="str">
        <f t="shared" si="162"/>
        <v/>
      </c>
      <c r="AH329" s="43" t="str">
        <f t="shared" si="162"/>
        <v/>
      </c>
      <c r="AI329" s="43" t="str">
        <f t="shared" si="162"/>
        <v/>
      </c>
      <c r="AJ329" s="43" t="str">
        <f t="shared" si="162"/>
        <v/>
      </c>
      <c r="AK329" s="43" t="str">
        <f t="shared" si="162"/>
        <v/>
      </c>
      <c r="AL329" s="43" t="str">
        <f t="shared" si="163"/>
        <v/>
      </c>
      <c r="AM329" s="43" t="str">
        <f t="shared" si="163"/>
        <v/>
      </c>
      <c r="AN329" s="43" t="str">
        <f t="shared" si="163"/>
        <v/>
      </c>
      <c r="AO329" s="43" t="str">
        <f t="shared" si="163"/>
        <v/>
      </c>
      <c r="AP329" s="43" t="str">
        <f t="shared" si="163"/>
        <v/>
      </c>
      <c r="AQ329" s="43" t="str">
        <f t="shared" si="163"/>
        <v/>
      </c>
      <c r="AR329" s="43" t="str">
        <f t="shared" si="163"/>
        <v/>
      </c>
      <c r="AS329" s="43" t="str">
        <f t="shared" si="163"/>
        <v/>
      </c>
      <c r="AT329" s="43" t="str">
        <f t="shared" si="163"/>
        <v/>
      </c>
      <c r="AU329" s="43" t="str">
        <f t="shared" si="163"/>
        <v/>
      </c>
      <c r="AV329" s="43" t="str">
        <f t="shared" si="164"/>
        <v/>
      </c>
      <c r="AW329" s="43" t="str">
        <f t="shared" si="164"/>
        <v/>
      </c>
      <c r="AX329" s="43" t="str">
        <f t="shared" si="164"/>
        <v/>
      </c>
      <c r="AY329" s="43" t="str">
        <f t="shared" si="164"/>
        <v/>
      </c>
      <c r="AZ329" s="43" t="str">
        <f t="shared" si="164"/>
        <v/>
      </c>
      <c r="BA329" s="43" t="str">
        <f t="shared" si="164"/>
        <v/>
      </c>
      <c r="BB329" s="43"/>
      <c r="BC329" s="43"/>
      <c r="BD329" s="43"/>
      <c r="BE329" s="43"/>
      <c r="BF329" s="43"/>
      <c r="BG329" s="43"/>
      <c r="BW329" s="1250"/>
    </row>
    <row r="330" spans="1:75" x14ac:dyDescent="0.25">
      <c r="A330" s="1251"/>
      <c r="B330" s="462">
        <v>324</v>
      </c>
      <c r="C330" s="462"/>
      <c r="D330" s="1244"/>
      <c r="E330" s="1050"/>
      <c r="F330" s="1244"/>
      <c r="H330" s="43" t="str">
        <f t="shared" si="160"/>
        <v/>
      </c>
      <c r="I330" s="43" t="str">
        <f t="shared" si="160"/>
        <v/>
      </c>
      <c r="J330" s="43" t="str">
        <f t="shared" si="160"/>
        <v/>
      </c>
      <c r="K330" s="43" t="str">
        <f t="shared" si="160"/>
        <v/>
      </c>
      <c r="L330" s="43" t="str">
        <f t="shared" si="160"/>
        <v/>
      </c>
      <c r="M330" s="43" t="str">
        <f t="shared" si="160"/>
        <v/>
      </c>
      <c r="N330" s="43" t="str">
        <f t="shared" si="160"/>
        <v/>
      </c>
      <c r="O330" s="43" t="str">
        <f t="shared" si="160"/>
        <v/>
      </c>
      <c r="P330" s="43" t="str">
        <f t="shared" si="160"/>
        <v/>
      </c>
      <c r="Q330" s="43" t="str">
        <f t="shared" si="160"/>
        <v/>
      </c>
      <c r="R330" s="43" t="str">
        <f t="shared" si="161"/>
        <v/>
      </c>
      <c r="S330" s="43" t="str">
        <f t="shared" si="161"/>
        <v/>
      </c>
      <c r="T330" s="43" t="str">
        <f t="shared" si="161"/>
        <v/>
      </c>
      <c r="U330" s="43" t="str">
        <f t="shared" si="161"/>
        <v/>
      </c>
      <c r="V330" s="43" t="str">
        <f t="shared" si="161"/>
        <v/>
      </c>
      <c r="W330" s="43" t="str">
        <f t="shared" si="161"/>
        <v/>
      </c>
      <c r="X330" s="43" t="str">
        <f t="shared" si="161"/>
        <v/>
      </c>
      <c r="Y330" s="43" t="str">
        <f t="shared" si="161"/>
        <v/>
      </c>
      <c r="Z330" s="43" t="str">
        <f t="shared" si="161"/>
        <v/>
      </c>
      <c r="AA330" s="43" t="str">
        <f t="shared" si="161"/>
        <v/>
      </c>
      <c r="AB330" s="43" t="str">
        <f t="shared" si="162"/>
        <v/>
      </c>
      <c r="AC330" s="43" t="str">
        <f t="shared" si="162"/>
        <v/>
      </c>
      <c r="AD330" s="43" t="str">
        <f t="shared" si="162"/>
        <v/>
      </c>
      <c r="AE330" s="43" t="str">
        <f t="shared" si="162"/>
        <v/>
      </c>
      <c r="AF330" s="43" t="str">
        <f t="shared" si="162"/>
        <v/>
      </c>
      <c r="AG330" s="43" t="str">
        <f t="shared" si="162"/>
        <v/>
      </c>
      <c r="AH330" s="43" t="str">
        <f t="shared" si="162"/>
        <v/>
      </c>
      <c r="AI330" s="43" t="str">
        <f t="shared" si="162"/>
        <v/>
      </c>
      <c r="AJ330" s="43" t="str">
        <f t="shared" si="162"/>
        <v/>
      </c>
      <c r="AK330" s="43" t="str">
        <f t="shared" si="162"/>
        <v/>
      </c>
      <c r="AL330" s="43" t="str">
        <f t="shared" si="163"/>
        <v/>
      </c>
      <c r="AM330" s="43" t="str">
        <f t="shared" si="163"/>
        <v/>
      </c>
      <c r="AN330" s="43" t="str">
        <f t="shared" si="163"/>
        <v/>
      </c>
      <c r="AO330" s="43" t="str">
        <f t="shared" si="163"/>
        <v/>
      </c>
      <c r="AP330" s="43" t="str">
        <f t="shared" si="163"/>
        <v/>
      </c>
      <c r="AQ330" s="43" t="str">
        <f t="shared" si="163"/>
        <v/>
      </c>
      <c r="AR330" s="43" t="str">
        <f t="shared" si="163"/>
        <v/>
      </c>
      <c r="AS330" s="43" t="str">
        <f t="shared" si="163"/>
        <v/>
      </c>
      <c r="AT330" s="43" t="str">
        <f t="shared" si="163"/>
        <v/>
      </c>
      <c r="AU330" s="43" t="str">
        <f t="shared" si="163"/>
        <v/>
      </c>
      <c r="AV330" s="43" t="str">
        <f t="shared" si="164"/>
        <v/>
      </c>
      <c r="AW330" s="43" t="str">
        <f t="shared" si="164"/>
        <v/>
      </c>
      <c r="AX330" s="43" t="str">
        <f t="shared" si="164"/>
        <v/>
      </c>
      <c r="AY330" s="43" t="str">
        <f t="shared" si="164"/>
        <v/>
      </c>
      <c r="AZ330" s="43" t="str">
        <f t="shared" si="164"/>
        <v/>
      </c>
      <c r="BA330" s="43" t="str">
        <f t="shared" si="164"/>
        <v/>
      </c>
      <c r="BB330" s="43"/>
      <c r="BC330" s="43"/>
      <c r="BD330" s="43"/>
      <c r="BE330" s="43"/>
      <c r="BF330" s="43"/>
      <c r="BG330" s="43"/>
      <c r="BW330" s="1250"/>
    </row>
    <row r="331" spans="1:75" x14ac:dyDescent="0.25">
      <c r="A331" s="1251"/>
      <c r="B331" s="462">
        <v>325</v>
      </c>
      <c r="C331" s="462"/>
      <c r="D331" s="1244"/>
      <c r="E331" s="1050"/>
      <c r="F331" s="1244"/>
      <c r="H331" s="43" t="str">
        <f t="shared" si="160"/>
        <v/>
      </c>
      <c r="I331" s="43" t="str">
        <f t="shared" si="160"/>
        <v/>
      </c>
      <c r="J331" s="43" t="str">
        <f t="shared" si="160"/>
        <v/>
      </c>
      <c r="K331" s="43" t="str">
        <f t="shared" si="160"/>
        <v/>
      </c>
      <c r="L331" s="43" t="str">
        <f t="shared" si="160"/>
        <v/>
      </c>
      <c r="M331" s="43" t="str">
        <f t="shared" si="160"/>
        <v/>
      </c>
      <c r="N331" s="43" t="str">
        <f t="shared" si="160"/>
        <v/>
      </c>
      <c r="O331" s="43" t="str">
        <f t="shared" si="160"/>
        <v/>
      </c>
      <c r="P331" s="43" t="str">
        <f t="shared" si="160"/>
        <v/>
      </c>
      <c r="Q331" s="43" t="str">
        <f t="shared" si="160"/>
        <v/>
      </c>
      <c r="R331" s="43" t="str">
        <f t="shared" si="161"/>
        <v/>
      </c>
      <c r="S331" s="43" t="str">
        <f t="shared" si="161"/>
        <v/>
      </c>
      <c r="T331" s="43" t="str">
        <f t="shared" si="161"/>
        <v/>
      </c>
      <c r="U331" s="43" t="str">
        <f t="shared" si="161"/>
        <v/>
      </c>
      <c r="V331" s="43" t="str">
        <f t="shared" si="161"/>
        <v/>
      </c>
      <c r="W331" s="43" t="str">
        <f t="shared" si="161"/>
        <v/>
      </c>
      <c r="X331" s="43" t="str">
        <f t="shared" si="161"/>
        <v/>
      </c>
      <c r="Y331" s="43" t="str">
        <f t="shared" si="161"/>
        <v/>
      </c>
      <c r="Z331" s="43" t="str">
        <f t="shared" si="161"/>
        <v/>
      </c>
      <c r="AA331" s="43" t="str">
        <f t="shared" si="161"/>
        <v/>
      </c>
      <c r="AB331" s="43" t="str">
        <f t="shared" si="162"/>
        <v/>
      </c>
      <c r="AC331" s="43" t="str">
        <f t="shared" si="162"/>
        <v/>
      </c>
      <c r="AD331" s="43" t="str">
        <f t="shared" si="162"/>
        <v/>
      </c>
      <c r="AE331" s="43" t="str">
        <f t="shared" si="162"/>
        <v/>
      </c>
      <c r="AF331" s="43" t="str">
        <f t="shared" si="162"/>
        <v/>
      </c>
      <c r="AG331" s="43" t="str">
        <f t="shared" si="162"/>
        <v/>
      </c>
      <c r="AH331" s="43" t="str">
        <f t="shared" si="162"/>
        <v/>
      </c>
      <c r="AI331" s="43" t="str">
        <f t="shared" si="162"/>
        <v/>
      </c>
      <c r="AJ331" s="43" t="str">
        <f t="shared" si="162"/>
        <v/>
      </c>
      <c r="AK331" s="43" t="str">
        <f t="shared" si="162"/>
        <v/>
      </c>
      <c r="AL331" s="43" t="str">
        <f t="shared" si="163"/>
        <v/>
      </c>
      <c r="AM331" s="43" t="str">
        <f t="shared" si="163"/>
        <v/>
      </c>
      <c r="AN331" s="43" t="str">
        <f t="shared" si="163"/>
        <v/>
      </c>
      <c r="AO331" s="43" t="str">
        <f t="shared" si="163"/>
        <v/>
      </c>
      <c r="AP331" s="43" t="str">
        <f t="shared" si="163"/>
        <v/>
      </c>
      <c r="AQ331" s="43" t="str">
        <f t="shared" si="163"/>
        <v/>
      </c>
      <c r="AR331" s="43" t="str">
        <f t="shared" si="163"/>
        <v/>
      </c>
      <c r="AS331" s="43" t="str">
        <f t="shared" si="163"/>
        <v/>
      </c>
      <c r="AT331" s="43" t="str">
        <f t="shared" si="163"/>
        <v/>
      </c>
      <c r="AU331" s="43" t="str">
        <f t="shared" si="163"/>
        <v/>
      </c>
      <c r="AV331" s="43" t="str">
        <f t="shared" si="164"/>
        <v/>
      </c>
      <c r="AW331" s="43" t="str">
        <f t="shared" si="164"/>
        <v/>
      </c>
      <c r="AX331" s="43" t="str">
        <f t="shared" si="164"/>
        <v/>
      </c>
      <c r="AY331" s="43" t="str">
        <f t="shared" si="164"/>
        <v/>
      </c>
      <c r="AZ331" s="43" t="str">
        <f t="shared" si="164"/>
        <v/>
      </c>
      <c r="BA331" s="43" t="str">
        <f t="shared" si="164"/>
        <v/>
      </c>
      <c r="BB331" s="43"/>
      <c r="BC331" s="43"/>
      <c r="BD331" s="43"/>
      <c r="BE331" s="43"/>
      <c r="BF331" s="43"/>
      <c r="BG331" s="43"/>
      <c r="BW331" s="1250"/>
    </row>
    <row r="332" spans="1:75" x14ac:dyDescent="0.25">
      <c r="A332" s="1251"/>
      <c r="B332" s="462">
        <v>326</v>
      </c>
      <c r="C332" s="462"/>
      <c r="D332" s="1244"/>
      <c r="E332" s="1050"/>
      <c r="F332" s="1244"/>
      <c r="H332" s="43" t="str">
        <f t="shared" si="160"/>
        <v/>
      </c>
      <c r="I332" s="43" t="str">
        <f t="shared" si="160"/>
        <v/>
      </c>
      <c r="J332" s="43" t="str">
        <f t="shared" si="160"/>
        <v/>
      </c>
      <c r="K332" s="43" t="str">
        <f t="shared" si="160"/>
        <v/>
      </c>
      <c r="L332" s="43" t="str">
        <f t="shared" si="160"/>
        <v/>
      </c>
      <c r="M332" s="43" t="str">
        <f t="shared" si="160"/>
        <v/>
      </c>
      <c r="N332" s="43" t="str">
        <f t="shared" si="160"/>
        <v/>
      </c>
      <c r="O332" s="43" t="str">
        <f t="shared" si="160"/>
        <v/>
      </c>
      <c r="P332" s="43" t="str">
        <f t="shared" si="160"/>
        <v/>
      </c>
      <c r="Q332" s="43" t="str">
        <f t="shared" si="160"/>
        <v/>
      </c>
      <c r="R332" s="43" t="str">
        <f t="shared" si="161"/>
        <v/>
      </c>
      <c r="S332" s="43" t="str">
        <f t="shared" si="161"/>
        <v/>
      </c>
      <c r="T332" s="43" t="str">
        <f t="shared" si="161"/>
        <v/>
      </c>
      <c r="U332" s="43" t="str">
        <f t="shared" si="161"/>
        <v/>
      </c>
      <c r="V332" s="43" t="str">
        <f t="shared" si="161"/>
        <v/>
      </c>
      <c r="W332" s="43" t="str">
        <f t="shared" si="161"/>
        <v/>
      </c>
      <c r="X332" s="43" t="str">
        <f t="shared" si="161"/>
        <v/>
      </c>
      <c r="Y332" s="43" t="str">
        <f t="shared" si="161"/>
        <v/>
      </c>
      <c r="Z332" s="43" t="str">
        <f t="shared" si="161"/>
        <v/>
      </c>
      <c r="AA332" s="43" t="str">
        <f t="shared" si="161"/>
        <v/>
      </c>
      <c r="AB332" s="43" t="str">
        <f t="shared" si="162"/>
        <v/>
      </c>
      <c r="AC332" s="43" t="str">
        <f t="shared" si="162"/>
        <v/>
      </c>
      <c r="AD332" s="43" t="str">
        <f t="shared" si="162"/>
        <v/>
      </c>
      <c r="AE332" s="43" t="str">
        <f t="shared" si="162"/>
        <v/>
      </c>
      <c r="AF332" s="43" t="str">
        <f t="shared" si="162"/>
        <v/>
      </c>
      <c r="AG332" s="43" t="str">
        <f t="shared" si="162"/>
        <v/>
      </c>
      <c r="AH332" s="43" t="str">
        <f t="shared" si="162"/>
        <v/>
      </c>
      <c r="AI332" s="43" t="str">
        <f t="shared" si="162"/>
        <v/>
      </c>
      <c r="AJ332" s="43" t="str">
        <f t="shared" si="162"/>
        <v/>
      </c>
      <c r="AK332" s="43" t="str">
        <f t="shared" si="162"/>
        <v/>
      </c>
      <c r="AL332" s="43" t="str">
        <f t="shared" si="163"/>
        <v/>
      </c>
      <c r="AM332" s="43" t="str">
        <f t="shared" si="163"/>
        <v/>
      </c>
      <c r="AN332" s="43" t="str">
        <f t="shared" si="163"/>
        <v/>
      </c>
      <c r="AO332" s="43" t="str">
        <f t="shared" si="163"/>
        <v/>
      </c>
      <c r="AP332" s="43" t="str">
        <f t="shared" si="163"/>
        <v/>
      </c>
      <c r="AQ332" s="43" t="str">
        <f t="shared" si="163"/>
        <v/>
      </c>
      <c r="AR332" s="43" t="str">
        <f t="shared" si="163"/>
        <v/>
      </c>
      <c r="AS332" s="43" t="str">
        <f t="shared" si="163"/>
        <v/>
      </c>
      <c r="AT332" s="43" t="str">
        <f t="shared" si="163"/>
        <v/>
      </c>
      <c r="AU332" s="43" t="str">
        <f t="shared" si="163"/>
        <v/>
      </c>
      <c r="AV332" s="43" t="str">
        <f t="shared" si="164"/>
        <v/>
      </c>
      <c r="AW332" s="43" t="str">
        <f t="shared" si="164"/>
        <v/>
      </c>
      <c r="AX332" s="43" t="str">
        <f t="shared" si="164"/>
        <v/>
      </c>
      <c r="AY332" s="43" t="str">
        <f t="shared" si="164"/>
        <v/>
      </c>
      <c r="AZ332" s="43" t="str">
        <f t="shared" si="164"/>
        <v/>
      </c>
      <c r="BA332" s="43" t="str">
        <f t="shared" si="164"/>
        <v/>
      </c>
      <c r="BB332" s="43"/>
      <c r="BC332" s="43"/>
      <c r="BD332" s="43"/>
      <c r="BE332" s="43"/>
      <c r="BF332" s="43"/>
      <c r="BG332" s="43"/>
      <c r="BW332" s="1250"/>
    </row>
    <row r="333" spans="1:75" x14ac:dyDescent="0.25">
      <c r="A333" s="1251"/>
      <c r="B333" s="462">
        <v>327</v>
      </c>
      <c r="C333" s="462"/>
      <c r="D333" s="1244"/>
      <c r="E333" s="1050"/>
      <c r="F333" s="1244"/>
      <c r="H333" s="43" t="str">
        <f t="shared" si="160"/>
        <v/>
      </c>
      <c r="I333" s="43" t="str">
        <f t="shared" si="160"/>
        <v/>
      </c>
      <c r="J333" s="43" t="str">
        <f t="shared" si="160"/>
        <v/>
      </c>
      <c r="K333" s="43" t="str">
        <f t="shared" si="160"/>
        <v/>
      </c>
      <c r="L333" s="43" t="str">
        <f t="shared" si="160"/>
        <v/>
      </c>
      <c r="M333" s="43" t="str">
        <f t="shared" si="160"/>
        <v/>
      </c>
      <c r="N333" s="43" t="str">
        <f t="shared" si="160"/>
        <v/>
      </c>
      <c r="O333" s="43" t="str">
        <f t="shared" si="160"/>
        <v/>
      </c>
      <c r="P333" s="43" t="str">
        <f t="shared" si="160"/>
        <v/>
      </c>
      <c r="Q333" s="43" t="str">
        <f t="shared" si="160"/>
        <v/>
      </c>
      <c r="R333" s="43" t="str">
        <f t="shared" si="161"/>
        <v/>
      </c>
      <c r="S333" s="43" t="str">
        <f t="shared" si="161"/>
        <v/>
      </c>
      <c r="T333" s="43" t="str">
        <f t="shared" si="161"/>
        <v/>
      </c>
      <c r="U333" s="43" t="str">
        <f t="shared" si="161"/>
        <v/>
      </c>
      <c r="V333" s="43" t="str">
        <f t="shared" si="161"/>
        <v/>
      </c>
      <c r="W333" s="43" t="str">
        <f t="shared" si="161"/>
        <v/>
      </c>
      <c r="X333" s="43" t="str">
        <f t="shared" si="161"/>
        <v/>
      </c>
      <c r="Y333" s="43" t="str">
        <f t="shared" si="161"/>
        <v/>
      </c>
      <c r="Z333" s="43" t="str">
        <f t="shared" si="161"/>
        <v/>
      </c>
      <c r="AA333" s="43" t="str">
        <f t="shared" si="161"/>
        <v/>
      </c>
      <c r="AB333" s="43" t="str">
        <f t="shared" si="162"/>
        <v/>
      </c>
      <c r="AC333" s="43" t="str">
        <f t="shared" si="162"/>
        <v/>
      </c>
      <c r="AD333" s="43" t="str">
        <f t="shared" si="162"/>
        <v/>
      </c>
      <c r="AE333" s="43" t="str">
        <f t="shared" si="162"/>
        <v/>
      </c>
      <c r="AF333" s="43" t="str">
        <f t="shared" si="162"/>
        <v/>
      </c>
      <c r="AG333" s="43" t="str">
        <f t="shared" si="162"/>
        <v/>
      </c>
      <c r="AH333" s="43" t="str">
        <f t="shared" si="162"/>
        <v/>
      </c>
      <c r="AI333" s="43" t="str">
        <f t="shared" si="162"/>
        <v/>
      </c>
      <c r="AJ333" s="43" t="str">
        <f t="shared" si="162"/>
        <v/>
      </c>
      <c r="AK333" s="43" t="str">
        <f t="shared" si="162"/>
        <v/>
      </c>
      <c r="AL333" s="43" t="str">
        <f t="shared" si="163"/>
        <v/>
      </c>
      <c r="AM333" s="43" t="str">
        <f t="shared" si="163"/>
        <v/>
      </c>
      <c r="AN333" s="43" t="str">
        <f t="shared" si="163"/>
        <v/>
      </c>
      <c r="AO333" s="43" t="str">
        <f t="shared" si="163"/>
        <v/>
      </c>
      <c r="AP333" s="43" t="str">
        <f t="shared" si="163"/>
        <v/>
      </c>
      <c r="AQ333" s="43" t="str">
        <f t="shared" si="163"/>
        <v/>
      </c>
      <c r="AR333" s="43" t="str">
        <f t="shared" si="163"/>
        <v/>
      </c>
      <c r="AS333" s="43" t="str">
        <f t="shared" si="163"/>
        <v/>
      </c>
      <c r="AT333" s="43" t="str">
        <f t="shared" si="163"/>
        <v/>
      </c>
      <c r="AU333" s="43" t="str">
        <f t="shared" si="163"/>
        <v/>
      </c>
      <c r="AV333" s="43" t="str">
        <f t="shared" si="164"/>
        <v/>
      </c>
      <c r="AW333" s="43" t="str">
        <f t="shared" si="164"/>
        <v/>
      </c>
      <c r="AX333" s="43" t="str">
        <f t="shared" si="164"/>
        <v/>
      </c>
      <c r="AY333" s="43" t="str">
        <f t="shared" si="164"/>
        <v/>
      </c>
      <c r="AZ333" s="43" t="str">
        <f t="shared" si="164"/>
        <v/>
      </c>
      <c r="BA333" s="43" t="str">
        <f t="shared" si="164"/>
        <v/>
      </c>
      <c r="BB333" s="43"/>
      <c r="BC333" s="43"/>
      <c r="BD333" s="43"/>
      <c r="BE333" s="43"/>
      <c r="BF333" s="43"/>
      <c r="BG333" s="43"/>
      <c r="BW333" s="1250"/>
    </row>
    <row r="334" spans="1:75" x14ac:dyDescent="0.25">
      <c r="A334" s="1251"/>
      <c r="B334" s="462">
        <v>328</v>
      </c>
      <c r="C334" s="462"/>
      <c r="D334" s="1244"/>
      <c r="E334" s="1050"/>
      <c r="F334" s="1244"/>
      <c r="H334" s="43" t="str">
        <f t="shared" si="160"/>
        <v/>
      </c>
      <c r="I334" s="43" t="str">
        <f t="shared" si="160"/>
        <v/>
      </c>
      <c r="J334" s="43" t="str">
        <f t="shared" si="160"/>
        <v/>
      </c>
      <c r="K334" s="43" t="str">
        <f t="shared" si="160"/>
        <v/>
      </c>
      <c r="L334" s="43" t="str">
        <f t="shared" si="160"/>
        <v/>
      </c>
      <c r="M334" s="43" t="str">
        <f t="shared" si="160"/>
        <v/>
      </c>
      <c r="N334" s="43" t="str">
        <f t="shared" si="160"/>
        <v/>
      </c>
      <c r="O334" s="43" t="str">
        <f t="shared" si="160"/>
        <v/>
      </c>
      <c r="P334" s="43" t="str">
        <f t="shared" si="160"/>
        <v/>
      </c>
      <c r="Q334" s="43" t="str">
        <f t="shared" si="160"/>
        <v/>
      </c>
      <c r="R334" s="43" t="str">
        <f t="shared" si="161"/>
        <v/>
      </c>
      <c r="S334" s="43" t="str">
        <f t="shared" si="161"/>
        <v/>
      </c>
      <c r="T334" s="43" t="str">
        <f t="shared" si="161"/>
        <v/>
      </c>
      <c r="U334" s="43" t="str">
        <f t="shared" si="161"/>
        <v/>
      </c>
      <c r="V334" s="43" t="str">
        <f t="shared" si="161"/>
        <v/>
      </c>
      <c r="W334" s="43" t="str">
        <f t="shared" si="161"/>
        <v/>
      </c>
      <c r="X334" s="43" t="str">
        <f t="shared" si="161"/>
        <v/>
      </c>
      <c r="Y334" s="43" t="str">
        <f t="shared" si="161"/>
        <v/>
      </c>
      <c r="Z334" s="43" t="str">
        <f t="shared" si="161"/>
        <v/>
      </c>
      <c r="AA334" s="43" t="str">
        <f t="shared" si="161"/>
        <v/>
      </c>
      <c r="AB334" s="43" t="str">
        <f t="shared" si="162"/>
        <v/>
      </c>
      <c r="AC334" s="43" t="str">
        <f t="shared" si="162"/>
        <v/>
      </c>
      <c r="AD334" s="43" t="str">
        <f t="shared" si="162"/>
        <v/>
      </c>
      <c r="AE334" s="43" t="str">
        <f t="shared" si="162"/>
        <v/>
      </c>
      <c r="AF334" s="43" t="str">
        <f t="shared" si="162"/>
        <v/>
      </c>
      <c r="AG334" s="43" t="str">
        <f t="shared" si="162"/>
        <v/>
      </c>
      <c r="AH334" s="43" t="str">
        <f t="shared" si="162"/>
        <v/>
      </c>
      <c r="AI334" s="43" t="str">
        <f t="shared" si="162"/>
        <v/>
      </c>
      <c r="AJ334" s="43" t="str">
        <f t="shared" si="162"/>
        <v/>
      </c>
      <c r="AK334" s="43" t="str">
        <f t="shared" si="162"/>
        <v/>
      </c>
      <c r="AL334" s="43" t="str">
        <f t="shared" si="163"/>
        <v/>
      </c>
      <c r="AM334" s="43" t="str">
        <f t="shared" si="163"/>
        <v/>
      </c>
      <c r="AN334" s="43" t="str">
        <f t="shared" si="163"/>
        <v/>
      </c>
      <c r="AO334" s="43" t="str">
        <f t="shared" si="163"/>
        <v/>
      </c>
      <c r="AP334" s="43" t="str">
        <f t="shared" si="163"/>
        <v/>
      </c>
      <c r="AQ334" s="43" t="str">
        <f t="shared" si="163"/>
        <v/>
      </c>
      <c r="AR334" s="43" t="str">
        <f t="shared" si="163"/>
        <v/>
      </c>
      <c r="AS334" s="43" t="str">
        <f t="shared" si="163"/>
        <v/>
      </c>
      <c r="AT334" s="43" t="str">
        <f t="shared" si="163"/>
        <v/>
      </c>
      <c r="AU334" s="43" t="str">
        <f t="shared" si="163"/>
        <v/>
      </c>
      <c r="AV334" s="43" t="str">
        <f t="shared" si="164"/>
        <v/>
      </c>
      <c r="AW334" s="43" t="str">
        <f t="shared" si="164"/>
        <v/>
      </c>
      <c r="AX334" s="43" t="str">
        <f t="shared" si="164"/>
        <v/>
      </c>
      <c r="AY334" s="43" t="str">
        <f t="shared" si="164"/>
        <v/>
      </c>
      <c r="AZ334" s="43" t="str">
        <f t="shared" si="164"/>
        <v/>
      </c>
      <c r="BA334" s="43" t="str">
        <f t="shared" si="164"/>
        <v/>
      </c>
      <c r="BB334" s="43"/>
      <c r="BC334" s="43"/>
      <c r="BD334" s="43"/>
      <c r="BE334" s="43"/>
      <c r="BF334" s="43"/>
      <c r="BG334" s="43"/>
      <c r="BW334" s="1250"/>
    </row>
    <row r="335" spans="1:75" x14ac:dyDescent="0.25">
      <c r="A335" s="1251"/>
      <c r="B335" s="462">
        <v>329</v>
      </c>
      <c r="C335" s="462"/>
      <c r="D335" s="1244"/>
      <c r="E335" s="1050"/>
      <c r="F335" s="1244"/>
      <c r="H335" s="43" t="str">
        <f t="shared" si="160"/>
        <v/>
      </c>
      <c r="I335" s="43" t="str">
        <f t="shared" si="160"/>
        <v/>
      </c>
      <c r="J335" s="43" t="str">
        <f t="shared" si="160"/>
        <v/>
      </c>
      <c r="K335" s="43" t="str">
        <f t="shared" si="160"/>
        <v/>
      </c>
      <c r="L335" s="43" t="str">
        <f t="shared" si="160"/>
        <v/>
      </c>
      <c r="M335" s="43" t="str">
        <f t="shared" si="160"/>
        <v/>
      </c>
      <c r="N335" s="43" t="str">
        <f t="shared" si="160"/>
        <v/>
      </c>
      <c r="O335" s="43" t="str">
        <f t="shared" si="160"/>
        <v/>
      </c>
      <c r="P335" s="43" t="str">
        <f t="shared" si="160"/>
        <v/>
      </c>
      <c r="Q335" s="43" t="str">
        <f t="shared" si="160"/>
        <v/>
      </c>
      <c r="R335" s="43" t="str">
        <f t="shared" si="161"/>
        <v/>
      </c>
      <c r="S335" s="43" t="str">
        <f t="shared" si="161"/>
        <v/>
      </c>
      <c r="T335" s="43" t="str">
        <f t="shared" si="161"/>
        <v/>
      </c>
      <c r="U335" s="43" t="str">
        <f t="shared" si="161"/>
        <v/>
      </c>
      <c r="V335" s="43" t="str">
        <f t="shared" si="161"/>
        <v/>
      </c>
      <c r="W335" s="43" t="str">
        <f t="shared" si="161"/>
        <v/>
      </c>
      <c r="X335" s="43" t="str">
        <f t="shared" si="161"/>
        <v/>
      </c>
      <c r="Y335" s="43" t="str">
        <f t="shared" si="161"/>
        <v/>
      </c>
      <c r="Z335" s="43" t="str">
        <f t="shared" si="161"/>
        <v/>
      </c>
      <c r="AA335" s="43" t="str">
        <f t="shared" si="161"/>
        <v/>
      </c>
      <c r="AB335" s="43" t="str">
        <f t="shared" si="162"/>
        <v/>
      </c>
      <c r="AC335" s="43" t="str">
        <f t="shared" si="162"/>
        <v/>
      </c>
      <c r="AD335" s="43" t="str">
        <f t="shared" si="162"/>
        <v/>
      </c>
      <c r="AE335" s="43" t="str">
        <f t="shared" si="162"/>
        <v/>
      </c>
      <c r="AF335" s="43" t="str">
        <f t="shared" si="162"/>
        <v/>
      </c>
      <c r="AG335" s="43" t="str">
        <f t="shared" si="162"/>
        <v/>
      </c>
      <c r="AH335" s="43" t="str">
        <f t="shared" si="162"/>
        <v/>
      </c>
      <c r="AI335" s="43" t="str">
        <f t="shared" si="162"/>
        <v/>
      </c>
      <c r="AJ335" s="43" t="str">
        <f t="shared" si="162"/>
        <v/>
      </c>
      <c r="AK335" s="43" t="str">
        <f t="shared" si="162"/>
        <v/>
      </c>
      <c r="AL335" s="43" t="str">
        <f t="shared" si="163"/>
        <v/>
      </c>
      <c r="AM335" s="43" t="str">
        <f t="shared" si="163"/>
        <v/>
      </c>
      <c r="AN335" s="43" t="str">
        <f t="shared" si="163"/>
        <v/>
      </c>
      <c r="AO335" s="43" t="str">
        <f t="shared" si="163"/>
        <v/>
      </c>
      <c r="AP335" s="43" t="str">
        <f t="shared" si="163"/>
        <v/>
      </c>
      <c r="AQ335" s="43" t="str">
        <f t="shared" si="163"/>
        <v/>
      </c>
      <c r="AR335" s="43" t="str">
        <f t="shared" si="163"/>
        <v/>
      </c>
      <c r="AS335" s="43" t="str">
        <f t="shared" si="163"/>
        <v/>
      </c>
      <c r="AT335" s="43" t="str">
        <f t="shared" si="163"/>
        <v/>
      </c>
      <c r="AU335" s="43" t="str">
        <f t="shared" si="163"/>
        <v/>
      </c>
      <c r="AV335" s="43" t="str">
        <f t="shared" si="164"/>
        <v/>
      </c>
      <c r="AW335" s="43" t="str">
        <f t="shared" si="164"/>
        <v/>
      </c>
      <c r="AX335" s="43" t="str">
        <f t="shared" si="164"/>
        <v/>
      </c>
      <c r="AY335" s="43" t="str">
        <f t="shared" si="164"/>
        <v/>
      </c>
      <c r="AZ335" s="43" t="str">
        <f t="shared" si="164"/>
        <v/>
      </c>
      <c r="BA335" s="43" t="str">
        <f t="shared" si="164"/>
        <v/>
      </c>
      <c r="BB335" s="43"/>
      <c r="BC335" s="43"/>
      <c r="BD335" s="43"/>
      <c r="BE335" s="43"/>
      <c r="BF335" s="43"/>
      <c r="BG335" s="43"/>
      <c r="BW335" s="1250"/>
    </row>
    <row r="336" spans="1:75" x14ac:dyDescent="0.25">
      <c r="A336" s="1251"/>
      <c r="B336" s="462">
        <v>330</v>
      </c>
      <c r="C336" s="462"/>
      <c r="D336" s="1244"/>
      <c r="E336" s="1050"/>
      <c r="F336" s="1244"/>
      <c r="H336" s="43" t="str">
        <f t="shared" si="160"/>
        <v/>
      </c>
      <c r="I336" s="43" t="str">
        <f t="shared" si="160"/>
        <v/>
      </c>
      <c r="J336" s="43" t="str">
        <f t="shared" si="160"/>
        <v/>
      </c>
      <c r="K336" s="43" t="str">
        <f t="shared" si="160"/>
        <v/>
      </c>
      <c r="L336" s="43" t="str">
        <f t="shared" si="160"/>
        <v/>
      </c>
      <c r="M336" s="43" t="str">
        <f t="shared" si="160"/>
        <v/>
      </c>
      <c r="N336" s="43" t="str">
        <f t="shared" si="160"/>
        <v/>
      </c>
      <c r="O336" s="43" t="str">
        <f t="shared" si="160"/>
        <v/>
      </c>
      <c r="P336" s="43" t="str">
        <f t="shared" si="160"/>
        <v/>
      </c>
      <c r="Q336" s="43" t="str">
        <f t="shared" si="160"/>
        <v/>
      </c>
      <c r="R336" s="43" t="str">
        <f t="shared" si="161"/>
        <v/>
      </c>
      <c r="S336" s="43" t="str">
        <f t="shared" si="161"/>
        <v/>
      </c>
      <c r="T336" s="43" t="str">
        <f t="shared" si="161"/>
        <v/>
      </c>
      <c r="U336" s="43" t="str">
        <f t="shared" si="161"/>
        <v/>
      </c>
      <c r="V336" s="43" t="str">
        <f t="shared" si="161"/>
        <v/>
      </c>
      <c r="W336" s="43" t="str">
        <f t="shared" si="161"/>
        <v/>
      </c>
      <c r="X336" s="43" t="str">
        <f t="shared" si="161"/>
        <v/>
      </c>
      <c r="Y336" s="43" t="str">
        <f t="shared" si="161"/>
        <v/>
      </c>
      <c r="Z336" s="43" t="str">
        <f t="shared" si="161"/>
        <v/>
      </c>
      <c r="AA336" s="43" t="str">
        <f t="shared" si="161"/>
        <v/>
      </c>
      <c r="AB336" s="43" t="str">
        <f t="shared" si="162"/>
        <v/>
      </c>
      <c r="AC336" s="43" t="str">
        <f t="shared" si="162"/>
        <v/>
      </c>
      <c r="AD336" s="43" t="str">
        <f t="shared" si="162"/>
        <v/>
      </c>
      <c r="AE336" s="43" t="str">
        <f t="shared" si="162"/>
        <v/>
      </c>
      <c r="AF336" s="43" t="str">
        <f t="shared" si="162"/>
        <v/>
      </c>
      <c r="AG336" s="43" t="str">
        <f t="shared" si="162"/>
        <v/>
      </c>
      <c r="AH336" s="43" t="str">
        <f t="shared" si="162"/>
        <v/>
      </c>
      <c r="AI336" s="43" t="str">
        <f t="shared" si="162"/>
        <v/>
      </c>
      <c r="AJ336" s="43" t="str">
        <f t="shared" si="162"/>
        <v/>
      </c>
      <c r="AK336" s="43" t="str">
        <f t="shared" si="162"/>
        <v/>
      </c>
      <c r="AL336" s="43" t="str">
        <f t="shared" si="163"/>
        <v/>
      </c>
      <c r="AM336" s="43" t="str">
        <f t="shared" si="163"/>
        <v/>
      </c>
      <c r="AN336" s="43" t="str">
        <f t="shared" si="163"/>
        <v/>
      </c>
      <c r="AO336" s="43" t="str">
        <f t="shared" si="163"/>
        <v/>
      </c>
      <c r="AP336" s="43" t="str">
        <f t="shared" si="163"/>
        <v/>
      </c>
      <c r="AQ336" s="43" t="str">
        <f t="shared" si="163"/>
        <v/>
      </c>
      <c r="AR336" s="43" t="str">
        <f t="shared" si="163"/>
        <v/>
      </c>
      <c r="AS336" s="43" t="str">
        <f t="shared" si="163"/>
        <v/>
      </c>
      <c r="AT336" s="43" t="str">
        <f t="shared" si="163"/>
        <v/>
      </c>
      <c r="AU336" s="43" t="str">
        <f t="shared" si="163"/>
        <v/>
      </c>
      <c r="AV336" s="43" t="str">
        <f t="shared" si="164"/>
        <v/>
      </c>
      <c r="AW336" s="43" t="str">
        <f t="shared" si="164"/>
        <v/>
      </c>
      <c r="AX336" s="43" t="str">
        <f t="shared" si="164"/>
        <v/>
      </c>
      <c r="AY336" s="43" t="str">
        <f t="shared" si="164"/>
        <v/>
      </c>
      <c r="AZ336" s="43" t="str">
        <f t="shared" si="164"/>
        <v/>
      </c>
      <c r="BA336" s="43" t="str">
        <f t="shared" si="164"/>
        <v/>
      </c>
      <c r="BB336" s="43"/>
      <c r="BC336" s="43"/>
      <c r="BD336" s="43"/>
      <c r="BE336" s="43"/>
      <c r="BF336" s="43"/>
      <c r="BG336" s="43"/>
      <c r="BW336" s="1250"/>
    </row>
    <row r="337" spans="1:75" x14ac:dyDescent="0.25">
      <c r="A337" s="1251"/>
      <c r="B337" s="462">
        <v>331</v>
      </c>
      <c r="C337" s="462"/>
      <c r="D337" s="1244"/>
      <c r="E337" s="1050"/>
      <c r="F337" s="1244"/>
      <c r="H337" s="43" t="str">
        <f t="shared" ref="H337:Q346" si="165">IF($D337=H$6,$B337&amp;", ","")</f>
        <v/>
      </c>
      <c r="I337" s="43" t="str">
        <f t="shared" si="165"/>
        <v/>
      </c>
      <c r="J337" s="43" t="str">
        <f t="shared" si="165"/>
        <v/>
      </c>
      <c r="K337" s="43" t="str">
        <f t="shared" si="165"/>
        <v/>
      </c>
      <c r="L337" s="43" t="str">
        <f t="shared" si="165"/>
        <v/>
      </c>
      <c r="M337" s="43" t="str">
        <f t="shared" si="165"/>
        <v/>
      </c>
      <c r="N337" s="43" t="str">
        <f t="shared" si="165"/>
        <v/>
      </c>
      <c r="O337" s="43" t="str">
        <f t="shared" si="165"/>
        <v/>
      </c>
      <c r="P337" s="43" t="str">
        <f t="shared" si="165"/>
        <v/>
      </c>
      <c r="Q337" s="43" t="str">
        <f t="shared" si="165"/>
        <v/>
      </c>
      <c r="R337" s="43" t="str">
        <f t="shared" ref="R337:AA346" si="166">IF($D337=R$6,$B337&amp;", ","")</f>
        <v/>
      </c>
      <c r="S337" s="43" t="str">
        <f t="shared" si="166"/>
        <v/>
      </c>
      <c r="T337" s="43" t="str">
        <f t="shared" si="166"/>
        <v/>
      </c>
      <c r="U337" s="43" t="str">
        <f t="shared" si="166"/>
        <v/>
      </c>
      <c r="V337" s="43" t="str">
        <f t="shared" si="166"/>
        <v/>
      </c>
      <c r="W337" s="43" t="str">
        <f t="shared" si="166"/>
        <v/>
      </c>
      <c r="X337" s="43" t="str">
        <f t="shared" si="166"/>
        <v/>
      </c>
      <c r="Y337" s="43" t="str">
        <f t="shared" si="166"/>
        <v/>
      </c>
      <c r="Z337" s="43" t="str">
        <f t="shared" si="166"/>
        <v/>
      </c>
      <c r="AA337" s="43" t="str">
        <f t="shared" si="166"/>
        <v/>
      </c>
      <c r="AB337" s="43" t="str">
        <f t="shared" ref="AB337:AK346" si="167">IF($D337=AB$6,$B337&amp;", ","")</f>
        <v/>
      </c>
      <c r="AC337" s="43" t="str">
        <f t="shared" si="167"/>
        <v/>
      </c>
      <c r="AD337" s="43" t="str">
        <f t="shared" si="167"/>
        <v/>
      </c>
      <c r="AE337" s="43" t="str">
        <f t="shared" si="167"/>
        <v/>
      </c>
      <c r="AF337" s="43" t="str">
        <f t="shared" si="167"/>
        <v/>
      </c>
      <c r="AG337" s="43" t="str">
        <f t="shared" si="167"/>
        <v/>
      </c>
      <c r="AH337" s="43" t="str">
        <f t="shared" si="167"/>
        <v/>
      </c>
      <c r="AI337" s="43" t="str">
        <f t="shared" si="167"/>
        <v/>
      </c>
      <c r="AJ337" s="43" t="str">
        <f t="shared" si="167"/>
        <v/>
      </c>
      <c r="AK337" s="43" t="str">
        <f t="shared" si="167"/>
        <v/>
      </c>
      <c r="AL337" s="43" t="str">
        <f t="shared" ref="AL337:AU346" si="168">IF($D337=AL$6,$B337&amp;", ","")</f>
        <v/>
      </c>
      <c r="AM337" s="43" t="str">
        <f t="shared" si="168"/>
        <v/>
      </c>
      <c r="AN337" s="43" t="str">
        <f t="shared" si="168"/>
        <v/>
      </c>
      <c r="AO337" s="43" t="str">
        <f t="shared" si="168"/>
        <v/>
      </c>
      <c r="AP337" s="43" t="str">
        <f t="shared" si="168"/>
        <v/>
      </c>
      <c r="AQ337" s="43" t="str">
        <f t="shared" si="168"/>
        <v/>
      </c>
      <c r="AR337" s="43" t="str">
        <f t="shared" si="168"/>
        <v/>
      </c>
      <c r="AS337" s="43" t="str">
        <f t="shared" si="168"/>
        <v/>
      </c>
      <c r="AT337" s="43" t="str">
        <f t="shared" si="168"/>
        <v/>
      </c>
      <c r="AU337" s="43" t="str">
        <f t="shared" si="168"/>
        <v/>
      </c>
      <c r="AV337" s="43" t="str">
        <f t="shared" ref="AV337:BA346" si="169">IF($D337=AV$6,$B337&amp;", ","")</f>
        <v/>
      </c>
      <c r="AW337" s="43" t="str">
        <f t="shared" si="169"/>
        <v/>
      </c>
      <c r="AX337" s="43" t="str">
        <f t="shared" si="169"/>
        <v/>
      </c>
      <c r="AY337" s="43" t="str">
        <f t="shared" si="169"/>
        <v/>
      </c>
      <c r="AZ337" s="43" t="str">
        <f t="shared" si="169"/>
        <v/>
      </c>
      <c r="BA337" s="43" t="str">
        <f t="shared" si="169"/>
        <v/>
      </c>
      <c r="BB337" s="43"/>
      <c r="BC337" s="43"/>
      <c r="BD337" s="43"/>
      <c r="BE337" s="43"/>
      <c r="BF337" s="43"/>
      <c r="BG337" s="43"/>
      <c r="BW337" s="1250"/>
    </row>
    <row r="338" spans="1:75" x14ac:dyDescent="0.25">
      <c r="A338" s="1251"/>
      <c r="B338" s="462">
        <v>332</v>
      </c>
      <c r="C338" s="462"/>
      <c r="D338" s="1244"/>
      <c r="E338" s="1050"/>
      <c r="F338" s="1244"/>
      <c r="H338" s="43" t="str">
        <f t="shared" si="165"/>
        <v/>
      </c>
      <c r="I338" s="43" t="str">
        <f t="shared" si="165"/>
        <v/>
      </c>
      <c r="J338" s="43" t="str">
        <f t="shared" si="165"/>
        <v/>
      </c>
      <c r="K338" s="43" t="str">
        <f t="shared" si="165"/>
        <v/>
      </c>
      <c r="L338" s="43" t="str">
        <f t="shared" si="165"/>
        <v/>
      </c>
      <c r="M338" s="43" t="str">
        <f t="shared" si="165"/>
        <v/>
      </c>
      <c r="N338" s="43" t="str">
        <f t="shared" si="165"/>
        <v/>
      </c>
      <c r="O338" s="43" t="str">
        <f t="shared" si="165"/>
        <v/>
      </c>
      <c r="P338" s="43" t="str">
        <f t="shared" si="165"/>
        <v/>
      </c>
      <c r="Q338" s="43" t="str">
        <f t="shared" si="165"/>
        <v/>
      </c>
      <c r="R338" s="43" t="str">
        <f t="shared" si="166"/>
        <v/>
      </c>
      <c r="S338" s="43" t="str">
        <f t="shared" si="166"/>
        <v/>
      </c>
      <c r="T338" s="43" t="str">
        <f t="shared" si="166"/>
        <v/>
      </c>
      <c r="U338" s="43" t="str">
        <f t="shared" si="166"/>
        <v/>
      </c>
      <c r="V338" s="43" t="str">
        <f t="shared" si="166"/>
        <v/>
      </c>
      <c r="W338" s="43" t="str">
        <f t="shared" si="166"/>
        <v/>
      </c>
      <c r="X338" s="43" t="str">
        <f t="shared" si="166"/>
        <v/>
      </c>
      <c r="Y338" s="43" t="str">
        <f t="shared" si="166"/>
        <v/>
      </c>
      <c r="Z338" s="43" t="str">
        <f t="shared" si="166"/>
        <v/>
      </c>
      <c r="AA338" s="43" t="str">
        <f t="shared" si="166"/>
        <v/>
      </c>
      <c r="AB338" s="43" t="str">
        <f t="shared" si="167"/>
        <v/>
      </c>
      <c r="AC338" s="43" t="str">
        <f t="shared" si="167"/>
        <v/>
      </c>
      <c r="AD338" s="43" t="str">
        <f t="shared" si="167"/>
        <v/>
      </c>
      <c r="AE338" s="43" t="str">
        <f t="shared" si="167"/>
        <v/>
      </c>
      <c r="AF338" s="43" t="str">
        <f t="shared" si="167"/>
        <v/>
      </c>
      <c r="AG338" s="43" t="str">
        <f t="shared" si="167"/>
        <v/>
      </c>
      <c r="AH338" s="43" t="str">
        <f t="shared" si="167"/>
        <v/>
      </c>
      <c r="AI338" s="43" t="str">
        <f t="shared" si="167"/>
        <v/>
      </c>
      <c r="AJ338" s="43" t="str">
        <f t="shared" si="167"/>
        <v/>
      </c>
      <c r="AK338" s="43" t="str">
        <f t="shared" si="167"/>
        <v/>
      </c>
      <c r="AL338" s="43" t="str">
        <f t="shared" si="168"/>
        <v/>
      </c>
      <c r="AM338" s="43" t="str">
        <f t="shared" si="168"/>
        <v/>
      </c>
      <c r="AN338" s="43" t="str">
        <f t="shared" si="168"/>
        <v/>
      </c>
      <c r="AO338" s="43" t="str">
        <f t="shared" si="168"/>
        <v/>
      </c>
      <c r="AP338" s="43" t="str">
        <f t="shared" si="168"/>
        <v/>
      </c>
      <c r="AQ338" s="43" t="str">
        <f t="shared" si="168"/>
        <v/>
      </c>
      <c r="AR338" s="43" t="str">
        <f t="shared" si="168"/>
        <v/>
      </c>
      <c r="AS338" s="43" t="str">
        <f t="shared" si="168"/>
        <v/>
      </c>
      <c r="AT338" s="43" t="str">
        <f t="shared" si="168"/>
        <v/>
      </c>
      <c r="AU338" s="43" t="str">
        <f t="shared" si="168"/>
        <v/>
      </c>
      <c r="AV338" s="43" t="str">
        <f t="shared" si="169"/>
        <v/>
      </c>
      <c r="AW338" s="43" t="str">
        <f t="shared" si="169"/>
        <v/>
      </c>
      <c r="AX338" s="43" t="str">
        <f t="shared" si="169"/>
        <v/>
      </c>
      <c r="AY338" s="43" t="str">
        <f t="shared" si="169"/>
        <v/>
      </c>
      <c r="AZ338" s="43" t="str">
        <f t="shared" si="169"/>
        <v/>
      </c>
      <c r="BA338" s="43" t="str">
        <f t="shared" si="169"/>
        <v/>
      </c>
      <c r="BB338" s="43"/>
      <c r="BC338" s="43"/>
      <c r="BD338" s="43"/>
      <c r="BE338" s="43"/>
      <c r="BF338" s="43"/>
      <c r="BG338" s="43"/>
      <c r="BW338" s="1250"/>
    </row>
    <row r="339" spans="1:75" x14ac:dyDescent="0.25">
      <c r="A339" s="1251"/>
      <c r="B339" s="462">
        <v>333</v>
      </c>
      <c r="C339" s="462"/>
      <c r="D339" s="1244"/>
      <c r="E339" s="1050"/>
      <c r="F339" s="1244"/>
      <c r="H339" s="43" t="str">
        <f t="shared" si="165"/>
        <v/>
      </c>
      <c r="I339" s="43" t="str">
        <f t="shared" si="165"/>
        <v/>
      </c>
      <c r="J339" s="43" t="str">
        <f t="shared" si="165"/>
        <v/>
      </c>
      <c r="K339" s="43" t="str">
        <f t="shared" si="165"/>
        <v/>
      </c>
      <c r="L339" s="43" t="str">
        <f t="shared" si="165"/>
        <v/>
      </c>
      <c r="M339" s="43" t="str">
        <f t="shared" si="165"/>
        <v/>
      </c>
      <c r="N339" s="43" t="str">
        <f t="shared" si="165"/>
        <v/>
      </c>
      <c r="O339" s="43" t="str">
        <f t="shared" si="165"/>
        <v/>
      </c>
      <c r="P339" s="43" t="str">
        <f t="shared" si="165"/>
        <v/>
      </c>
      <c r="Q339" s="43" t="str">
        <f t="shared" si="165"/>
        <v/>
      </c>
      <c r="R339" s="43" t="str">
        <f t="shared" si="166"/>
        <v/>
      </c>
      <c r="S339" s="43" t="str">
        <f t="shared" si="166"/>
        <v/>
      </c>
      <c r="T339" s="43" t="str">
        <f t="shared" si="166"/>
        <v/>
      </c>
      <c r="U339" s="43" t="str">
        <f t="shared" si="166"/>
        <v/>
      </c>
      <c r="V339" s="43" t="str">
        <f t="shared" si="166"/>
        <v/>
      </c>
      <c r="W339" s="43" t="str">
        <f t="shared" si="166"/>
        <v/>
      </c>
      <c r="X339" s="43" t="str">
        <f t="shared" si="166"/>
        <v/>
      </c>
      <c r="Y339" s="43" t="str">
        <f t="shared" si="166"/>
        <v/>
      </c>
      <c r="Z339" s="43" t="str">
        <f t="shared" si="166"/>
        <v/>
      </c>
      <c r="AA339" s="43" t="str">
        <f t="shared" si="166"/>
        <v/>
      </c>
      <c r="AB339" s="43" t="str">
        <f t="shared" si="167"/>
        <v/>
      </c>
      <c r="AC339" s="43" t="str">
        <f t="shared" si="167"/>
        <v/>
      </c>
      <c r="AD339" s="43" t="str">
        <f t="shared" si="167"/>
        <v/>
      </c>
      <c r="AE339" s="43" t="str">
        <f t="shared" si="167"/>
        <v/>
      </c>
      <c r="AF339" s="43" t="str">
        <f t="shared" si="167"/>
        <v/>
      </c>
      <c r="AG339" s="43" t="str">
        <f t="shared" si="167"/>
        <v/>
      </c>
      <c r="AH339" s="43" t="str">
        <f t="shared" si="167"/>
        <v/>
      </c>
      <c r="AI339" s="43" t="str">
        <f t="shared" si="167"/>
        <v/>
      </c>
      <c r="AJ339" s="43" t="str">
        <f t="shared" si="167"/>
        <v/>
      </c>
      <c r="AK339" s="43" t="str">
        <f t="shared" si="167"/>
        <v/>
      </c>
      <c r="AL339" s="43" t="str">
        <f t="shared" si="168"/>
        <v/>
      </c>
      <c r="AM339" s="43" t="str">
        <f t="shared" si="168"/>
        <v/>
      </c>
      <c r="AN339" s="43" t="str">
        <f t="shared" si="168"/>
        <v/>
      </c>
      <c r="AO339" s="43" t="str">
        <f t="shared" si="168"/>
        <v/>
      </c>
      <c r="AP339" s="43" t="str">
        <f t="shared" si="168"/>
        <v/>
      </c>
      <c r="AQ339" s="43" t="str">
        <f t="shared" si="168"/>
        <v/>
      </c>
      <c r="AR339" s="43" t="str">
        <f t="shared" si="168"/>
        <v/>
      </c>
      <c r="AS339" s="43" t="str">
        <f t="shared" si="168"/>
        <v/>
      </c>
      <c r="AT339" s="43" t="str">
        <f t="shared" si="168"/>
        <v/>
      </c>
      <c r="AU339" s="43" t="str">
        <f t="shared" si="168"/>
        <v/>
      </c>
      <c r="AV339" s="43" t="str">
        <f t="shared" si="169"/>
        <v/>
      </c>
      <c r="AW339" s="43" t="str">
        <f t="shared" si="169"/>
        <v/>
      </c>
      <c r="AX339" s="43" t="str">
        <f t="shared" si="169"/>
        <v/>
      </c>
      <c r="AY339" s="43" t="str">
        <f t="shared" si="169"/>
        <v/>
      </c>
      <c r="AZ339" s="43" t="str">
        <f t="shared" si="169"/>
        <v/>
      </c>
      <c r="BA339" s="43" t="str">
        <f t="shared" si="169"/>
        <v/>
      </c>
      <c r="BB339" s="43"/>
      <c r="BC339" s="43"/>
      <c r="BD339" s="43"/>
      <c r="BE339" s="43"/>
      <c r="BF339" s="43"/>
      <c r="BG339" s="43"/>
      <c r="BW339" s="1250"/>
    </row>
    <row r="340" spans="1:75" x14ac:dyDescent="0.25">
      <c r="A340" s="1251"/>
      <c r="B340" s="462">
        <v>334</v>
      </c>
      <c r="C340" s="462"/>
      <c r="D340" s="1244"/>
      <c r="E340" s="1050"/>
      <c r="F340" s="1244"/>
      <c r="H340" s="43" t="str">
        <f t="shared" si="165"/>
        <v/>
      </c>
      <c r="I340" s="43" t="str">
        <f t="shared" si="165"/>
        <v/>
      </c>
      <c r="J340" s="43" t="str">
        <f t="shared" si="165"/>
        <v/>
      </c>
      <c r="K340" s="43" t="str">
        <f t="shared" si="165"/>
        <v/>
      </c>
      <c r="L340" s="43" t="str">
        <f t="shared" si="165"/>
        <v/>
      </c>
      <c r="M340" s="43" t="str">
        <f t="shared" si="165"/>
        <v/>
      </c>
      <c r="N340" s="43" t="str">
        <f t="shared" si="165"/>
        <v/>
      </c>
      <c r="O340" s="43" t="str">
        <f t="shared" si="165"/>
        <v/>
      </c>
      <c r="P340" s="43" t="str">
        <f t="shared" si="165"/>
        <v/>
      </c>
      <c r="Q340" s="43" t="str">
        <f t="shared" si="165"/>
        <v/>
      </c>
      <c r="R340" s="43" t="str">
        <f t="shared" si="166"/>
        <v/>
      </c>
      <c r="S340" s="43" t="str">
        <f t="shared" si="166"/>
        <v/>
      </c>
      <c r="T340" s="43" t="str">
        <f t="shared" si="166"/>
        <v/>
      </c>
      <c r="U340" s="43" t="str">
        <f t="shared" si="166"/>
        <v/>
      </c>
      <c r="V340" s="43" t="str">
        <f t="shared" si="166"/>
        <v/>
      </c>
      <c r="W340" s="43" t="str">
        <f t="shared" si="166"/>
        <v/>
      </c>
      <c r="X340" s="43" t="str">
        <f t="shared" si="166"/>
        <v/>
      </c>
      <c r="Y340" s="43" t="str">
        <f t="shared" si="166"/>
        <v/>
      </c>
      <c r="Z340" s="43" t="str">
        <f t="shared" si="166"/>
        <v/>
      </c>
      <c r="AA340" s="43" t="str">
        <f t="shared" si="166"/>
        <v/>
      </c>
      <c r="AB340" s="43" t="str">
        <f t="shared" si="167"/>
        <v/>
      </c>
      <c r="AC340" s="43" t="str">
        <f t="shared" si="167"/>
        <v/>
      </c>
      <c r="AD340" s="43" t="str">
        <f t="shared" si="167"/>
        <v/>
      </c>
      <c r="AE340" s="43" t="str">
        <f t="shared" si="167"/>
        <v/>
      </c>
      <c r="AF340" s="43" t="str">
        <f t="shared" si="167"/>
        <v/>
      </c>
      <c r="AG340" s="43" t="str">
        <f t="shared" si="167"/>
        <v/>
      </c>
      <c r="AH340" s="43" t="str">
        <f t="shared" si="167"/>
        <v/>
      </c>
      <c r="AI340" s="43" t="str">
        <f t="shared" si="167"/>
        <v/>
      </c>
      <c r="AJ340" s="43" t="str">
        <f t="shared" si="167"/>
        <v/>
      </c>
      <c r="AK340" s="43" t="str">
        <f t="shared" si="167"/>
        <v/>
      </c>
      <c r="AL340" s="43" t="str">
        <f t="shared" si="168"/>
        <v/>
      </c>
      <c r="AM340" s="43" t="str">
        <f t="shared" si="168"/>
        <v/>
      </c>
      <c r="AN340" s="43" t="str">
        <f t="shared" si="168"/>
        <v/>
      </c>
      <c r="AO340" s="43" t="str">
        <f t="shared" si="168"/>
        <v/>
      </c>
      <c r="AP340" s="43" t="str">
        <f t="shared" si="168"/>
        <v/>
      </c>
      <c r="AQ340" s="43" t="str">
        <f t="shared" si="168"/>
        <v/>
      </c>
      <c r="AR340" s="43" t="str">
        <f t="shared" si="168"/>
        <v/>
      </c>
      <c r="AS340" s="43" t="str">
        <f t="shared" si="168"/>
        <v/>
      </c>
      <c r="AT340" s="43" t="str">
        <f t="shared" si="168"/>
        <v/>
      </c>
      <c r="AU340" s="43" t="str">
        <f t="shared" si="168"/>
        <v/>
      </c>
      <c r="AV340" s="43" t="str">
        <f t="shared" si="169"/>
        <v/>
      </c>
      <c r="AW340" s="43" t="str">
        <f t="shared" si="169"/>
        <v/>
      </c>
      <c r="AX340" s="43" t="str">
        <f t="shared" si="169"/>
        <v/>
      </c>
      <c r="AY340" s="43" t="str">
        <f t="shared" si="169"/>
        <v/>
      </c>
      <c r="AZ340" s="43" t="str">
        <f t="shared" si="169"/>
        <v/>
      </c>
      <c r="BA340" s="43" t="str">
        <f t="shared" si="169"/>
        <v/>
      </c>
      <c r="BB340" s="43"/>
      <c r="BC340" s="43"/>
      <c r="BD340" s="43"/>
      <c r="BE340" s="43"/>
      <c r="BF340" s="43"/>
      <c r="BG340" s="43"/>
      <c r="BW340" s="1250"/>
    </row>
    <row r="341" spans="1:75" x14ac:dyDescent="0.25">
      <c r="A341" s="1251"/>
      <c r="B341" s="462">
        <v>335</v>
      </c>
      <c r="C341" s="462"/>
      <c r="D341" s="1244"/>
      <c r="E341" s="1050"/>
      <c r="F341" s="1244"/>
      <c r="H341" s="43" t="str">
        <f t="shared" si="165"/>
        <v/>
      </c>
      <c r="I341" s="43" t="str">
        <f t="shared" si="165"/>
        <v/>
      </c>
      <c r="J341" s="43" t="str">
        <f t="shared" si="165"/>
        <v/>
      </c>
      <c r="K341" s="43" t="str">
        <f t="shared" si="165"/>
        <v/>
      </c>
      <c r="L341" s="43" t="str">
        <f t="shared" si="165"/>
        <v/>
      </c>
      <c r="M341" s="43" t="str">
        <f t="shared" si="165"/>
        <v/>
      </c>
      <c r="N341" s="43" t="str">
        <f t="shared" si="165"/>
        <v/>
      </c>
      <c r="O341" s="43" t="str">
        <f t="shared" si="165"/>
        <v/>
      </c>
      <c r="P341" s="43" t="str">
        <f t="shared" si="165"/>
        <v/>
      </c>
      <c r="Q341" s="43" t="str">
        <f t="shared" si="165"/>
        <v/>
      </c>
      <c r="R341" s="43" t="str">
        <f t="shared" si="166"/>
        <v/>
      </c>
      <c r="S341" s="43" t="str">
        <f t="shared" si="166"/>
        <v/>
      </c>
      <c r="T341" s="43" t="str">
        <f t="shared" si="166"/>
        <v/>
      </c>
      <c r="U341" s="43" t="str">
        <f t="shared" si="166"/>
        <v/>
      </c>
      <c r="V341" s="43" t="str">
        <f t="shared" si="166"/>
        <v/>
      </c>
      <c r="W341" s="43" t="str">
        <f t="shared" si="166"/>
        <v/>
      </c>
      <c r="X341" s="43" t="str">
        <f t="shared" si="166"/>
        <v/>
      </c>
      <c r="Y341" s="43" t="str">
        <f t="shared" si="166"/>
        <v/>
      </c>
      <c r="Z341" s="43" t="str">
        <f t="shared" si="166"/>
        <v/>
      </c>
      <c r="AA341" s="43" t="str">
        <f t="shared" si="166"/>
        <v/>
      </c>
      <c r="AB341" s="43" t="str">
        <f t="shared" si="167"/>
        <v/>
      </c>
      <c r="AC341" s="43" t="str">
        <f t="shared" si="167"/>
        <v/>
      </c>
      <c r="AD341" s="43" t="str">
        <f t="shared" si="167"/>
        <v/>
      </c>
      <c r="AE341" s="43" t="str">
        <f t="shared" si="167"/>
        <v/>
      </c>
      <c r="AF341" s="43" t="str">
        <f t="shared" si="167"/>
        <v/>
      </c>
      <c r="AG341" s="43" t="str">
        <f t="shared" si="167"/>
        <v/>
      </c>
      <c r="AH341" s="43" t="str">
        <f t="shared" si="167"/>
        <v/>
      </c>
      <c r="AI341" s="43" t="str">
        <f t="shared" si="167"/>
        <v/>
      </c>
      <c r="AJ341" s="43" t="str">
        <f t="shared" si="167"/>
        <v/>
      </c>
      <c r="AK341" s="43" t="str">
        <f t="shared" si="167"/>
        <v/>
      </c>
      <c r="AL341" s="43" t="str">
        <f t="shared" si="168"/>
        <v/>
      </c>
      <c r="AM341" s="43" t="str">
        <f t="shared" si="168"/>
        <v/>
      </c>
      <c r="AN341" s="43" t="str">
        <f t="shared" si="168"/>
        <v/>
      </c>
      <c r="AO341" s="43" t="str">
        <f t="shared" si="168"/>
        <v/>
      </c>
      <c r="AP341" s="43" t="str">
        <f t="shared" si="168"/>
        <v/>
      </c>
      <c r="AQ341" s="43" t="str">
        <f t="shared" si="168"/>
        <v/>
      </c>
      <c r="AR341" s="43" t="str">
        <f t="shared" si="168"/>
        <v/>
      </c>
      <c r="AS341" s="43" t="str">
        <f t="shared" si="168"/>
        <v/>
      </c>
      <c r="AT341" s="43" t="str">
        <f t="shared" si="168"/>
        <v/>
      </c>
      <c r="AU341" s="43" t="str">
        <f t="shared" si="168"/>
        <v/>
      </c>
      <c r="AV341" s="43" t="str">
        <f t="shared" si="169"/>
        <v/>
      </c>
      <c r="AW341" s="43" t="str">
        <f t="shared" si="169"/>
        <v/>
      </c>
      <c r="AX341" s="43" t="str">
        <f t="shared" si="169"/>
        <v/>
      </c>
      <c r="AY341" s="43" t="str">
        <f t="shared" si="169"/>
        <v/>
      </c>
      <c r="AZ341" s="43" t="str">
        <f t="shared" si="169"/>
        <v/>
      </c>
      <c r="BA341" s="43" t="str">
        <f t="shared" si="169"/>
        <v/>
      </c>
      <c r="BB341" s="43"/>
      <c r="BC341" s="43"/>
      <c r="BD341" s="43"/>
      <c r="BE341" s="43"/>
      <c r="BF341" s="43"/>
      <c r="BG341" s="43"/>
      <c r="BW341" s="1250"/>
    </row>
    <row r="342" spans="1:75" x14ac:dyDescent="0.25">
      <c r="A342" s="1251"/>
      <c r="B342" s="462">
        <v>336</v>
      </c>
      <c r="C342" s="462"/>
      <c r="D342" s="1244"/>
      <c r="E342" s="1050"/>
      <c r="F342" s="1244"/>
      <c r="H342" s="43" t="str">
        <f t="shared" si="165"/>
        <v/>
      </c>
      <c r="I342" s="43" t="str">
        <f t="shared" si="165"/>
        <v/>
      </c>
      <c r="J342" s="43" t="str">
        <f t="shared" si="165"/>
        <v/>
      </c>
      <c r="K342" s="43" t="str">
        <f t="shared" si="165"/>
        <v/>
      </c>
      <c r="L342" s="43" t="str">
        <f t="shared" si="165"/>
        <v/>
      </c>
      <c r="M342" s="43" t="str">
        <f t="shared" si="165"/>
        <v/>
      </c>
      <c r="N342" s="43" t="str">
        <f t="shared" si="165"/>
        <v/>
      </c>
      <c r="O342" s="43" t="str">
        <f t="shared" si="165"/>
        <v/>
      </c>
      <c r="P342" s="43" t="str">
        <f t="shared" si="165"/>
        <v/>
      </c>
      <c r="Q342" s="43" t="str">
        <f t="shared" si="165"/>
        <v/>
      </c>
      <c r="R342" s="43" t="str">
        <f t="shared" si="166"/>
        <v/>
      </c>
      <c r="S342" s="43" t="str">
        <f t="shared" si="166"/>
        <v/>
      </c>
      <c r="T342" s="43" t="str">
        <f t="shared" si="166"/>
        <v/>
      </c>
      <c r="U342" s="43" t="str">
        <f t="shared" si="166"/>
        <v/>
      </c>
      <c r="V342" s="43" t="str">
        <f t="shared" si="166"/>
        <v/>
      </c>
      <c r="W342" s="43" t="str">
        <f t="shared" si="166"/>
        <v/>
      </c>
      <c r="X342" s="43" t="str">
        <f t="shared" si="166"/>
        <v/>
      </c>
      <c r="Y342" s="43" t="str">
        <f t="shared" si="166"/>
        <v/>
      </c>
      <c r="Z342" s="43" t="str">
        <f t="shared" si="166"/>
        <v/>
      </c>
      <c r="AA342" s="43" t="str">
        <f t="shared" si="166"/>
        <v/>
      </c>
      <c r="AB342" s="43" t="str">
        <f t="shared" si="167"/>
        <v/>
      </c>
      <c r="AC342" s="43" t="str">
        <f t="shared" si="167"/>
        <v/>
      </c>
      <c r="AD342" s="43" t="str">
        <f t="shared" si="167"/>
        <v/>
      </c>
      <c r="AE342" s="43" t="str">
        <f t="shared" si="167"/>
        <v/>
      </c>
      <c r="AF342" s="43" t="str">
        <f t="shared" si="167"/>
        <v/>
      </c>
      <c r="AG342" s="43" t="str">
        <f t="shared" si="167"/>
        <v/>
      </c>
      <c r="AH342" s="43" t="str">
        <f t="shared" si="167"/>
        <v/>
      </c>
      <c r="AI342" s="43" t="str">
        <f t="shared" si="167"/>
        <v/>
      </c>
      <c r="AJ342" s="43" t="str">
        <f t="shared" si="167"/>
        <v/>
      </c>
      <c r="AK342" s="43" t="str">
        <f t="shared" si="167"/>
        <v/>
      </c>
      <c r="AL342" s="43" t="str">
        <f t="shared" si="168"/>
        <v/>
      </c>
      <c r="AM342" s="43" t="str">
        <f t="shared" si="168"/>
        <v/>
      </c>
      <c r="AN342" s="43" t="str">
        <f t="shared" si="168"/>
        <v/>
      </c>
      <c r="AO342" s="43" t="str">
        <f t="shared" si="168"/>
        <v/>
      </c>
      <c r="AP342" s="43" t="str">
        <f t="shared" si="168"/>
        <v/>
      </c>
      <c r="AQ342" s="43" t="str">
        <f t="shared" si="168"/>
        <v/>
      </c>
      <c r="AR342" s="43" t="str">
        <f t="shared" si="168"/>
        <v/>
      </c>
      <c r="AS342" s="43" t="str">
        <f t="shared" si="168"/>
        <v/>
      </c>
      <c r="AT342" s="43" t="str">
        <f t="shared" si="168"/>
        <v/>
      </c>
      <c r="AU342" s="43" t="str">
        <f t="shared" si="168"/>
        <v/>
      </c>
      <c r="AV342" s="43" t="str">
        <f t="shared" si="169"/>
        <v/>
      </c>
      <c r="AW342" s="43" t="str">
        <f t="shared" si="169"/>
        <v/>
      </c>
      <c r="AX342" s="43" t="str">
        <f t="shared" si="169"/>
        <v/>
      </c>
      <c r="AY342" s="43" t="str">
        <f t="shared" si="169"/>
        <v/>
      </c>
      <c r="AZ342" s="43" t="str">
        <f t="shared" si="169"/>
        <v/>
      </c>
      <c r="BA342" s="43" t="str">
        <f t="shared" si="169"/>
        <v/>
      </c>
      <c r="BB342" s="43"/>
      <c r="BC342" s="43"/>
      <c r="BD342" s="43"/>
      <c r="BE342" s="43"/>
      <c r="BF342" s="43"/>
      <c r="BG342" s="43"/>
      <c r="BW342" s="1250"/>
    </row>
    <row r="343" spans="1:75" x14ac:dyDescent="0.25">
      <c r="A343" s="1251"/>
      <c r="B343" s="462">
        <v>337</v>
      </c>
      <c r="C343" s="462"/>
      <c r="D343" s="1244"/>
      <c r="E343" s="1050"/>
      <c r="F343" s="1244"/>
      <c r="H343" s="43" t="str">
        <f t="shared" si="165"/>
        <v/>
      </c>
      <c r="I343" s="43" t="str">
        <f t="shared" si="165"/>
        <v/>
      </c>
      <c r="J343" s="43" t="str">
        <f t="shared" si="165"/>
        <v/>
      </c>
      <c r="K343" s="43" t="str">
        <f t="shared" si="165"/>
        <v/>
      </c>
      <c r="L343" s="43" t="str">
        <f t="shared" si="165"/>
        <v/>
      </c>
      <c r="M343" s="43" t="str">
        <f t="shared" si="165"/>
        <v/>
      </c>
      <c r="N343" s="43" t="str">
        <f t="shared" si="165"/>
        <v/>
      </c>
      <c r="O343" s="43" t="str">
        <f t="shared" si="165"/>
        <v/>
      </c>
      <c r="P343" s="43" t="str">
        <f t="shared" si="165"/>
        <v/>
      </c>
      <c r="Q343" s="43" t="str">
        <f t="shared" si="165"/>
        <v/>
      </c>
      <c r="R343" s="43" t="str">
        <f t="shared" si="166"/>
        <v/>
      </c>
      <c r="S343" s="43" t="str">
        <f t="shared" si="166"/>
        <v/>
      </c>
      <c r="T343" s="43" t="str">
        <f t="shared" si="166"/>
        <v/>
      </c>
      <c r="U343" s="43" t="str">
        <f t="shared" si="166"/>
        <v/>
      </c>
      <c r="V343" s="43" t="str">
        <f t="shared" si="166"/>
        <v/>
      </c>
      <c r="W343" s="43" t="str">
        <f t="shared" si="166"/>
        <v/>
      </c>
      <c r="X343" s="43" t="str">
        <f t="shared" si="166"/>
        <v/>
      </c>
      <c r="Y343" s="43" t="str">
        <f t="shared" si="166"/>
        <v/>
      </c>
      <c r="Z343" s="43" t="str">
        <f t="shared" si="166"/>
        <v/>
      </c>
      <c r="AA343" s="43" t="str">
        <f t="shared" si="166"/>
        <v/>
      </c>
      <c r="AB343" s="43" t="str">
        <f t="shared" si="167"/>
        <v/>
      </c>
      <c r="AC343" s="43" t="str">
        <f t="shared" si="167"/>
        <v/>
      </c>
      <c r="AD343" s="43" t="str">
        <f t="shared" si="167"/>
        <v/>
      </c>
      <c r="AE343" s="43" t="str">
        <f t="shared" si="167"/>
        <v/>
      </c>
      <c r="AF343" s="43" t="str">
        <f t="shared" si="167"/>
        <v/>
      </c>
      <c r="AG343" s="43" t="str">
        <f t="shared" si="167"/>
        <v/>
      </c>
      <c r="AH343" s="43" t="str">
        <f t="shared" si="167"/>
        <v/>
      </c>
      <c r="AI343" s="43" t="str">
        <f t="shared" si="167"/>
        <v/>
      </c>
      <c r="AJ343" s="43" t="str">
        <f t="shared" si="167"/>
        <v/>
      </c>
      <c r="AK343" s="43" t="str">
        <f t="shared" si="167"/>
        <v/>
      </c>
      <c r="AL343" s="43" t="str">
        <f t="shared" si="168"/>
        <v/>
      </c>
      <c r="AM343" s="43" t="str">
        <f t="shared" si="168"/>
        <v/>
      </c>
      <c r="AN343" s="43" t="str">
        <f t="shared" si="168"/>
        <v/>
      </c>
      <c r="AO343" s="43" t="str">
        <f t="shared" si="168"/>
        <v/>
      </c>
      <c r="AP343" s="43" t="str">
        <f t="shared" si="168"/>
        <v/>
      </c>
      <c r="AQ343" s="43" t="str">
        <f t="shared" si="168"/>
        <v/>
      </c>
      <c r="AR343" s="43" t="str">
        <f t="shared" si="168"/>
        <v/>
      </c>
      <c r="AS343" s="43" t="str">
        <f t="shared" si="168"/>
        <v/>
      </c>
      <c r="AT343" s="43" t="str">
        <f t="shared" si="168"/>
        <v/>
      </c>
      <c r="AU343" s="43" t="str">
        <f t="shared" si="168"/>
        <v/>
      </c>
      <c r="AV343" s="43" t="str">
        <f t="shared" si="169"/>
        <v/>
      </c>
      <c r="AW343" s="43" t="str">
        <f t="shared" si="169"/>
        <v/>
      </c>
      <c r="AX343" s="43" t="str">
        <f t="shared" si="169"/>
        <v/>
      </c>
      <c r="AY343" s="43" t="str">
        <f t="shared" si="169"/>
        <v/>
      </c>
      <c r="AZ343" s="43" t="str">
        <f t="shared" si="169"/>
        <v/>
      </c>
      <c r="BA343" s="43" t="str">
        <f t="shared" si="169"/>
        <v/>
      </c>
      <c r="BB343" s="43"/>
      <c r="BC343" s="43"/>
      <c r="BD343" s="43"/>
      <c r="BE343" s="43"/>
      <c r="BF343" s="43"/>
      <c r="BG343" s="43"/>
      <c r="BW343" s="1250"/>
    </row>
    <row r="344" spans="1:75" x14ac:dyDescent="0.25">
      <c r="A344" s="1251"/>
      <c r="B344" s="462">
        <v>338</v>
      </c>
      <c r="C344" s="462"/>
      <c r="D344" s="1244"/>
      <c r="E344" s="1050"/>
      <c r="F344" s="1244"/>
      <c r="H344" s="43" t="str">
        <f t="shared" si="165"/>
        <v/>
      </c>
      <c r="I344" s="43" t="str">
        <f t="shared" si="165"/>
        <v/>
      </c>
      <c r="J344" s="43" t="str">
        <f t="shared" si="165"/>
        <v/>
      </c>
      <c r="K344" s="43" t="str">
        <f t="shared" si="165"/>
        <v/>
      </c>
      <c r="L344" s="43" t="str">
        <f t="shared" si="165"/>
        <v/>
      </c>
      <c r="M344" s="43" t="str">
        <f t="shared" si="165"/>
        <v/>
      </c>
      <c r="N344" s="43" t="str">
        <f t="shared" si="165"/>
        <v/>
      </c>
      <c r="O344" s="43" t="str">
        <f t="shared" si="165"/>
        <v/>
      </c>
      <c r="P344" s="43" t="str">
        <f t="shared" si="165"/>
        <v/>
      </c>
      <c r="Q344" s="43" t="str">
        <f t="shared" si="165"/>
        <v/>
      </c>
      <c r="R344" s="43" t="str">
        <f t="shared" si="166"/>
        <v/>
      </c>
      <c r="S344" s="43" t="str">
        <f t="shared" si="166"/>
        <v/>
      </c>
      <c r="T344" s="43" t="str">
        <f t="shared" si="166"/>
        <v/>
      </c>
      <c r="U344" s="43" t="str">
        <f t="shared" si="166"/>
        <v/>
      </c>
      <c r="V344" s="43" t="str">
        <f t="shared" si="166"/>
        <v/>
      </c>
      <c r="W344" s="43" t="str">
        <f t="shared" si="166"/>
        <v/>
      </c>
      <c r="X344" s="43" t="str">
        <f t="shared" si="166"/>
        <v/>
      </c>
      <c r="Y344" s="43" t="str">
        <f t="shared" si="166"/>
        <v/>
      </c>
      <c r="Z344" s="43" t="str">
        <f t="shared" si="166"/>
        <v/>
      </c>
      <c r="AA344" s="43" t="str">
        <f t="shared" si="166"/>
        <v/>
      </c>
      <c r="AB344" s="43" t="str">
        <f t="shared" si="167"/>
        <v/>
      </c>
      <c r="AC344" s="43" t="str">
        <f t="shared" si="167"/>
        <v/>
      </c>
      <c r="AD344" s="43" t="str">
        <f t="shared" si="167"/>
        <v/>
      </c>
      <c r="AE344" s="43" t="str">
        <f t="shared" si="167"/>
        <v/>
      </c>
      <c r="AF344" s="43" t="str">
        <f t="shared" si="167"/>
        <v/>
      </c>
      <c r="AG344" s="43" t="str">
        <f t="shared" si="167"/>
        <v/>
      </c>
      <c r="AH344" s="43" t="str">
        <f t="shared" si="167"/>
        <v/>
      </c>
      <c r="AI344" s="43" t="str">
        <f t="shared" si="167"/>
        <v/>
      </c>
      <c r="AJ344" s="43" t="str">
        <f t="shared" si="167"/>
        <v/>
      </c>
      <c r="AK344" s="43" t="str">
        <f t="shared" si="167"/>
        <v/>
      </c>
      <c r="AL344" s="43" t="str">
        <f t="shared" si="168"/>
        <v/>
      </c>
      <c r="AM344" s="43" t="str">
        <f t="shared" si="168"/>
        <v/>
      </c>
      <c r="AN344" s="43" t="str">
        <f t="shared" si="168"/>
        <v/>
      </c>
      <c r="AO344" s="43" t="str">
        <f t="shared" si="168"/>
        <v/>
      </c>
      <c r="AP344" s="43" t="str">
        <f t="shared" si="168"/>
        <v/>
      </c>
      <c r="AQ344" s="43" t="str">
        <f t="shared" si="168"/>
        <v/>
      </c>
      <c r="AR344" s="43" t="str">
        <f t="shared" si="168"/>
        <v/>
      </c>
      <c r="AS344" s="43" t="str">
        <f t="shared" si="168"/>
        <v/>
      </c>
      <c r="AT344" s="43" t="str">
        <f t="shared" si="168"/>
        <v/>
      </c>
      <c r="AU344" s="43" t="str">
        <f t="shared" si="168"/>
        <v/>
      </c>
      <c r="AV344" s="43" t="str">
        <f t="shared" si="169"/>
        <v/>
      </c>
      <c r="AW344" s="43" t="str">
        <f t="shared" si="169"/>
        <v/>
      </c>
      <c r="AX344" s="43" t="str">
        <f t="shared" si="169"/>
        <v/>
      </c>
      <c r="AY344" s="43" t="str">
        <f t="shared" si="169"/>
        <v/>
      </c>
      <c r="AZ344" s="43" t="str">
        <f t="shared" si="169"/>
        <v/>
      </c>
      <c r="BA344" s="43" t="str">
        <f t="shared" si="169"/>
        <v/>
      </c>
      <c r="BB344" s="43"/>
      <c r="BC344" s="43"/>
      <c r="BD344" s="43"/>
      <c r="BE344" s="43"/>
      <c r="BF344" s="43"/>
      <c r="BG344" s="43"/>
      <c r="BW344" s="1250"/>
    </row>
    <row r="345" spans="1:75" x14ac:dyDescent="0.25">
      <c r="A345" s="1251"/>
      <c r="B345" s="462">
        <v>339</v>
      </c>
      <c r="C345" s="462"/>
      <c r="D345" s="1244"/>
      <c r="E345" s="1050"/>
      <c r="F345" s="1244"/>
      <c r="H345" s="43" t="str">
        <f t="shared" si="165"/>
        <v/>
      </c>
      <c r="I345" s="43" t="str">
        <f t="shared" si="165"/>
        <v/>
      </c>
      <c r="J345" s="43" t="str">
        <f t="shared" si="165"/>
        <v/>
      </c>
      <c r="K345" s="43" t="str">
        <f t="shared" si="165"/>
        <v/>
      </c>
      <c r="L345" s="43" t="str">
        <f t="shared" si="165"/>
        <v/>
      </c>
      <c r="M345" s="43" t="str">
        <f t="shared" si="165"/>
        <v/>
      </c>
      <c r="N345" s="43" t="str">
        <f t="shared" si="165"/>
        <v/>
      </c>
      <c r="O345" s="43" t="str">
        <f t="shared" si="165"/>
        <v/>
      </c>
      <c r="P345" s="43" t="str">
        <f t="shared" si="165"/>
        <v/>
      </c>
      <c r="Q345" s="43" t="str">
        <f t="shared" si="165"/>
        <v/>
      </c>
      <c r="R345" s="43" t="str">
        <f t="shared" si="166"/>
        <v/>
      </c>
      <c r="S345" s="43" t="str">
        <f t="shared" si="166"/>
        <v/>
      </c>
      <c r="T345" s="43" t="str">
        <f t="shared" si="166"/>
        <v/>
      </c>
      <c r="U345" s="43" t="str">
        <f t="shared" si="166"/>
        <v/>
      </c>
      <c r="V345" s="43" t="str">
        <f t="shared" si="166"/>
        <v/>
      </c>
      <c r="W345" s="43" t="str">
        <f t="shared" si="166"/>
        <v/>
      </c>
      <c r="X345" s="43" t="str">
        <f t="shared" si="166"/>
        <v/>
      </c>
      <c r="Y345" s="43" t="str">
        <f t="shared" si="166"/>
        <v/>
      </c>
      <c r="Z345" s="43" t="str">
        <f t="shared" si="166"/>
        <v/>
      </c>
      <c r="AA345" s="43" t="str">
        <f t="shared" si="166"/>
        <v/>
      </c>
      <c r="AB345" s="43" t="str">
        <f t="shared" si="167"/>
        <v/>
      </c>
      <c r="AC345" s="43" t="str">
        <f t="shared" si="167"/>
        <v/>
      </c>
      <c r="AD345" s="43" t="str">
        <f t="shared" si="167"/>
        <v/>
      </c>
      <c r="AE345" s="43" t="str">
        <f t="shared" si="167"/>
        <v/>
      </c>
      <c r="AF345" s="43" t="str">
        <f t="shared" si="167"/>
        <v/>
      </c>
      <c r="AG345" s="43" t="str">
        <f t="shared" si="167"/>
        <v/>
      </c>
      <c r="AH345" s="43" t="str">
        <f t="shared" si="167"/>
        <v/>
      </c>
      <c r="AI345" s="43" t="str">
        <f t="shared" si="167"/>
        <v/>
      </c>
      <c r="AJ345" s="43" t="str">
        <f t="shared" si="167"/>
        <v/>
      </c>
      <c r="AK345" s="43" t="str">
        <f t="shared" si="167"/>
        <v/>
      </c>
      <c r="AL345" s="43" t="str">
        <f t="shared" si="168"/>
        <v/>
      </c>
      <c r="AM345" s="43" t="str">
        <f t="shared" si="168"/>
        <v/>
      </c>
      <c r="AN345" s="43" t="str">
        <f t="shared" si="168"/>
        <v/>
      </c>
      <c r="AO345" s="43" t="str">
        <f t="shared" si="168"/>
        <v/>
      </c>
      <c r="AP345" s="43" t="str">
        <f t="shared" si="168"/>
        <v/>
      </c>
      <c r="AQ345" s="43" t="str">
        <f t="shared" si="168"/>
        <v/>
      </c>
      <c r="AR345" s="43" t="str">
        <f t="shared" si="168"/>
        <v/>
      </c>
      <c r="AS345" s="43" t="str">
        <f t="shared" si="168"/>
        <v/>
      </c>
      <c r="AT345" s="43" t="str">
        <f t="shared" si="168"/>
        <v/>
      </c>
      <c r="AU345" s="43" t="str">
        <f t="shared" si="168"/>
        <v/>
      </c>
      <c r="AV345" s="43" t="str">
        <f t="shared" si="169"/>
        <v/>
      </c>
      <c r="AW345" s="43" t="str">
        <f t="shared" si="169"/>
        <v/>
      </c>
      <c r="AX345" s="43" t="str">
        <f t="shared" si="169"/>
        <v/>
      </c>
      <c r="AY345" s="43" t="str">
        <f t="shared" si="169"/>
        <v/>
      </c>
      <c r="AZ345" s="43" t="str">
        <f t="shared" si="169"/>
        <v/>
      </c>
      <c r="BA345" s="43" t="str">
        <f t="shared" si="169"/>
        <v/>
      </c>
      <c r="BB345" s="43"/>
      <c r="BC345" s="43"/>
      <c r="BD345" s="43"/>
      <c r="BE345" s="43"/>
      <c r="BF345" s="43"/>
      <c r="BG345" s="43"/>
      <c r="BW345" s="1250"/>
    </row>
    <row r="346" spans="1:75" x14ac:dyDescent="0.25">
      <c r="A346" s="1251"/>
      <c r="B346" s="462">
        <v>340</v>
      </c>
      <c r="C346" s="462"/>
      <c r="D346" s="1244"/>
      <c r="E346" s="1050"/>
      <c r="F346" s="1244"/>
      <c r="H346" s="43" t="str">
        <f t="shared" si="165"/>
        <v/>
      </c>
      <c r="I346" s="43" t="str">
        <f t="shared" si="165"/>
        <v/>
      </c>
      <c r="J346" s="43" t="str">
        <f t="shared" si="165"/>
        <v/>
      </c>
      <c r="K346" s="43" t="str">
        <f t="shared" si="165"/>
        <v/>
      </c>
      <c r="L346" s="43" t="str">
        <f t="shared" si="165"/>
        <v/>
      </c>
      <c r="M346" s="43" t="str">
        <f t="shared" si="165"/>
        <v/>
      </c>
      <c r="N346" s="43" t="str">
        <f t="shared" si="165"/>
        <v/>
      </c>
      <c r="O346" s="43" t="str">
        <f t="shared" si="165"/>
        <v/>
      </c>
      <c r="P346" s="43" t="str">
        <f t="shared" si="165"/>
        <v/>
      </c>
      <c r="Q346" s="43" t="str">
        <f t="shared" si="165"/>
        <v/>
      </c>
      <c r="R346" s="43" t="str">
        <f t="shared" si="166"/>
        <v/>
      </c>
      <c r="S346" s="43" t="str">
        <f t="shared" si="166"/>
        <v/>
      </c>
      <c r="T346" s="43" t="str">
        <f t="shared" si="166"/>
        <v/>
      </c>
      <c r="U346" s="43" t="str">
        <f t="shared" si="166"/>
        <v/>
      </c>
      <c r="V346" s="43" t="str">
        <f t="shared" si="166"/>
        <v/>
      </c>
      <c r="W346" s="43" t="str">
        <f t="shared" si="166"/>
        <v/>
      </c>
      <c r="X346" s="43" t="str">
        <f t="shared" si="166"/>
        <v/>
      </c>
      <c r="Y346" s="43" t="str">
        <f t="shared" si="166"/>
        <v/>
      </c>
      <c r="Z346" s="43" t="str">
        <f t="shared" si="166"/>
        <v/>
      </c>
      <c r="AA346" s="43" t="str">
        <f t="shared" si="166"/>
        <v/>
      </c>
      <c r="AB346" s="43" t="str">
        <f t="shared" si="167"/>
        <v/>
      </c>
      <c r="AC346" s="43" t="str">
        <f t="shared" si="167"/>
        <v/>
      </c>
      <c r="AD346" s="43" t="str">
        <f t="shared" si="167"/>
        <v/>
      </c>
      <c r="AE346" s="43" t="str">
        <f t="shared" si="167"/>
        <v/>
      </c>
      <c r="AF346" s="43" t="str">
        <f t="shared" si="167"/>
        <v/>
      </c>
      <c r="AG346" s="43" t="str">
        <f t="shared" si="167"/>
        <v/>
      </c>
      <c r="AH346" s="43" t="str">
        <f t="shared" si="167"/>
        <v/>
      </c>
      <c r="AI346" s="43" t="str">
        <f t="shared" si="167"/>
        <v/>
      </c>
      <c r="AJ346" s="43" t="str">
        <f t="shared" si="167"/>
        <v/>
      </c>
      <c r="AK346" s="43" t="str">
        <f t="shared" si="167"/>
        <v/>
      </c>
      <c r="AL346" s="43" t="str">
        <f t="shared" si="168"/>
        <v/>
      </c>
      <c r="AM346" s="43" t="str">
        <f t="shared" si="168"/>
        <v/>
      </c>
      <c r="AN346" s="43" t="str">
        <f t="shared" si="168"/>
        <v/>
      </c>
      <c r="AO346" s="43" t="str">
        <f t="shared" si="168"/>
        <v/>
      </c>
      <c r="AP346" s="43" t="str">
        <f t="shared" si="168"/>
        <v/>
      </c>
      <c r="AQ346" s="43" t="str">
        <f t="shared" si="168"/>
        <v/>
      </c>
      <c r="AR346" s="43" t="str">
        <f t="shared" si="168"/>
        <v/>
      </c>
      <c r="AS346" s="43" t="str">
        <f t="shared" si="168"/>
        <v/>
      </c>
      <c r="AT346" s="43" t="str">
        <f t="shared" si="168"/>
        <v/>
      </c>
      <c r="AU346" s="43" t="str">
        <f t="shared" si="168"/>
        <v/>
      </c>
      <c r="AV346" s="43" t="str">
        <f t="shared" si="169"/>
        <v/>
      </c>
      <c r="AW346" s="43" t="str">
        <f t="shared" si="169"/>
        <v/>
      </c>
      <c r="AX346" s="43" t="str">
        <f t="shared" si="169"/>
        <v/>
      </c>
      <c r="AY346" s="43" t="str">
        <f t="shared" si="169"/>
        <v/>
      </c>
      <c r="AZ346" s="43" t="str">
        <f t="shared" si="169"/>
        <v/>
      </c>
      <c r="BA346" s="43" t="str">
        <f t="shared" si="169"/>
        <v/>
      </c>
      <c r="BB346" s="43"/>
      <c r="BC346" s="43"/>
      <c r="BD346" s="43"/>
      <c r="BE346" s="43"/>
      <c r="BF346" s="43"/>
      <c r="BG346" s="43"/>
      <c r="BW346" s="1250"/>
    </row>
    <row r="347" spans="1:75" x14ac:dyDescent="0.25">
      <c r="A347" s="1251"/>
      <c r="B347" s="462">
        <v>341</v>
      </c>
      <c r="C347" s="462"/>
      <c r="D347" s="1244"/>
      <c r="E347" s="1050"/>
      <c r="F347" s="1244"/>
      <c r="H347" s="43" t="str">
        <f t="shared" ref="H347:Q356" si="170">IF($D347=H$6,$B347&amp;", ","")</f>
        <v/>
      </c>
      <c r="I347" s="43" t="str">
        <f t="shared" si="170"/>
        <v/>
      </c>
      <c r="J347" s="43" t="str">
        <f t="shared" si="170"/>
        <v/>
      </c>
      <c r="K347" s="43" t="str">
        <f t="shared" si="170"/>
        <v/>
      </c>
      <c r="L347" s="43" t="str">
        <f t="shared" si="170"/>
        <v/>
      </c>
      <c r="M347" s="43" t="str">
        <f t="shared" si="170"/>
        <v/>
      </c>
      <c r="N347" s="43" t="str">
        <f t="shared" si="170"/>
        <v/>
      </c>
      <c r="O347" s="43" t="str">
        <f t="shared" si="170"/>
        <v/>
      </c>
      <c r="P347" s="43" t="str">
        <f t="shared" si="170"/>
        <v/>
      </c>
      <c r="Q347" s="43" t="str">
        <f t="shared" si="170"/>
        <v/>
      </c>
      <c r="R347" s="43" t="str">
        <f t="shared" ref="R347:AA356" si="171">IF($D347=R$6,$B347&amp;", ","")</f>
        <v/>
      </c>
      <c r="S347" s="43" t="str">
        <f t="shared" si="171"/>
        <v/>
      </c>
      <c r="T347" s="43" t="str">
        <f t="shared" si="171"/>
        <v/>
      </c>
      <c r="U347" s="43" t="str">
        <f t="shared" si="171"/>
        <v/>
      </c>
      <c r="V347" s="43" t="str">
        <f t="shared" si="171"/>
        <v/>
      </c>
      <c r="W347" s="43" t="str">
        <f t="shared" si="171"/>
        <v/>
      </c>
      <c r="X347" s="43" t="str">
        <f t="shared" si="171"/>
        <v/>
      </c>
      <c r="Y347" s="43" t="str">
        <f t="shared" si="171"/>
        <v/>
      </c>
      <c r="Z347" s="43" t="str">
        <f t="shared" si="171"/>
        <v/>
      </c>
      <c r="AA347" s="43" t="str">
        <f t="shared" si="171"/>
        <v/>
      </c>
      <c r="AB347" s="43" t="str">
        <f t="shared" ref="AB347:AK356" si="172">IF($D347=AB$6,$B347&amp;", ","")</f>
        <v/>
      </c>
      <c r="AC347" s="43" t="str">
        <f t="shared" si="172"/>
        <v/>
      </c>
      <c r="AD347" s="43" t="str">
        <f t="shared" si="172"/>
        <v/>
      </c>
      <c r="AE347" s="43" t="str">
        <f t="shared" si="172"/>
        <v/>
      </c>
      <c r="AF347" s="43" t="str">
        <f t="shared" si="172"/>
        <v/>
      </c>
      <c r="AG347" s="43" t="str">
        <f t="shared" si="172"/>
        <v/>
      </c>
      <c r="AH347" s="43" t="str">
        <f t="shared" si="172"/>
        <v/>
      </c>
      <c r="AI347" s="43" t="str">
        <f t="shared" si="172"/>
        <v/>
      </c>
      <c r="AJ347" s="43" t="str">
        <f t="shared" si="172"/>
        <v/>
      </c>
      <c r="AK347" s="43" t="str">
        <f t="shared" si="172"/>
        <v/>
      </c>
      <c r="AL347" s="43" t="str">
        <f t="shared" ref="AL347:AU356" si="173">IF($D347=AL$6,$B347&amp;", ","")</f>
        <v/>
      </c>
      <c r="AM347" s="43" t="str">
        <f t="shared" si="173"/>
        <v/>
      </c>
      <c r="AN347" s="43" t="str">
        <f t="shared" si="173"/>
        <v/>
      </c>
      <c r="AO347" s="43" t="str">
        <f t="shared" si="173"/>
        <v/>
      </c>
      <c r="AP347" s="43" t="str">
        <f t="shared" si="173"/>
        <v/>
      </c>
      <c r="AQ347" s="43" t="str">
        <f t="shared" si="173"/>
        <v/>
      </c>
      <c r="AR347" s="43" t="str">
        <f t="shared" si="173"/>
        <v/>
      </c>
      <c r="AS347" s="43" t="str">
        <f t="shared" si="173"/>
        <v/>
      </c>
      <c r="AT347" s="43" t="str">
        <f t="shared" si="173"/>
        <v/>
      </c>
      <c r="AU347" s="43" t="str">
        <f t="shared" si="173"/>
        <v/>
      </c>
      <c r="AV347" s="43" t="str">
        <f t="shared" ref="AV347:BA356" si="174">IF($D347=AV$6,$B347&amp;", ","")</f>
        <v/>
      </c>
      <c r="AW347" s="43" t="str">
        <f t="shared" si="174"/>
        <v/>
      </c>
      <c r="AX347" s="43" t="str">
        <f t="shared" si="174"/>
        <v/>
      </c>
      <c r="AY347" s="43" t="str">
        <f t="shared" si="174"/>
        <v/>
      </c>
      <c r="AZ347" s="43" t="str">
        <f t="shared" si="174"/>
        <v/>
      </c>
      <c r="BA347" s="43" t="str">
        <f t="shared" si="174"/>
        <v/>
      </c>
      <c r="BB347" s="43"/>
      <c r="BC347" s="43"/>
      <c r="BD347" s="43"/>
      <c r="BE347" s="43"/>
      <c r="BF347" s="43"/>
      <c r="BG347" s="43"/>
      <c r="BW347" s="1250"/>
    </row>
    <row r="348" spans="1:75" x14ac:dyDescent="0.25">
      <c r="A348" s="1251"/>
      <c r="B348" s="462">
        <v>342</v>
      </c>
      <c r="C348" s="462"/>
      <c r="D348" s="1244"/>
      <c r="E348" s="1050"/>
      <c r="F348" s="1244"/>
      <c r="H348" s="43" t="str">
        <f t="shared" si="170"/>
        <v/>
      </c>
      <c r="I348" s="43" t="str">
        <f t="shared" si="170"/>
        <v/>
      </c>
      <c r="J348" s="43" t="str">
        <f t="shared" si="170"/>
        <v/>
      </c>
      <c r="K348" s="43" t="str">
        <f t="shared" si="170"/>
        <v/>
      </c>
      <c r="L348" s="43" t="str">
        <f t="shared" si="170"/>
        <v/>
      </c>
      <c r="M348" s="43" t="str">
        <f t="shared" si="170"/>
        <v/>
      </c>
      <c r="N348" s="43" t="str">
        <f t="shared" si="170"/>
        <v/>
      </c>
      <c r="O348" s="43" t="str">
        <f t="shared" si="170"/>
        <v/>
      </c>
      <c r="P348" s="43" t="str">
        <f t="shared" si="170"/>
        <v/>
      </c>
      <c r="Q348" s="43" t="str">
        <f t="shared" si="170"/>
        <v/>
      </c>
      <c r="R348" s="43" t="str">
        <f t="shared" si="171"/>
        <v/>
      </c>
      <c r="S348" s="43" t="str">
        <f t="shared" si="171"/>
        <v/>
      </c>
      <c r="T348" s="43" t="str">
        <f t="shared" si="171"/>
        <v/>
      </c>
      <c r="U348" s="43" t="str">
        <f t="shared" si="171"/>
        <v/>
      </c>
      <c r="V348" s="43" t="str">
        <f t="shared" si="171"/>
        <v/>
      </c>
      <c r="W348" s="43" t="str">
        <f t="shared" si="171"/>
        <v/>
      </c>
      <c r="X348" s="43" t="str">
        <f t="shared" si="171"/>
        <v/>
      </c>
      <c r="Y348" s="43" t="str">
        <f t="shared" si="171"/>
        <v/>
      </c>
      <c r="Z348" s="43" t="str">
        <f t="shared" si="171"/>
        <v/>
      </c>
      <c r="AA348" s="43" t="str">
        <f t="shared" si="171"/>
        <v/>
      </c>
      <c r="AB348" s="43" t="str">
        <f t="shared" si="172"/>
        <v/>
      </c>
      <c r="AC348" s="43" t="str">
        <f t="shared" si="172"/>
        <v/>
      </c>
      <c r="AD348" s="43" t="str">
        <f t="shared" si="172"/>
        <v/>
      </c>
      <c r="AE348" s="43" t="str">
        <f t="shared" si="172"/>
        <v/>
      </c>
      <c r="AF348" s="43" t="str">
        <f t="shared" si="172"/>
        <v/>
      </c>
      <c r="AG348" s="43" t="str">
        <f t="shared" si="172"/>
        <v/>
      </c>
      <c r="AH348" s="43" t="str">
        <f t="shared" si="172"/>
        <v/>
      </c>
      <c r="AI348" s="43" t="str">
        <f t="shared" si="172"/>
        <v/>
      </c>
      <c r="AJ348" s="43" t="str">
        <f t="shared" si="172"/>
        <v/>
      </c>
      <c r="AK348" s="43" t="str">
        <f t="shared" si="172"/>
        <v/>
      </c>
      <c r="AL348" s="43" t="str">
        <f t="shared" si="173"/>
        <v/>
      </c>
      <c r="AM348" s="43" t="str">
        <f t="shared" si="173"/>
        <v/>
      </c>
      <c r="AN348" s="43" t="str">
        <f t="shared" si="173"/>
        <v/>
      </c>
      <c r="AO348" s="43" t="str">
        <f t="shared" si="173"/>
        <v/>
      </c>
      <c r="AP348" s="43" t="str">
        <f t="shared" si="173"/>
        <v/>
      </c>
      <c r="AQ348" s="43" t="str">
        <f t="shared" si="173"/>
        <v/>
      </c>
      <c r="AR348" s="43" t="str">
        <f t="shared" si="173"/>
        <v/>
      </c>
      <c r="AS348" s="43" t="str">
        <f t="shared" si="173"/>
        <v/>
      </c>
      <c r="AT348" s="43" t="str">
        <f t="shared" si="173"/>
        <v/>
      </c>
      <c r="AU348" s="43" t="str">
        <f t="shared" si="173"/>
        <v/>
      </c>
      <c r="AV348" s="43" t="str">
        <f t="shared" si="174"/>
        <v/>
      </c>
      <c r="AW348" s="43" t="str">
        <f t="shared" si="174"/>
        <v/>
      </c>
      <c r="AX348" s="43" t="str">
        <f t="shared" si="174"/>
        <v/>
      </c>
      <c r="AY348" s="43" t="str">
        <f t="shared" si="174"/>
        <v/>
      </c>
      <c r="AZ348" s="43" t="str">
        <f t="shared" si="174"/>
        <v/>
      </c>
      <c r="BA348" s="43" t="str">
        <f t="shared" si="174"/>
        <v/>
      </c>
      <c r="BB348" s="43"/>
      <c r="BC348" s="43"/>
      <c r="BD348" s="43"/>
      <c r="BE348" s="43"/>
      <c r="BF348" s="43"/>
      <c r="BG348" s="43"/>
      <c r="BW348" s="1250"/>
    </row>
    <row r="349" spans="1:75" x14ac:dyDescent="0.25">
      <c r="A349" s="1251"/>
      <c r="B349" s="462">
        <v>343</v>
      </c>
      <c r="C349" s="462"/>
      <c r="D349" s="1244"/>
      <c r="E349" s="1050"/>
      <c r="F349" s="1244"/>
      <c r="H349" s="43" t="str">
        <f t="shared" si="170"/>
        <v/>
      </c>
      <c r="I349" s="43" t="str">
        <f t="shared" si="170"/>
        <v/>
      </c>
      <c r="J349" s="43" t="str">
        <f t="shared" si="170"/>
        <v/>
      </c>
      <c r="K349" s="43" t="str">
        <f t="shared" si="170"/>
        <v/>
      </c>
      <c r="L349" s="43" t="str">
        <f t="shared" si="170"/>
        <v/>
      </c>
      <c r="M349" s="43" t="str">
        <f t="shared" si="170"/>
        <v/>
      </c>
      <c r="N349" s="43" t="str">
        <f t="shared" si="170"/>
        <v/>
      </c>
      <c r="O349" s="43" t="str">
        <f t="shared" si="170"/>
        <v/>
      </c>
      <c r="P349" s="43" t="str">
        <f t="shared" si="170"/>
        <v/>
      </c>
      <c r="Q349" s="43" t="str">
        <f t="shared" si="170"/>
        <v/>
      </c>
      <c r="R349" s="43" t="str">
        <f t="shared" si="171"/>
        <v/>
      </c>
      <c r="S349" s="43" t="str">
        <f t="shared" si="171"/>
        <v/>
      </c>
      <c r="T349" s="43" t="str">
        <f t="shared" si="171"/>
        <v/>
      </c>
      <c r="U349" s="43" t="str">
        <f t="shared" si="171"/>
        <v/>
      </c>
      <c r="V349" s="43" t="str">
        <f t="shared" si="171"/>
        <v/>
      </c>
      <c r="W349" s="43" t="str">
        <f t="shared" si="171"/>
        <v/>
      </c>
      <c r="X349" s="43" t="str">
        <f t="shared" si="171"/>
        <v/>
      </c>
      <c r="Y349" s="43" t="str">
        <f t="shared" si="171"/>
        <v/>
      </c>
      <c r="Z349" s="43" t="str">
        <f t="shared" si="171"/>
        <v/>
      </c>
      <c r="AA349" s="43" t="str">
        <f t="shared" si="171"/>
        <v/>
      </c>
      <c r="AB349" s="43" t="str">
        <f t="shared" si="172"/>
        <v/>
      </c>
      <c r="AC349" s="43" t="str">
        <f t="shared" si="172"/>
        <v/>
      </c>
      <c r="AD349" s="43" t="str">
        <f t="shared" si="172"/>
        <v/>
      </c>
      <c r="AE349" s="43" t="str">
        <f t="shared" si="172"/>
        <v/>
      </c>
      <c r="AF349" s="43" t="str">
        <f t="shared" si="172"/>
        <v/>
      </c>
      <c r="AG349" s="43" t="str">
        <f t="shared" si="172"/>
        <v/>
      </c>
      <c r="AH349" s="43" t="str">
        <f t="shared" si="172"/>
        <v/>
      </c>
      <c r="AI349" s="43" t="str">
        <f t="shared" si="172"/>
        <v/>
      </c>
      <c r="AJ349" s="43" t="str">
        <f t="shared" si="172"/>
        <v/>
      </c>
      <c r="AK349" s="43" t="str">
        <f t="shared" si="172"/>
        <v/>
      </c>
      <c r="AL349" s="43" t="str">
        <f t="shared" si="173"/>
        <v/>
      </c>
      <c r="AM349" s="43" t="str">
        <f t="shared" si="173"/>
        <v/>
      </c>
      <c r="AN349" s="43" t="str">
        <f t="shared" si="173"/>
        <v/>
      </c>
      <c r="AO349" s="43" t="str">
        <f t="shared" si="173"/>
        <v/>
      </c>
      <c r="AP349" s="43" t="str">
        <f t="shared" si="173"/>
        <v/>
      </c>
      <c r="AQ349" s="43" t="str">
        <f t="shared" si="173"/>
        <v/>
      </c>
      <c r="AR349" s="43" t="str">
        <f t="shared" si="173"/>
        <v/>
      </c>
      <c r="AS349" s="43" t="str">
        <f t="shared" si="173"/>
        <v/>
      </c>
      <c r="AT349" s="43" t="str">
        <f t="shared" si="173"/>
        <v/>
      </c>
      <c r="AU349" s="43" t="str">
        <f t="shared" si="173"/>
        <v/>
      </c>
      <c r="AV349" s="43" t="str">
        <f t="shared" si="174"/>
        <v/>
      </c>
      <c r="AW349" s="43" t="str">
        <f t="shared" si="174"/>
        <v/>
      </c>
      <c r="AX349" s="43" t="str">
        <f t="shared" si="174"/>
        <v/>
      </c>
      <c r="AY349" s="43" t="str">
        <f t="shared" si="174"/>
        <v/>
      </c>
      <c r="AZ349" s="43" t="str">
        <f t="shared" si="174"/>
        <v/>
      </c>
      <c r="BA349" s="43" t="str">
        <f t="shared" si="174"/>
        <v/>
      </c>
      <c r="BB349" s="43"/>
      <c r="BC349" s="43"/>
      <c r="BD349" s="43"/>
      <c r="BE349" s="43"/>
      <c r="BF349" s="43"/>
      <c r="BG349" s="43"/>
      <c r="BW349" s="1250"/>
    </row>
    <row r="350" spans="1:75" x14ac:dyDescent="0.25">
      <c r="A350" s="1251"/>
      <c r="B350" s="462">
        <v>344</v>
      </c>
      <c r="C350" s="462"/>
      <c r="D350" s="1244"/>
      <c r="E350" s="1050"/>
      <c r="F350" s="1244"/>
      <c r="H350" s="43" t="str">
        <f t="shared" si="170"/>
        <v/>
      </c>
      <c r="I350" s="43" t="str">
        <f t="shared" si="170"/>
        <v/>
      </c>
      <c r="J350" s="43" t="str">
        <f t="shared" si="170"/>
        <v/>
      </c>
      <c r="K350" s="43" t="str">
        <f t="shared" si="170"/>
        <v/>
      </c>
      <c r="L350" s="43" t="str">
        <f t="shared" si="170"/>
        <v/>
      </c>
      <c r="M350" s="43" t="str">
        <f t="shared" si="170"/>
        <v/>
      </c>
      <c r="N350" s="43" t="str">
        <f t="shared" si="170"/>
        <v/>
      </c>
      <c r="O350" s="43" t="str">
        <f t="shared" si="170"/>
        <v/>
      </c>
      <c r="P350" s="43" t="str">
        <f t="shared" si="170"/>
        <v/>
      </c>
      <c r="Q350" s="43" t="str">
        <f t="shared" si="170"/>
        <v/>
      </c>
      <c r="R350" s="43" t="str">
        <f t="shared" si="171"/>
        <v/>
      </c>
      <c r="S350" s="43" t="str">
        <f t="shared" si="171"/>
        <v/>
      </c>
      <c r="T350" s="43" t="str">
        <f t="shared" si="171"/>
        <v/>
      </c>
      <c r="U350" s="43" t="str">
        <f t="shared" si="171"/>
        <v/>
      </c>
      <c r="V350" s="43" t="str">
        <f t="shared" si="171"/>
        <v/>
      </c>
      <c r="W350" s="43" t="str">
        <f t="shared" si="171"/>
        <v/>
      </c>
      <c r="X350" s="43" t="str">
        <f t="shared" si="171"/>
        <v/>
      </c>
      <c r="Y350" s="43" t="str">
        <f t="shared" si="171"/>
        <v/>
      </c>
      <c r="Z350" s="43" t="str">
        <f t="shared" si="171"/>
        <v/>
      </c>
      <c r="AA350" s="43" t="str">
        <f t="shared" si="171"/>
        <v/>
      </c>
      <c r="AB350" s="43" t="str">
        <f t="shared" si="172"/>
        <v/>
      </c>
      <c r="AC350" s="43" t="str">
        <f t="shared" si="172"/>
        <v/>
      </c>
      <c r="AD350" s="43" t="str">
        <f t="shared" si="172"/>
        <v/>
      </c>
      <c r="AE350" s="43" t="str">
        <f t="shared" si="172"/>
        <v/>
      </c>
      <c r="AF350" s="43" t="str">
        <f t="shared" si="172"/>
        <v/>
      </c>
      <c r="AG350" s="43" t="str">
        <f t="shared" si="172"/>
        <v/>
      </c>
      <c r="AH350" s="43" t="str">
        <f t="shared" si="172"/>
        <v/>
      </c>
      <c r="AI350" s="43" t="str">
        <f t="shared" si="172"/>
        <v/>
      </c>
      <c r="AJ350" s="43" t="str">
        <f t="shared" si="172"/>
        <v/>
      </c>
      <c r="AK350" s="43" t="str">
        <f t="shared" si="172"/>
        <v/>
      </c>
      <c r="AL350" s="43" t="str">
        <f t="shared" si="173"/>
        <v/>
      </c>
      <c r="AM350" s="43" t="str">
        <f t="shared" si="173"/>
        <v/>
      </c>
      <c r="AN350" s="43" t="str">
        <f t="shared" si="173"/>
        <v/>
      </c>
      <c r="AO350" s="43" t="str">
        <f t="shared" si="173"/>
        <v/>
      </c>
      <c r="AP350" s="43" t="str">
        <f t="shared" si="173"/>
        <v/>
      </c>
      <c r="AQ350" s="43" t="str">
        <f t="shared" si="173"/>
        <v/>
      </c>
      <c r="AR350" s="43" t="str">
        <f t="shared" si="173"/>
        <v/>
      </c>
      <c r="AS350" s="43" t="str">
        <f t="shared" si="173"/>
        <v/>
      </c>
      <c r="AT350" s="43" t="str">
        <f t="shared" si="173"/>
        <v/>
      </c>
      <c r="AU350" s="43" t="str">
        <f t="shared" si="173"/>
        <v/>
      </c>
      <c r="AV350" s="43" t="str">
        <f t="shared" si="174"/>
        <v/>
      </c>
      <c r="AW350" s="43" t="str">
        <f t="shared" si="174"/>
        <v/>
      </c>
      <c r="AX350" s="43" t="str">
        <f t="shared" si="174"/>
        <v/>
      </c>
      <c r="AY350" s="43" t="str">
        <f t="shared" si="174"/>
        <v/>
      </c>
      <c r="AZ350" s="43" t="str">
        <f t="shared" si="174"/>
        <v/>
      </c>
      <c r="BA350" s="43" t="str">
        <f t="shared" si="174"/>
        <v/>
      </c>
      <c r="BB350" s="43"/>
      <c r="BC350" s="43"/>
      <c r="BD350" s="43"/>
      <c r="BE350" s="43"/>
      <c r="BF350" s="43"/>
      <c r="BG350" s="43"/>
      <c r="BW350" s="1250"/>
    </row>
    <row r="351" spans="1:75" x14ac:dyDescent="0.25">
      <c r="A351" s="1251"/>
      <c r="B351" s="462">
        <v>345</v>
      </c>
      <c r="C351" s="462"/>
      <c r="D351" s="1244"/>
      <c r="E351" s="1050"/>
      <c r="F351" s="1244"/>
      <c r="H351" s="43" t="str">
        <f t="shared" si="170"/>
        <v/>
      </c>
      <c r="I351" s="43" t="str">
        <f t="shared" si="170"/>
        <v/>
      </c>
      <c r="J351" s="43" t="str">
        <f t="shared" si="170"/>
        <v/>
      </c>
      <c r="K351" s="43" t="str">
        <f t="shared" si="170"/>
        <v/>
      </c>
      <c r="L351" s="43" t="str">
        <f t="shared" si="170"/>
        <v/>
      </c>
      <c r="M351" s="43" t="str">
        <f t="shared" si="170"/>
        <v/>
      </c>
      <c r="N351" s="43" t="str">
        <f t="shared" si="170"/>
        <v/>
      </c>
      <c r="O351" s="43" t="str">
        <f t="shared" si="170"/>
        <v/>
      </c>
      <c r="P351" s="43" t="str">
        <f t="shared" si="170"/>
        <v/>
      </c>
      <c r="Q351" s="43" t="str">
        <f t="shared" si="170"/>
        <v/>
      </c>
      <c r="R351" s="43" t="str">
        <f t="shared" si="171"/>
        <v/>
      </c>
      <c r="S351" s="43" t="str">
        <f t="shared" si="171"/>
        <v/>
      </c>
      <c r="T351" s="43" t="str">
        <f t="shared" si="171"/>
        <v/>
      </c>
      <c r="U351" s="43" t="str">
        <f t="shared" si="171"/>
        <v/>
      </c>
      <c r="V351" s="43" t="str">
        <f t="shared" si="171"/>
        <v/>
      </c>
      <c r="W351" s="43" t="str">
        <f t="shared" si="171"/>
        <v/>
      </c>
      <c r="X351" s="43" t="str">
        <f t="shared" si="171"/>
        <v/>
      </c>
      <c r="Y351" s="43" t="str">
        <f t="shared" si="171"/>
        <v/>
      </c>
      <c r="Z351" s="43" t="str">
        <f t="shared" si="171"/>
        <v/>
      </c>
      <c r="AA351" s="43" t="str">
        <f t="shared" si="171"/>
        <v/>
      </c>
      <c r="AB351" s="43" t="str">
        <f t="shared" si="172"/>
        <v/>
      </c>
      <c r="AC351" s="43" t="str">
        <f t="shared" si="172"/>
        <v/>
      </c>
      <c r="AD351" s="43" t="str">
        <f t="shared" si="172"/>
        <v/>
      </c>
      <c r="AE351" s="43" t="str">
        <f t="shared" si="172"/>
        <v/>
      </c>
      <c r="AF351" s="43" t="str">
        <f t="shared" si="172"/>
        <v/>
      </c>
      <c r="AG351" s="43" t="str">
        <f t="shared" si="172"/>
        <v/>
      </c>
      <c r="AH351" s="43" t="str">
        <f t="shared" si="172"/>
        <v/>
      </c>
      <c r="AI351" s="43" t="str">
        <f t="shared" si="172"/>
        <v/>
      </c>
      <c r="AJ351" s="43" t="str">
        <f t="shared" si="172"/>
        <v/>
      </c>
      <c r="AK351" s="43" t="str">
        <f t="shared" si="172"/>
        <v/>
      </c>
      <c r="AL351" s="43" t="str">
        <f t="shared" si="173"/>
        <v/>
      </c>
      <c r="AM351" s="43" t="str">
        <f t="shared" si="173"/>
        <v/>
      </c>
      <c r="AN351" s="43" t="str">
        <f t="shared" si="173"/>
        <v/>
      </c>
      <c r="AO351" s="43" t="str">
        <f t="shared" si="173"/>
        <v/>
      </c>
      <c r="AP351" s="43" t="str">
        <f t="shared" si="173"/>
        <v/>
      </c>
      <c r="AQ351" s="43" t="str">
        <f t="shared" si="173"/>
        <v/>
      </c>
      <c r="AR351" s="43" t="str">
        <f t="shared" si="173"/>
        <v/>
      </c>
      <c r="AS351" s="43" t="str">
        <f t="shared" si="173"/>
        <v/>
      </c>
      <c r="AT351" s="43" t="str">
        <f t="shared" si="173"/>
        <v/>
      </c>
      <c r="AU351" s="43" t="str">
        <f t="shared" si="173"/>
        <v/>
      </c>
      <c r="AV351" s="43" t="str">
        <f t="shared" si="174"/>
        <v/>
      </c>
      <c r="AW351" s="43" t="str">
        <f t="shared" si="174"/>
        <v/>
      </c>
      <c r="AX351" s="43" t="str">
        <f t="shared" si="174"/>
        <v/>
      </c>
      <c r="AY351" s="43" t="str">
        <f t="shared" si="174"/>
        <v/>
      </c>
      <c r="AZ351" s="43" t="str">
        <f t="shared" si="174"/>
        <v/>
      </c>
      <c r="BA351" s="43" t="str">
        <f t="shared" si="174"/>
        <v/>
      </c>
      <c r="BB351" s="43"/>
      <c r="BC351" s="43"/>
      <c r="BD351" s="43"/>
      <c r="BE351" s="43"/>
      <c r="BF351" s="43"/>
      <c r="BG351" s="43"/>
      <c r="BW351" s="1250"/>
    </row>
    <row r="352" spans="1:75" x14ac:dyDescent="0.25">
      <c r="A352" s="1251"/>
      <c r="B352" s="462">
        <v>346</v>
      </c>
      <c r="C352" s="462"/>
      <c r="D352" s="1244"/>
      <c r="E352" s="1050"/>
      <c r="F352" s="1244"/>
      <c r="H352" s="43" t="str">
        <f t="shared" si="170"/>
        <v/>
      </c>
      <c r="I352" s="43" t="str">
        <f t="shared" si="170"/>
        <v/>
      </c>
      <c r="J352" s="43" t="str">
        <f t="shared" si="170"/>
        <v/>
      </c>
      <c r="K352" s="43" t="str">
        <f t="shared" si="170"/>
        <v/>
      </c>
      <c r="L352" s="43" t="str">
        <f t="shared" si="170"/>
        <v/>
      </c>
      <c r="M352" s="43" t="str">
        <f t="shared" si="170"/>
        <v/>
      </c>
      <c r="N352" s="43" t="str">
        <f t="shared" si="170"/>
        <v/>
      </c>
      <c r="O352" s="43" t="str">
        <f t="shared" si="170"/>
        <v/>
      </c>
      <c r="P352" s="43" t="str">
        <f t="shared" si="170"/>
        <v/>
      </c>
      <c r="Q352" s="43" t="str">
        <f t="shared" si="170"/>
        <v/>
      </c>
      <c r="R352" s="43" t="str">
        <f t="shared" si="171"/>
        <v/>
      </c>
      <c r="S352" s="43" t="str">
        <f t="shared" si="171"/>
        <v/>
      </c>
      <c r="T352" s="43" t="str">
        <f t="shared" si="171"/>
        <v/>
      </c>
      <c r="U352" s="43" t="str">
        <f t="shared" si="171"/>
        <v/>
      </c>
      <c r="V352" s="43" t="str">
        <f t="shared" si="171"/>
        <v/>
      </c>
      <c r="W352" s="43" t="str">
        <f t="shared" si="171"/>
        <v/>
      </c>
      <c r="X352" s="43" t="str">
        <f t="shared" si="171"/>
        <v/>
      </c>
      <c r="Y352" s="43" t="str">
        <f t="shared" si="171"/>
        <v/>
      </c>
      <c r="Z352" s="43" t="str">
        <f t="shared" si="171"/>
        <v/>
      </c>
      <c r="AA352" s="43" t="str">
        <f t="shared" si="171"/>
        <v/>
      </c>
      <c r="AB352" s="43" t="str">
        <f t="shared" si="172"/>
        <v/>
      </c>
      <c r="AC352" s="43" t="str">
        <f t="shared" si="172"/>
        <v/>
      </c>
      <c r="AD352" s="43" t="str">
        <f t="shared" si="172"/>
        <v/>
      </c>
      <c r="AE352" s="43" t="str">
        <f t="shared" si="172"/>
        <v/>
      </c>
      <c r="AF352" s="43" t="str">
        <f t="shared" si="172"/>
        <v/>
      </c>
      <c r="AG352" s="43" t="str">
        <f t="shared" si="172"/>
        <v/>
      </c>
      <c r="AH352" s="43" t="str">
        <f t="shared" si="172"/>
        <v/>
      </c>
      <c r="AI352" s="43" t="str">
        <f t="shared" si="172"/>
        <v/>
      </c>
      <c r="AJ352" s="43" t="str">
        <f t="shared" si="172"/>
        <v/>
      </c>
      <c r="AK352" s="43" t="str">
        <f t="shared" si="172"/>
        <v/>
      </c>
      <c r="AL352" s="43" t="str">
        <f t="shared" si="173"/>
        <v/>
      </c>
      <c r="AM352" s="43" t="str">
        <f t="shared" si="173"/>
        <v/>
      </c>
      <c r="AN352" s="43" t="str">
        <f t="shared" si="173"/>
        <v/>
      </c>
      <c r="AO352" s="43" t="str">
        <f t="shared" si="173"/>
        <v/>
      </c>
      <c r="AP352" s="43" t="str">
        <f t="shared" si="173"/>
        <v/>
      </c>
      <c r="AQ352" s="43" t="str">
        <f t="shared" si="173"/>
        <v/>
      </c>
      <c r="AR352" s="43" t="str">
        <f t="shared" si="173"/>
        <v/>
      </c>
      <c r="AS352" s="43" t="str">
        <f t="shared" si="173"/>
        <v/>
      </c>
      <c r="AT352" s="43" t="str">
        <f t="shared" si="173"/>
        <v/>
      </c>
      <c r="AU352" s="43" t="str">
        <f t="shared" si="173"/>
        <v/>
      </c>
      <c r="AV352" s="43" t="str">
        <f t="shared" si="174"/>
        <v/>
      </c>
      <c r="AW352" s="43" t="str">
        <f t="shared" si="174"/>
        <v/>
      </c>
      <c r="AX352" s="43" t="str">
        <f t="shared" si="174"/>
        <v/>
      </c>
      <c r="AY352" s="43" t="str">
        <f t="shared" si="174"/>
        <v/>
      </c>
      <c r="AZ352" s="43" t="str">
        <f t="shared" si="174"/>
        <v/>
      </c>
      <c r="BA352" s="43" t="str">
        <f t="shared" si="174"/>
        <v/>
      </c>
      <c r="BB352" s="43"/>
      <c r="BC352" s="43"/>
      <c r="BD352" s="43"/>
      <c r="BE352" s="43"/>
      <c r="BF352" s="43"/>
      <c r="BG352" s="43"/>
      <c r="BW352" s="1250"/>
    </row>
    <row r="353" spans="1:75" x14ac:dyDescent="0.25">
      <c r="A353" s="1251"/>
      <c r="B353" s="462">
        <v>347</v>
      </c>
      <c r="C353" s="462"/>
      <c r="D353" s="1244"/>
      <c r="E353" s="1050"/>
      <c r="F353" s="1244"/>
      <c r="H353" s="43" t="str">
        <f t="shared" si="170"/>
        <v/>
      </c>
      <c r="I353" s="43" t="str">
        <f t="shared" si="170"/>
        <v/>
      </c>
      <c r="J353" s="43" t="str">
        <f t="shared" si="170"/>
        <v/>
      </c>
      <c r="K353" s="43" t="str">
        <f t="shared" si="170"/>
        <v/>
      </c>
      <c r="L353" s="43" t="str">
        <f t="shared" si="170"/>
        <v/>
      </c>
      <c r="M353" s="43" t="str">
        <f t="shared" si="170"/>
        <v/>
      </c>
      <c r="N353" s="43" t="str">
        <f t="shared" si="170"/>
        <v/>
      </c>
      <c r="O353" s="43" t="str">
        <f t="shared" si="170"/>
        <v/>
      </c>
      <c r="P353" s="43" t="str">
        <f t="shared" si="170"/>
        <v/>
      </c>
      <c r="Q353" s="43" t="str">
        <f t="shared" si="170"/>
        <v/>
      </c>
      <c r="R353" s="43" t="str">
        <f t="shared" si="171"/>
        <v/>
      </c>
      <c r="S353" s="43" t="str">
        <f t="shared" si="171"/>
        <v/>
      </c>
      <c r="T353" s="43" t="str">
        <f t="shared" si="171"/>
        <v/>
      </c>
      <c r="U353" s="43" t="str">
        <f t="shared" si="171"/>
        <v/>
      </c>
      <c r="V353" s="43" t="str">
        <f t="shared" si="171"/>
        <v/>
      </c>
      <c r="W353" s="43" t="str">
        <f t="shared" si="171"/>
        <v/>
      </c>
      <c r="X353" s="43" t="str">
        <f t="shared" si="171"/>
        <v/>
      </c>
      <c r="Y353" s="43" t="str">
        <f t="shared" si="171"/>
        <v/>
      </c>
      <c r="Z353" s="43" t="str">
        <f t="shared" si="171"/>
        <v/>
      </c>
      <c r="AA353" s="43" t="str">
        <f t="shared" si="171"/>
        <v/>
      </c>
      <c r="AB353" s="43" t="str">
        <f t="shared" si="172"/>
        <v/>
      </c>
      <c r="AC353" s="43" t="str">
        <f t="shared" si="172"/>
        <v/>
      </c>
      <c r="AD353" s="43" t="str">
        <f t="shared" si="172"/>
        <v/>
      </c>
      <c r="AE353" s="43" t="str">
        <f t="shared" si="172"/>
        <v/>
      </c>
      <c r="AF353" s="43" t="str">
        <f t="shared" si="172"/>
        <v/>
      </c>
      <c r="AG353" s="43" t="str">
        <f t="shared" si="172"/>
        <v/>
      </c>
      <c r="AH353" s="43" t="str">
        <f t="shared" si="172"/>
        <v/>
      </c>
      <c r="AI353" s="43" t="str">
        <f t="shared" si="172"/>
        <v/>
      </c>
      <c r="AJ353" s="43" t="str">
        <f t="shared" si="172"/>
        <v/>
      </c>
      <c r="AK353" s="43" t="str">
        <f t="shared" si="172"/>
        <v/>
      </c>
      <c r="AL353" s="43" t="str">
        <f t="shared" si="173"/>
        <v/>
      </c>
      <c r="AM353" s="43" t="str">
        <f t="shared" si="173"/>
        <v/>
      </c>
      <c r="AN353" s="43" t="str">
        <f t="shared" si="173"/>
        <v/>
      </c>
      <c r="AO353" s="43" t="str">
        <f t="shared" si="173"/>
        <v/>
      </c>
      <c r="AP353" s="43" t="str">
        <f t="shared" si="173"/>
        <v/>
      </c>
      <c r="AQ353" s="43" t="str">
        <f t="shared" si="173"/>
        <v/>
      </c>
      <c r="AR353" s="43" t="str">
        <f t="shared" si="173"/>
        <v/>
      </c>
      <c r="AS353" s="43" t="str">
        <f t="shared" si="173"/>
        <v/>
      </c>
      <c r="AT353" s="43" t="str">
        <f t="shared" si="173"/>
        <v/>
      </c>
      <c r="AU353" s="43" t="str">
        <f t="shared" si="173"/>
        <v/>
      </c>
      <c r="AV353" s="43" t="str">
        <f t="shared" si="174"/>
        <v/>
      </c>
      <c r="AW353" s="43" t="str">
        <f t="shared" si="174"/>
        <v/>
      </c>
      <c r="AX353" s="43" t="str">
        <f t="shared" si="174"/>
        <v/>
      </c>
      <c r="AY353" s="43" t="str">
        <f t="shared" si="174"/>
        <v/>
      </c>
      <c r="AZ353" s="43" t="str">
        <f t="shared" si="174"/>
        <v/>
      </c>
      <c r="BA353" s="43" t="str">
        <f t="shared" si="174"/>
        <v/>
      </c>
      <c r="BB353" s="43"/>
      <c r="BC353" s="43"/>
      <c r="BD353" s="43"/>
      <c r="BE353" s="43"/>
      <c r="BF353" s="43"/>
      <c r="BG353" s="43"/>
      <c r="BW353" s="1250"/>
    </row>
    <row r="354" spans="1:75" x14ac:dyDescent="0.25">
      <c r="A354" s="1251"/>
      <c r="B354" s="462">
        <v>348</v>
      </c>
      <c r="C354" s="462"/>
      <c r="D354" s="1244"/>
      <c r="E354" s="1050"/>
      <c r="F354" s="1244"/>
      <c r="H354" s="43" t="str">
        <f t="shared" si="170"/>
        <v/>
      </c>
      <c r="I354" s="43" t="str">
        <f t="shared" si="170"/>
        <v/>
      </c>
      <c r="J354" s="43" t="str">
        <f t="shared" si="170"/>
        <v/>
      </c>
      <c r="K354" s="43" t="str">
        <f t="shared" si="170"/>
        <v/>
      </c>
      <c r="L354" s="43" t="str">
        <f t="shared" si="170"/>
        <v/>
      </c>
      <c r="M354" s="43" t="str">
        <f t="shared" si="170"/>
        <v/>
      </c>
      <c r="N354" s="43" t="str">
        <f t="shared" si="170"/>
        <v/>
      </c>
      <c r="O354" s="43" t="str">
        <f t="shared" si="170"/>
        <v/>
      </c>
      <c r="P354" s="43" t="str">
        <f t="shared" si="170"/>
        <v/>
      </c>
      <c r="Q354" s="43" t="str">
        <f t="shared" si="170"/>
        <v/>
      </c>
      <c r="R354" s="43" t="str">
        <f t="shared" si="171"/>
        <v/>
      </c>
      <c r="S354" s="43" t="str">
        <f t="shared" si="171"/>
        <v/>
      </c>
      <c r="T354" s="43" t="str">
        <f t="shared" si="171"/>
        <v/>
      </c>
      <c r="U354" s="43" t="str">
        <f t="shared" si="171"/>
        <v/>
      </c>
      <c r="V354" s="43" t="str">
        <f t="shared" si="171"/>
        <v/>
      </c>
      <c r="W354" s="43" t="str">
        <f t="shared" si="171"/>
        <v/>
      </c>
      <c r="X354" s="43" t="str">
        <f t="shared" si="171"/>
        <v/>
      </c>
      <c r="Y354" s="43" t="str">
        <f t="shared" si="171"/>
        <v/>
      </c>
      <c r="Z354" s="43" t="str">
        <f t="shared" si="171"/>
        <v/>
      </c>
      <c r="AA354" s="43" t="str">
        <f t="shared" si="171"/>
        <v/>
      </c>
      <c r="AB354" s="43" t="str">
        <f t="shared" si="172"/>
        <v/>
      </c>
      <c r="AC354" s="43" t="str">
        <f t="shared" si="172"/>
        <v/>
      </c>
      <c r="AD354" s="43" t="str">
        <f t="shared" si="172"/>
        <v/>
      </c>
      <c r="AE354" s="43" t="str">
        <f t="shared" si="172"/>
        <v/>
      </c>
      <c r="AF354" s="43" t="str">
        <f t="shared" si="172"/>
        <v/>
      </c>
      <c r="AG354" s="43" t="str">
        <f t="shared" si="172"/>
        <v/>
      </c>
      <c r="AH354" s="43" t="str">
        <f t="shared" si="172"/>
        <v/>
      </c>
      <c r="AI354" s="43" t="str">
        <f t="shared" si="172"/>
        <v/>
      </c>
      <c r="AJ354" s="43" t="str">
        <f t="shared" si="172"/>
        <v/>
      </c>
      <c r="AK354" s="43" t="str">
        <f t="shared" si="172"/>
        <v/>
      </c>
      <c r="AL354" s="43" t="str">
        <f t="shared" si="173"/>
        <v/>
      </c>
      <c r="AM354" s="43" t="str">
        <f t="shared" si="173"/>
        <v/>
      </c>
      <c r="AN354" s="43" t="str">
        <f t="shared" si="173"/>
        <v/>
      </c>
      <c r="AO354" s="43" t="str">
        <f t="shared" si="173"/>
        <v/>
      </c>
      <c r="AP354" s="43" t="str">
        <f t="shared" si="173"/>
        <v/>
      </c>
      <c r="AQ354" s="43" t="str">
        <f t="shared" si="173"/>
        <v/>
      </c>
      <c r="AR354" s="43" t="str">
        <f t="shared" si="173"/>
        <v/>
      </c>
      <c r="AS354" s="43" t="str">
        <f t="shared" si="173"/>
        <v/>
      </c>
      <c r="AT354" s="43" t="str">
        <f t="shared" si="173"/>
        <v/>
      </c>
      <c r="AU354" s="43" t="str">
        <f t="shared" si="173"/>
        <v/>
      </c>
      <c r="AV354" s="43" t="str">
        <f t="shared" si="174"/>
        <v/>
      </c>
      <c r="AW354" s="43" t="str">
        <f t="shared" si="174"/>
        <v/>
      </c>
      <c r="AX354" s="43" t="str">
        <f t="shared" si="174"/>
        <v/>
      </c>
      <c r="AY354" s="43" t="str">
        <f t="shared" si="174"/>
        <v/>
      </c>
      <c r="AZ354" s="43" t="str">
        <f t="shared" si="174"/>
        <v/>
      </c>
      <c r="BA354" s="43" t="str">
        <f t="shared" si="174"/>
        <v/>
      </c>
      <c r="BB354" s="43"/>
      <c r="BC354" s="43"/>
      <c r="BD354" s="43"/>
      <c r="BE354" s="43"/>
      <c r="BF354" s="43"/>
      <c r="BG354" s="43"/>
      <c r="BW354" s="1250"/>
    </row>
    <row r="355" spans="1:75" x14ac:dyDescent="0.25">
      <c r="A355" s="1251"/>
      <c r="B355" s="462">
        <v>349</v>
      </c>
      <c r="C355" s="462"/>
      <c r="D355" s="1244"/>
      <c r="E355" s="1050"/>
      <c r="F355" s="1244"/>
      <c r="H355" s="43" t="str">
        <f t="shared" si="170"/>
        <v/>
      </c>
      <c r="I355" s="43" t="str">
        <f t="shared" si="170"/>
        <v/>
      </c>
      <c r="J355" s="43" t="str">
        <f t="shared" si="170"/>
        <v/>
      </c>
      <c r="K355" s="43" t="str">
        <f t="shared" si="170"/>
        <v/>
      </c>
      <c r="L355" s="43" t="str">
        <f t="shared" si="170"/>
        <v/>
      </c>
      <c r="M355" s="43" t="str">
        <f t="shared" si="170"/>
        <v/>
      </c>
      <c r="N355" s="43" t="str">
        <f t="shared" si="170"/>
        <v/>
      </c>
      <c r="O355" s="43" t="str">
        <f t="shared" si="170"/>
        <v/>
      </c>
      <c r="P355" s="43" t="str">
        <f t="shared" si="170"/>
        <v/>
      </c>
      <c r="Q355" s="43" t="str">
        <f t="shared" si="170"/>
        <v/>
      </c>
      <c r="R355" s="43" t="str">
        <f t="shared" si="171"/>
        <v/>
      </c>
      <c r="S355" s="43" t="str">
        <f t="shared" si="171"/>
        <v/>
      </c>
      <c r="T355" s="43" t="str">
        <f t="shared" si="171"/>
        <v/>
      </c>
      <c r="U355" s="43" t="str">
        <f t="shared" si="171"/>
        <v/>
      </c>
      <c r="V355" s="43" t="str">
        <f t="shared" si="171"/>
        <v/>
      </c>
      <c r="W355" s="43" t="str">
        <f t="shared" si="171"/>
        <v/>
      </c>
      <c r="X355" s="43" t="str">
        <f t="shared" si="171"/>
        <v/>
      </c>
      <c r="Y355" s="43" t="str">
        <f t="shared" si="171"/>
        <v/>
      </c>
      <c r="Z355" s="43" t="str">
        <f t="shared" si="171"/>
        <v/>
      </c>
      <c r="AA355" s="43" t="str">
        <f t="shared" si="171"/>
        <v/>
      </c>
      <c r="AB355" s="43" t="str">
        <f t="shared" si="172"/>
        <v/>
      </c>
      <c r="AC355" s="43" t="str">
        <f t="shared" si="172"/>
        <v/>
      </c>
      <c r="AD355" s="43" t="str">
        <f t="shared" si="172"/>
        <v/>
      </c>
      <c r="AE355" s="43" t="str">
        <f t="shared" si="172"/>
        <v/>
      </c>
      <c r="AF355" s="43" t="str">
        <f t="shared" si="172"/>
        <v/>
      </c>
      <c r="AG355" s="43" t="str">
        <f t="shared" si="172"/>
        <v/>
      </c>
      <c r="AH355" s="43" t="str">
        <f t="shared" si="172"/>
        <v/>
      </c>
      <c r="AI355" s="43" t="str">
        <f t="shared" si="172"/>
        <v/>
      </c>
      <c r="AJ355" s="43" t="str">
        <f t="shared" si="172"/>
        <v/>
      </c>
      <c r="AK355" s="43" t="str">
        <f t="shared" si="172"/>
        <v/>
      </c>
      <c r="AL355" s="43" t="str">
        <f t="shared" si="173"/>
        <v/>
      </c>
      <c r="AM355" s="43" t="str">
        <f t="shared" si="173"/>
        <v/>
      </c>
      <c r="AN355" s="43" t="str">
        <f t="shared" si="173"/>
        <v/>
      </c>
      <c r="AO355" s="43" t="str">
        <f t="shared" si="173"/>
        <v/>
      </c>
      <c r="AP355" s="43" t="str">
        <f t="shared" si="173"/>
        <v/>
      </c>
      <c r="AQ355" s="43" t="str">
        <f t="shared" si="173"/>
        <v/>
      </c>
      <c r="AR355" s="43" t="str">
        <f t="shared" si="173"/>
        <v/>
      </c>
      <c r="AS355" s="43" t="str">
        <f t="shared" si="173"/>
        <v/>
      </c>
      <c r="AT355" s="43" t="str">
        <f t="shared" si="173"/>
        <v/>
      </c>
      <c r="AU355" s="43" t="str">
        <f t="shared" si="173"/>
        <v/>
      </c>
      <c r="AV355" s="43" t="str">
        <f t="shared" si="174"/>
        <v/>
      </c>
      <c r="AW355" s="43" t="str">
        <f t="shared" si="174"/>
        <v/>
      </c>
      <c r="AX355" s="43" t="str">
        <f t="shared" si="174"/>
        <v/>
      </c>
      <c r="AY355" s="43" t="str">
        <f t="shared" si="174"/>
        <v/>
      </c>
      <c r="AZ355" s="43" t="str">
        <f t="shared" si="174"/>
        <v/>
      </c>
      <c r="BA355" s="43" t="str">
        <f t="shared" si="174"/>
        <v/>
      </c>
      <c r="BB355" s="43"/>
      <c r="BC355" s="43"/>
      <c r="BD355" s="43"/>
      <c r="BE355" s="43"/>
      <c r="BF355" s="43"/>
      <c r="BG355" s="43"/>
      <c r="BW355" s="1250"/>
    </row>
    <row r="356" spans="1:75" x14ac:dyDescent="0.25">
      <c r="A356" s="1251"/>
      <c r="B356" s="462">
        <v>350</v>
      </c>
      <c r="C356" s="462"/>
      <c r="D356" s="1244"/>
      <c r="E356" s="1050"/>
      <c r="F356" s="1244"/>
      <c r="H356" s="43" t="str">
        <f t="shared" si="170"/>
        <v/>
      </c>
      <c r="I356" s="43" t="str">
        <f t="shared" si="170"/>
        <v/>
      </c>
      <c r="J356" s="43" t="str">
        <f t="shared" si="170"/>
        <v/>
      </c>
      <c r="K356" s="43" t="str">
        <f t="shared" si="170"/>
        <v/>
      </c>
      <c r="L356" s="43" t="str">
        <f t="shared" si="170"/>
        <v/>
      </c>
      <c r="M356" s="43" t="str">
        <f t="shared" si="170"/>
        <v/>
      </c>
      <c r="N356" s="43" t="str">
        <f t="shared" si="170"/>
        <v/>
      </c>
      <c r="O356" s="43" t="str">
        <f t="shared" si="170"/>
        <v/>
      </c>
      <c r="P356" s="43" t="str">
        <f t="shared" si="170"/>
        <v/>
      </c>
      <c r="Q356" s="43" t="str">
        <f t="shared" si="170"/>
        <v/>
      </c>
      <c r="R356" s="43" t="str">
        <f t="shared" si="171"/>
        <v/>
      </c>
      <c r="S356" s="43" t="str">
        <f t="shared" si="171"/>
        <v/>
      </c>
      <c r="T356" s="43" t="str">
        <f t="shared" si="171"/>
        <v/>
      </c>
      <c r="U356" s="43" t="str">
        <f t="shared" si="171"/>
        <v/>
      </c>
      <c r="V356" s="43" t="str">
        <f t="shared" si="171"/>
        <v/>
      </c>
      <c r="W356" s="43" t="str">
        <f t="shared" si="171"/>
        <v/>
      </c>
      <c r="X356" s="43" t="str">
        <f t="shared" si="171"/>
        <v/>
      </c>
      <c r="Y356" s="43" t="str">
        <f t="shared" si="171"/>
        <v/>
      </c>
      <c r="Z356" s="43" t="str">
        <f t="shared" si="171"/>
        <v/>
      </c>
      <c r="AA356" s="43" t="str">
        <f t="shared" si="171"/>
        <v/>
      </c>
      <c r="AB356" s="43" t="str">
        <f t="shared" si="172"/>
        <v/>
      </c>
      <c r="AC356" s="43" t="str">
        <f t="shared" si="172"/>
        <v/>
      </c>
      <c r="AD356" s="43" t="str">
        <f t="shared" si="172"/>
        <v/>
      </c>
      <c r="AE356" s="43" t="str">
        <f t="shared" si="172"/>
        <v/>
      </c>
      <c r="AF356" s="43" t="str">
        <f t="shared" si="172"/>
        <v/>
      </c>
      <c r="AG356" s="43" t="str">
        <f t="shared" si="172"/>
        <v/>
      </c>
      <c r="AH356" s="43" t="str">
        <f t="shared" si="172"/>
        <v/>
      </c>
      <c r="AI356" s="43" t="str">
        <f t="shared" si="172"/>
        <v/>
      </c>
      <c r="AJ356" s="43" t="str">
        <f t="shared" si="172"/>
        <v/>
      </c>
      <c r="AK356" s="43" t="str">
        <f t="shared" si="172"/>
        <v/>
      </c>
      <c r="AL356" s="43" t="str">
        <f t="shared" si="173"/>
        <v/>
      </c>
      <c r="AM356" s="43" t="str">
        <f t="shared" si="173"/>
        <v/>
      </c>
      <c r="AN356" s="43" t="str">
        <f t="shared" si="173"/>
        <v/>
      </c>
      <c r="AO356" s="43" t="str">
        <f t="shared" si="173"/>
        <v/>
      </c>
      <c r="AP356" s="43" t="str">
        <f t="shared" si="173"/>
        <v/>
      </c>
      <c r="AQ356" s="43" t="str">
        <f t="shared" si="173"/>
        <v/>
      </c>
      <c r="AR356" s="43" t="str">
        <f t="shared" si="173"/>
        <v/>
      </c>
      <c r="AS356" s="43" t="str">
        <f t="shared" si="173"/>
        <v/>
      </c>
      <c r="AT356" s="43" t="str">
        <f t="shared" si="173"/>
        <v/>
      </c>
      <c r="AU356" s="43" t="str">
        <f t="shared" si="173"/>
        <v/>
      </c>
      <c r="AV356" s="43" t="str">
        <f t="shared" si="174"/>
        <v/>
      </c>
      <c r="AW356" s="43" t="str">
        <f t="shared" si="174"/>
        <v/>
      </c>
      <c r="AX356" s="43" t="str">
        <f t="shared" si="174"/>
        <v/>
      </c>
      <c r="AY356" s="43" t="str">
        <f t="shared" si="174"/>
        <v/>
      </c>
      <c r="AZ356" s="43" t="str">
        <f t="shared" si="174"/>
        <v/>
      </c>
      <c r="BA356" s="43" t="str">
        <f t="shared" si="174"/>
        <v/>
      </c>
      <c r="BB356" s="43"/>
      <c r="BC356" s="43"/>
      <c r="BD356" s="43"/>
      <c r="BE356" s="43"/>
      <c r="BF356" s="43"/>
      <c r="BG356" s="43"/>
      <c r="BW356" s="1250"/>
    </row>
    <row r="357" spans="1:75" x14ac:dyDescent="0.25">
      <c r="A357" s="1251"/>
      <c r="B357" s="462">
        <v>351</v>
      </c>
      <c r="C357" s="462"/>
      <c r="D357" s="1244"/>
      <c r="E357" s="1050"/>
      <c r="F357" s="1244"/>
      <c r="H357" s="43" t="str">
        <f t="shared" ref="H357:Q366" si="175">IF($D357=H$6,$B357&amp;", ","")</f>
        <v/>
      </c>
      <c r="I357" s="43" t="str">
        <f t="shared" si="175"/>
        <v/>
      </c>
      <c r="J357" s="43" t="str">
        <f t="shared" si="175"/>
        <v/>
      </c>
      <c r="K357" s="43" t="str">
        <f t="shared" si="175"/>
        <v/>
      </c>
      <c r="L357" s="43" t="str">
        <f t="shared" si="175"/>
        <v/>
      </c>
      <c r="M357" s="43" t="str">
        <f t="shared" si="175"/>
        <v/>
      </c>
      <c r="N357" s="43" t="str">
        <f t="shared" si="175"/>
        <v/>
      </c>
      <c r="O357" s="43" t="str">
        <f t="shared" si="175"/>
        <v/>
      </c>
      <c r="P357" s="43" t="str">
        <f t="shared" si="175"/>
        <v/>
      </c>
      <c r="Q357" s="43" t="str">
        <f t="shared" si="175"/>
        <v/>
      </c>
      <c r="R357" s="43" t="str">
        <f t="shared" ref="R357:AA366" si="176">IF($D357=R$6,$B357&amp;", ","")</f>
        <v/>
      </c>
      <c r="S357" s="43" t="str">
        <f t="shared" si="176"/>
        <v/>
      </c>
      <c r="T357" s="43" t="str">
        <f t="shared" si="176"/>
        <v/>
      </c>
      <c r="U357" s="43" t="str">
        <f t="shared" si="176"/>
        <v/>
      </c>
      <c r="V357" s="43" t="str">
        <f t="shared" si="176"/>
        <v/>
      </c>
      <c r="W357" s="43" t="str">
        <f t="shared" si="176"/>
        <v/>
      </c>
      <c r="X357" s="43" t="str">
        <f t="shared" si="176"/>
        <v/>
      </c>
      <c r="Y357" s="43" t="str">
        <f t="shared" si="176"/>
        <v/>
      </c>
      <c r="Z357" s="43" t="str">
        <f t="shared" si="176"/>
        <v/>
      </c>
      <c r="AA357" s="43" t="str">
        <f t="shared" si="176"/>
        <v/>
      </c>
      <c r="AB357" s="43" t="str">
        <f t="shared" ref="AB357:AK366" si="177">IF($D357=AB$6,$B357&amp;", ","")</f>
        <v/>
      </c>
      <c r="AC357" s="43" t="str">
        <f t="shared" si="177"/>
        <v/>
      </c>
      <c r="AD357" s="43" t="str">
        <f t="shared" si="177"/>
        <v/>
      </c>
      <c r="AE357" s="43" t="str">
        <f t="shared" si="177"/>
        <v/>
      </c>
      <c r="AF357" s="43" t="str">
        <f t="shared" si="177"/>
        <v/>
      </c>
      <c r="AG357" s="43" t="str">
        <f t="shared" si="177"/>
        <v/>
      </c>
      <c r="AH357" s="43" t="str">
        <f t="shared" si="177"/>
        <v/>
      </c>
      <c r="AI357" s="43" t="str">
        <f t="shared" si="177"/>
        <v/>
      </c>
      <c r="AJ357" s="43" t="str">
        <f t="shared" si="177"/>
        <v/>
      </c>
      <c r="AK357" s="43" t="str">
        <f t="shared" si="177"/>
        <v/>
      </c>
      <c r="AL357" s="43" t="str">
        <f t="shared" ref="AL357:AU366" si="178">IF($D357=AL$6,$B357&amp;", ","")</f>
        <v/>
      </c>
      <c r="AM357" s="43" t="str">
        <f t="shared" si="178"/>
        <v/>
      </c>
      <c r="AN357" s="43" t="str">
        <f t="shared" si="178"/>
        <v/>
      </c>
      <c r="AO357" s="43" t="str">
        <f t="shared" si="178"/>
        <v/>
      </c>
      <c r="AP357" s="43" t="str">
        <f t="shared" si="178"/>
        <v/>
      </c>
      <c r="AQ357" s="43" t="str">
        <f t="shared" si="178"/>
        <v/>
      </c>
      <c r="AR357" s="43" t="str">
        <f t="shared" si="178"/>
        <v/>
      </c>
      <c r="AS357" s="43" t="str">
        <f t="shared" si="178"/>
        <v/>
      </c>
      <c r="AT357" s="43" t="str">
        <f t="shared" si="178"/>
        <v/>
      </c>
      <c r="AU357" s="43" t="str">
        <f t="shared" si="178"/>
        <v/>
      </c>
      <c r="AV357" s="43" t="str">
        <f t="shared" ref="AV357:BA366" si="179">IF($D357=AV$6,$B357&amp;", ","")</f>
        <v/>
      </c>
      <c r="AW357" s="43" t="str">
        <f t="shared" si="179"/>
        <v/>
      </c>
      <c r="AX357" s="43" t="str">
        <f t="shared" si="179"/>
        <v/>
      </c>
      <c r="AY357" s="43" t="str">
        <f t="shared" si="179"/>
        <v/>
      </c>
      <c r="AZ357" s="43" t="str">
        <f t="shared" si="179"/>
        <v/>
      </c>
      <c r="BA357" s="43" t="str">
        <f t="shared" si="179"/>
        <v/>
      </c>
      <c r="BB357" s="43"/>
      <c r="BC357" s="43"/>
      <c r="BD357" s="43"/>
      <c r="BE357" s="43"/>
      <c r="BF357" s="43"/>
      <c r="BG357" s="43"/>
      <c r="BW357" s="1250"/>
    </row>
    <row r="358" spans="1:75" x14ac:dyDescent="0.25">
      <c r="A358" s="1251"/>
      <c r="B358" s="462">
        <v>352</v>
      </c>
      <c r="C358" s="462"/>
      <c r="D358" s="1244"/>
      <c r="E358" s="1050"/>
      <c r="F358" s="1244"/>
      <c r="H358" s="43" t="str">
        <f t="shared" si="175"/>
        <v/>
      </c>
      <c r="I358" s="43" t="str">
        <f t="shared" si="175"/>
        <v/>
      </c>
      <c r="J358" s="43" t="str">
        <f t="shared" si="175"/>
        <v/>
      </c>
      <c r="K358" s="43" t="str">
        <f t="shared" si="175"/>
        <v/>
      </c>
      <c r="L358" s="43" t="str">
        <f t="shared" si="175"/>
        <v/>
      </c>
      <c r="M358" s="43" t="str">
        <f t="shared" si="175"/>
        <v/>
      </c>
      <c r="N358" s="43" t="str">
        <f t="shared" si="175"/>
        <v/>
      </c>
      <c r="O358" s="43" t="str">
        <f t="shared" si="175"/>
        <v/>
      </c>
      <c r="P358" s="43" t="str">
        <f t="shared" si="175"/>
        <v/>
      </c>
      <c r="Q358" s="43" t="str">
        <f t="shared" si="175"/>
        <v/>
      </c>
      <c r="R358" s="43" t="str">
        <f t="shared" si="176"/>
        <v/>
      </c>
      <c r="S358" s="43" t="str">
        <f t="shared" si="176"/>
        <v/>
      </c>
      <c r="T358" s="43" t="str">
        <f t="shared" si="176"/>
        <v/>
      </c>
      <c r="U358" s="43" t="str">
        <f t="shared" si="176"/>
        <v/>
      </c>
      <c r="V358" s="43" t="str">
        <f t="shared" si="176"/>
        <v/>
      </c>
      <c r="W358" s="43" t="str">
        <f t="shared" si="176"/>
        <v/>
      </c>
      <c r="X358" s="43" t="str">
        <f t="shared" si="176"/>
        <v/>
      </c>
      <c r="Y358" s="43" t="str">
        <f t="shared" si="176"/>
        <v/>
      </c>
      <c r="Z358" s="43" t="str">
        <f t="shared" si="176"/>
        <v/>
      </c>
      <c r="AA358" s="43" t="str">
        <f t="shared" si="176"/>
        <v/>
      </c>
      <c r="AB358" s="43" t="str">
        <f t="shared" si="177"/>
        <v/>
      </c>
      <c r="AC358" s="43" t="str">
        <f t="shared" si="177"/>
        <v/>
      </c>
      <c r="AD358" s="43" t="str">
        <f t="shared" si="177"/>
        <v/>
      </c>
      <c r="AE358" s="43" t="str">
        <f t="shared" si="177"/>
        <v/>
      </c>
      <c r="AF358" s="43" t="str">
        <f t="shared" si="177"/>
        <v/>
      </c>
      <c r="AG358" s="43" t="str">
        <f t="shared" si="177"/>
        <v/>
      </c>
      <c r="AH358" s="43" t="str">
        <f t="shared" si="177"/>
        <v/>
      </c>
      <c r="AI358" s="43" t="str">
        <f t="shared" si="177"/>
        <v/>
      </c>
      <c r="AJ358" s="43" t="str">
        <f t="shared" si="177"/>
        <v/>
      </c>
      <c r="AK358" s="43" t="str">
        <f t="shared" si="177"/>
        <v/>
      </c>
      <c r="AL358" s="43" t="str">
        <f t="shared" si="178"/>
        <v/>
      </c>
      <c r="AM358" s="43" t="str">
        <f t="shared" si="178"/>
        <v/>
      </c>
      <c r="AN358" s="43" t="str">
        <f t="shared" si="178"/>
        <v/>
      </c>
      <c r="AO358" s="43" t="str">
        <f t="shared" si="178"/>
        <v/>
      </c>
      <c r="AP358" s="43" t="str">
        <f t="shared" si="178"/>
        <v/>
      </c>
      <c r="AQ358" s="43" t="str">
        <f t="shared" si="178"/>
        <v/>
      </c>
      <c r="AR358" s="43" t="str">
        <f t="shared" si="178"/>
        <v/>
      </c>
      <c r="AS358" s="43" t="str">
        <f t="shared" si="178"/>
        <v/>
      </c>
      <c r="AT358" s="43" t="str">
        <f t="shared" si="178"/>
        <v/>
      </c>
      <c r="AU358" s="43" t="str">
        <f t="shared" si="178"/>
        <v/>
      </c>
      <c r="AV358" s="43" t="str">
        <f t="shared" si="179"/>
        <v/>
      </c>
      <c r="AW358" s="43" t="str">
        <f t="shared" si="179"/>
        <v/>
      </c>
      <c r="AX358" s="43" t="str">
        <f t="shared" si="179"/>
        <v/>
      </c>
      <c r="AY358" s="43" t="str">
        <f t="shared" si="179"/>
        <v/>
      </c>
      <c r="AZ358" s="43" t="str">
        <f t="shared" si="179"/>
        <v/>
      </c>
      <c r="BA358" s="43" t="str">
        <f t="shared" si="179"/>
        <v/>
      </c>
      <c r="BB358" s="43"/>
      <c r="BC358" s="43"/>
      <c r="BD358" s="43"/>
      <c r="BE358" s="43"/>
      <c r="BF358" s="43"/>
      <c r="BG358" s="43"/>
      <c r="BW358" s="1250"/>
    </row>
    <row r="359" spans="1:75" x14ac:dyDescent="0.25">
      <c r="A359" s="1251"/>
      <c r="B359" s="462">
        <v>353</v>
      </c>
      <c r="C359" s="462"/>
      <c r="D359" s="1244"/>
      <c r="E359" s="1050"/>
      <c r="F359" s="1244"/>
      <c r="H359" s="43" t="str">
        <f t="shared" si="175"/>
        <v/>
      </c>
      <c r="I359" s="43" t="str">
        <f t="shared" si="175"/>
        <v/>
      </c>
      <c r="J359" s="43" t="str">
        <f t="shared" si="175"/>
        <v/>
      </c>
      <c r="K359" s="43" t="str">
        <f t="shared" si="175"/>
        <v/>
      </c>
      <c r="L359" s="43" t="str">
        <f t="shared" si="175"/>
        <v/>
      </c>
      <c r="M359" s="43" t="str">
        <f t="shared" si="175"/>
        <v/>
      </c>
      <c r="N359" s="43" t="str">
        <f t="shared" si="175"/>
        <v/>
      </c>
      <c r="O359" s="43" t="str">
        <f t="shared" si="175"/>
        <v/>
      </c>
      <c r="P359" s="43" t="str">
        <f t="shared" si="175"/>
        <v/>
      </c>
      <c r="Q359" s="43" t="str">
        <f t="shared" si="175"/>
        <v/>
      </c>
      <c r="R359" s="43" t="str">
        <f t="shared" si="176"/>
        <v/>
      </c>
      <c r="S359" s="43" t="str">
        <f t="shared" si="176"/>
        <v/>
      </c>
      <c r="T359" s="43" t="str">
        <f t="shared" si="176"/>
        <v/>
      </c>
      <c r="U359" s="43" t="str">
        <f t="shared" si="176"/>
        <v/>
      </c>
      <c r="V359" s="43" t="str">
        <f t="shared" si="176"/>
        <v/>
      </c>
      <c r="W359" s="43" t="str">
        <f t="shared" si="176"/>
        <v/>
      </c>
      <c r="X359" s="43" t="str">
        <f t="shared" si="176"/>
        <v/>
      </c>
      <c r="Y359" s="43" t="str">
        <f t="shared" si="176"/>
        <v/>
      </c>
      <c r="Z359" s="43" t="str">
        <f t="shared" si="176"/>
        <v/>
      </c>
      <c r="AA359" s="43" t="str">
        <f t="shared" si="176"/>
        <v/>
      </c>
      <c r="AB359" s="43" t="str">
        <f t="shared" si="177"/>
        <v/>
      </c>
      <c r="AC359" s="43" t="str">
        <f t="shared" si="177"/>
        <v/>
      </c>
      <c r="AD359" s="43" t="str">
        <f t="shared" si="177"/>
        <v/>
      </c>
      <c r="AE359" s="43" t="str">
        <f t="shared" si="177"/>
        <v/>
      </c>
      <c r="AF359" s="43" t="str">
        <f t="shared" si="177"/>
        <v/>
      </c>
      <c r="AG359" s="43" t="str">
        <f t="shared" si="177"/>
        <v/>
      </c>
      <c r="AH359" s="43" t="str">
        <f t="shared" si="177"/>
        <v/>
      </c>
      <c r="AI359" s="43" t="str">
        <f t="shared" si="177"/>
        <v/>
      </c>
      <c r="AJ359" s="43" t="str">
        <f t="shared" si="177"/>
        <v/>
      </c>
      <c r="AK359" s="43" t="str">
        <f t="shared" si="177"/>
        <v/>
      </c>
      <c r="AL359" s="43" t="str">
        <f t="shared" si="178"/>
        <v/>
      </c>
      <c r="AM359" s="43" t="str">
        <f t="shared" si="178"/>
        <v/>
      </c>
      <c r="AN359" s="43" t="str">
        <f t="shared" si="178"/>
        <v/>
      </c>
      <c r="AO359" s="43" t="str">
        <f t="shared" si="178"/>
        <v/>
      </c>
      <c r="AP359" s="43" t="str">
        <f t="shared" si="178"/>
        <v/>
      </c>
      <c r="AQ359" s="43" t="str">
        <f t="shared" si="178"/>
        <v/>
      </c>
      <c r="AR359" s="43" t="str">
        <f t="shared" si="178"/>
        <v/>
      </c>
      <c r="AS359" s="43" t="str">
        <f t="shared" si="178"/>
        <v/>
      </c>
      <c r="AT359" s="43" t="str">
        <f t="shared" si="178"/>
        <v/>
      </c>
      <c r="AU359" s="43" t="str">
        <f t="shared" si="178"/>
        <v/>
      </c>
      <c r="AV359" s="43" t="str">
        <f t="shared" si="179"/>
        <v/>
      </c>
      <c r="AW359" s="43" t="str">
        <f t="shared" si="179"/>
        <v/>
      </c>
      <c r="AX359" s="43" t="str">
        <f t="shared" si="179"/>
        <v/>
      </c>
      <c r="AY359" s="43" t="str">
        <f t="shared" si="179"/>
        <v/>
      </c>
      <c r="AZ359" s="43" t="str">
        <f t="shared" si="179"/>
        <v/>
      </c>
      <c r="BA359" s="43" t="str">
        <f t="shared" si="179"/>
        <v/>
      </c>
      <c r="BB359" s="43"/>
      <c r="BC359" s="43"/>
      <c r="BD359" s="43"/>
      <c r="BE359" s="43"/>
      <c r="BF359" s="43"/>
      <c r="BG359" s="43"/>
      <c r="BW359" s="1250"/>
    </row>
    <row r="360" spans="1:75" x14ac:dyDescent="0.25">
      <c r="A360" s="1251"/>
      <c r="B360" s="462">
        <v>354</v>
      </c>
      <c r="C360" s="462"/>
      <c r="D360" s="1244"/>
      <c r="E360" s="1050"/>
      <c r="F360" s="1244"/>
      <c r="H360" s="43" t="str">
        <f t="shared" si="175"/>
        <v/>
      </c>
      <c r="I360" s="43" t="str">
        <f t="shared" si="175"/>
        <v/>
      </c>
      <c r="J360" s="43" t="str">
        <f t="shared" si="175"/>
        <v/>
      </c>
      <c r="K360" s="43" t="str">
        <f t="shared" si="175"/>
        <v/>
      </c>
      <c r="L360" s="43" t="str">
        <f t="shared" si="175"/>
        <v/>
      </c>
      <c r="M360" s="43" t="str">
        <f t="shared" si="175"/>
        <v/>
      </c>
      <c r="N360" s="43" t="str">
        <f t="shared" si="175"/>
        <v/>
      </c>
      <c r="O360" s="43" t="str">
        <f t="shared" si="175"/>
        <v/>
      </c>
      <c r="P360" s="43" t="str">
        <f t="shared" si="175"/>
        <v/>
      </c>
      <c r="Q360" s="43" t="str">
        <f t="shared" si="175"/>
        <v/>
      </c>
      <c r="R360" s="43" t="str">
        <f t="shared" si="176"/>
        <v/>
      </c>
      <c r="S360" s="43" t="str">
        <f t="shared" si="176"/>
        <v/>
      </c>
      <c r="T360" s="43" t="str">
        <f t="shared" si="176"/>
        <v/>
      </c>
      <c r="U360" s="43" t="str">
        <f t="shared" si="176"/>
        <v/>
      </c>
      <c r="V360" s="43" t="str">
        <f t="shared" si="176"/>
        <v/>
      </c>
      <c r="W360" s="43" t="str">
        <f t="shared" si="176"/>
        <v/>
      </c>
      <c r="X360" s="43" t="str">
        <f t="shared" si="176"/>
        <v/>
      </c>
      <c r="Y360" s="43" t="str">
        <f t="shared" si="176"/>
        <v/>
      </c>
      <c r="Z360" s="43" t="str">
        <f t="shared" si="176"/>
        <v/>
      </c>
      <c r="AA360" s="43" t="str">
        <f t="shared" si="176"/>
        <v/>
      </c>
      <c r="AB360" s="43" t="str">
        <f t="shared" si="177"/>
        <v/>
      </c>
      <c r="AC360" s="43" t="str">
        <f t="shared" si="177"/>
        <v/>
      </c>
      <c r="AD360" s="43" t="str">
        <f t="shared" si="177"/>
        <v/>
      </c>
      <c r="AE360" s="43" t="str">
        <f t="shared" si="177"/>
        <v/>
      </c>
      <c r="AF360" s="43" t="str">
        <f t="shared" si="177"/>
        <v/>
      </c>
      <c r="AG360" s="43" t="str">
        <f t="shared" si="177"/>
        <v/>
      </c>
      <c r="AH360" s="43" t="str">
        <f t="shared" si="177"/>
        <v/>
      </c>
      <c r="AI360" s="43" t="str">
        <f t="shared" si="177"/>
        <v/>
      </c>
      <c r="AJ360" s="43" t="str">
        <f t="shared" si="177"/>
        <v/>
      </c>
      <c r="AK360" s="43" t="str">
        <f t="shared" si="177"/>
        <v/>
      </c>
      <c r="AL360" s="43" t="str">
        <f t="shared" si="178"/>
        <v/>
      </c>
      <c r="AM360" s="43" t="str">
        <f t="shared" si="178"/>
        <v/>
      </c>
      <c r="AN360" s="43" t="str">
        <f t="shared" si="178"/>
        <v/>
      </c>
      <c r="AO360" s="43" t="str">
        <f t="shared" si="178"/>
        <v/>
      </c>
      <c r="AP360" s="43" t="str">
        <f t="shared" si="178"/>
        <v/>
      </c>
      <c r="AQ360" s="43" t="str">
        <f t="shared" si="178"/>
        <v/>
      </c>
      <c r="AR360" s="43" t="str">
        <f t="shared" si="178"/>
        <v/>
      </c>
      <c r="AS360" s="43" t="str">
        <f t="shared" si="178"/>
        <v/>
      </c>
      <c r="AT360" s="43" t="str">
        <f t="shared" si="178"/>
        <v/>
      </c>
      <c r="AU360" s="43" t="str">
        <f t="shared" si="178"/>
        <v/>
      </c>
      <c r="AV360" s="43" t="str">
        <f t="shared" si="179"/>
        <v/>
      </c>
      <c r="AW360" s="43" t="str">
        <f t="shared" si="179"/>
        <v/>
      </c>
      <c r="AX360" s="43" t="str">
        <f t="shared" si="179"/>
        <v/>
      </c>
      <c r="AY360" s="43" t="str">
        <f t="shared" si="179"/>
        <v/>
      </c>
      <c r="AZ360" s="43" t="str">
        <f t="shared" si="179"/>
        <v/>
      </c>
      <c r="BA360" s="43" t="str">
        <f t="shared" si="179"/>
        <v/>
      </c>
      <c r="BB360" s="43"/>
      <c r="BC360" s="43"/>
      <c r="BD360" s="43"/>
      <c r="BE360" s="43"/>
      <c r="BF360" s="43"/>
      <c r="BG360" s="43"/>
      <c r="BW360" s="1250"/>
    </row>
    <row r="361" spans="1:75" x14ac:dyDescent="0.25">
      <c r="A361" s="1251"/>
      <c r="B361" s="462">
        <v>355</v>
      </c>
      <c r="C361" s="462"/>
      <c r="D361" s="1244"/>
      <c r="E361" s="1050"/>
      <c r="F361" s="1244"/>
      <c r="H361" s="43" t="str">
        <f t="shared" si="175"/>
        <v/>
      </c>
      <c r="I361" s="43" t="str">
        <f t="shared" si="175"/>
        <v/>
      </c>
      <c r="J361" s="43" t="str">
        <f t="shared" si="175"/>
        <v/>
      </c>
      <c r="K361" s="43" t="str">
        <f t="shared" si="175"/>
        <v/>
      </c>
      <c r="L361" s="43" t="str">
        <f t="shared" si="175"/>
        <v/>
      </c>
      <c r="M361" s="43" t="str">
        <f t="shared" si="175"/>
        <v/>
      </c>
      <c r="N361" s="43" t="str">
        <f t="shared" si="175"/>
        <v/>
      </c>
      <c r="O361" s="43" t="str">
        <f t="shared" si="175"/>
        <v/>
      </c>
      <c r="P361" s="43" t="str">
        <f t="shared" si="175"/>
        <v/>
      </c>
      <c r="Q361" s="43" t="str">
        <f t="shared" si="175"/>
        <v/>
      </c>
      <c r="R361" s="43" t="str">
        <f t="shared" si="176"/>
        <v/>
      </c>
      <c r="S361" s="43" t="str">
        <f t="shared" si="176"/>
        <v/>
      </c>
      <c r="T361" s="43" t="str">
        <f t="shared" si="176"/>
        <v/>
      </c>
      <c r="U361" s="43" t="str">
        <f t="shared" si="176"/>
        <v/>
      </c>
      <c r="V361" s="43" t="str">
        <f t="shared" si="176"/>
        <v/>
      </c>
      <c r="W361" s="43" t="str">
        <f t="shared" si="176"/>
        <v/>
      </c>
      <c r="X361" s="43" t="str">
        <f t="shared" si="176"/>
        <v/>
      </c>
      <c r="Y361" s="43" t="str">
        <f t="shared" si="176"/>
        <v/>
      </c>
      <c r="Z361" s="43" t="str">
        <f t="shared" si="176"/>
        <v/>
      </c>
      <c r="AA361" s="43" t="str">
        <f t="shared" si="176"/>
        <v/>
      </c>
      <c r="AB361" s="43" t="str">
        <f t="shared" si="177"/>
        <v/>
      </c>
      <c r="AC361" s="43" t="str">
        <f t="shared" si="177"/>
        <v/>
      </c>
      <c r="AD361" s="43" t="str">
        <f t="shared" si="177"/>
        <v/>
      </c>
      <c r="AE361" s="43" t="str">
        <f t="shared" si="177"/>
        <v/>
      </c>
      <c r="AF361" s="43" t="str">
        <f t="shared" si="177"/>
        <v/>
      </c>
      <c r="AG361" s="43" t="str">
        <f t="shared" si="177"/>
        <v/>
      </c>
      <c r="AH361" s="43" t="str">
        <f t="shared" si="177"/>
        <v/>
      </c>
      <c r="AI361" s="43" t="str">
        <f t="shared" si="177"/>
        <v/>
      </c>
      <c r="AJ361" s="43" t="str">
        <f t="shared" si="177"/>
        <v/>
      </c>
      <c r="AK361" s="43" t="str">
        <f t="shared" si="177"/>
        <v/>
      </c>
      <c r="AL361" s="43" t="str">
        <f t="shared" si="178"/>
        <v/>
      </c>
      <c r="AM361" s="43" t="str">
        <f t="shared" si="178"/>
        <v/>
      </c>
      <c r="AN361" s="43" t="str">
        <f t="shared" si="178"/>
        <v/>
      </c>
      <c r="AO361" s="43" t="str">
        <f t="shared" si="178"/>
        <v/>
      </c>
      <c r="AP361" s="43" t="str">
        <f t="shared" si="178"/>
        <v/>
      </c>
      <c r="AQ361" s="43" t="str">
        <f t="shared" si="178"/>
        <v/>
      </c>
      <c r="AR361" s="43" t="str">
        <f t="shared" si="178"/>
        <v/>
      </c>
      <c r="AS361" s="43" t="str">
        <f t="shared" si="178"/>
        <v/>
      </c>
      <c r="AT361" s="43" t="str">
        <f t="shared" si="178"/>
        <v/>
      </c>
      <c r="AU361" s="43" t="str">
        <f t="shared" si="178"/>
        <v/>
      </c>
      <c r="AV361" s="43" t="str">
        <f t="shared" si="179"/>
        <v/>
      </c>
      <c r="AW361" s="43" t="str">
        <f t="shared" si="179"/>
        <v/>
      </c>
      <c r="AX361" s="43" t="str">
        <f t="shared" si="179"/>
        <v/>
      </c>
      <c r="AY361" s="43" t="str">
        <f t="shared" si="179"/>
        <v/>
      </c>
      <c r="AZ361" s="43" t="str">
        <f t="shared" si="179"/>
        <v/>
      </c>
      <c r="BA361" s="43" t="str">
        <f t="shared" si="179"/>
        <v/>
      </c>
      <c r="BB361" s="43"/>
      <c r="BC361" s="43"/>
      <c r="BD361" s="43"/>
      <c r="BE361" s="43"/>
      <c r="BF361" s="43"/>
      <c r="BG361" s="43"/>
      <c r="BW361" s="1250"/>
    </row>
    <row r="362" spans="1:75" x14ac:dyDescent="0.25">
      <c r="A362" s="1251"/>
      <c r="B362" s="462">
        <v>356</v>
      </c>
      <c r="C362" s="462"/>
      <c r="D362" s="1244"/>
      <c r="E362" s="1050"/>
      <c r="F362" s="1244"/>
      <c r="H362" s="43" t="str">
        <f t="shared" si="175"/>
        <v/>
      </c>
      <c r="I362" s="43" t="str">
        <f t="shared" si="175"/>
        <v/>
      </c>
      <c r="J362" s="43" t="str">
        <f t="shared" si="175"/>
        <v/>
      </c>
      <c r="K362" s="43" t="str">
        <f t="shared" si="175"/>
        <v/>
      </c>
      <c r="L362" s="43" t="str">
        <f t="shared" si="175"/>
        <v/>
      </c>
      <c r="M362" s="43" t="str">
        <f t="shared" si="175"/>
        <v/>
      </c>
      <c r="N362" s="43" t="str">
        <f t="shared" si="175"/>
        <v/>
      </c>
      <c r="O362" s="43" t="str">
        <f t="shared" si="175"/>
        <v/>
      </c>
      <c r="P362" s="43" t="str">
        <f t="shared" si="175"/>
        <v/>
      </c>
      <c r="Q362" s="43" t="str">
        <f t="shared" si="175"/>
        <v/>
      </c>
      <c r="R362" s="43" t="str">
        <f t="shared" si="176"/>
        <v/>
      </c>
      <c r="S362" s="43" t="str">
        <f t="shared" si="176"/>
        <v/>
      </c>
      <c r="T362" s="43" t="str">
        <f t="shared" si="176"/>
        <v/>
      </c>
      <c r="U362" s="43" t="str">
        <f t="shared" si="176"/>
        <v/>
      </c>
      <c r="V362" s="43" t="str">
        <f t="shared" si="176"/>
        <v/>
      </c>
      <c r="W362" s="43" t="str">
        <f t="shared" si="176"/>
        <v/>
      </c>
      <c r="X362" s="43" t="str">
        <f t="shared" si="176"/>
        <v/>
      </c>
      <c r="Y362" s="43" t="str">
        <f t="shared" si="176"/>
        <v/>
      </c>
      <c r="Z362" s="43" t="str">
        <f t="shared" si="176"/>
        <v/>
      </c>
      <c r="AA362" s="43" t="str">
        <f t="shared" si="176"/>
        <v/>
      </c>
      <c r="AB362" s="43" t="str">
        <f t="shared" si="177"/>
        <v/>
      </c>
      <c r="AC362" s="43" t="str">
        <f t="shared" si="177"/>
        <v/>
      </c>
      <c r="AD362" s="43" t="str">
        <f t="shared" si="177"/>
        <v/>
      </c>
      <c r="AE362" s="43" t="str">
        <f t="shared" si="177"/>
        <v/>
      </c>
      <c r="AF362" s="43" t="str">
        <f t="shared" si="177"/>
        <v/>
      </c>
      <c r="AG362" s="43" t="str">
        <f t="shared" si="177"/>
        <v/>
      </c>
      <c r="AH362" s="43" t="str">
        <f t="shared" si="177"/>
        <v/>
      </c>
      <c r="AI362" s="43" t="str">
        <f t="shared" si="177"/>
        <v/>
      </c>
      <c r="AJ362" s="43" t="str">
        <f t="shared" si="177"/>
        <v/>
      </c>
      <c r="AK362" s="43" t="str">
        <f t="shared" si="177"/>
        <v/>
      </c>
      <c r="AL362" s="43" t="str">
        <f t="shared" si="178"/>
        <v/>
      </c>
      <c r="AM362" s="43" t="str">
        <f t="shared" si="178"/>
        <v/>
      </c>
      <c r="AN362" s="43" t="str">
        <f t="shared" si="178"/>
        <v/>
      </c>
      <c r="AO362" s="43" t="str">
        <f t="shared" si="178"/>
        <v/>
      </c>
      <c r="AP362" s="43" t="str">
        <f t="shared" si="178"/>
        <v/>
      </c>
      <c r="AQ362" s="43" t="str">
        <f t="shared" si="178"/>
        <v/>
      </c>
      <c r="AR362" s="43" t="str">
        <f t="shared" si="178"/>
        <v/>
      </c>
      <c r="AS362" s="43" t="str">
        <f t="shared" si="178"/>
        <v/>
      </c>
      <c r="AT362" s="43" t="str">
        <f t="shared" si="178"/>
        <v/>
      </c>
      <c r="AU362" s="43" t="str">
        <f t="shared" si="178"/>
        <v/>
      </c>
      <c r="AV362" s="43" t="str">
        <f t="shared" si="179"/>
        <v/>
      </c>
      <c r="AW362" s="43" t="str">
        <f t="shared" si="179"/>
        <v/>
      </c>
      <c r="AX362" s="43" t="str">
        <f t="shared" si="179"/>
        <v/>
      </c>
      <c r="AY362" s="43" t="str">
        <f t="shared" si="179"/>
        <v/>
      </c>
      <c r="AZ362" s="43" t="str">
        <f t="shared" si="179"/>
        <v/>
      </c>
      <c r="BA362" s="43" t="str">
        <f t="shared" si="179"/>
        <v/>
      </c>
      <c r="BB362" s="43"/>
      <c r="BC362" s="43"/>
      <c r="BD362" s="43"/>
      <c r="BE362" s="43"/>
      <c r="BF362" s="43"/>
      <c r="BG362" s="43"/>
      <c r="BW362" s="1250"/>
    </row>
    <row r="363" spans="1:75" x14ac:dyDescent="0.25">
      <c r="A363" s="1251"/>
      <c r="B363" s="462">
        <v>357</v>
      </c>
      <c r="C363" s="462"/>
      <c r="D363" s="1244"/>
      <c r="E363" s="1050"/>
      <c r="F363" s="1244"/>
      <c r="H363" s="43" t="str">
        <f t="shared" si="175"/>
        <v/>
      </c>
      <c r="I363" s="43" t="str">
        <f t="shared" si="175"/>
        <v/>
      </c>
      <c r="J363" s="43" t="str">
        <f t="shared" si="175"/>
        <v/>
      </c>
      <c r="K363" s="43" t="str">
        <f t="shared" si="175"/>
        <v/>
      </c>
      <c r="L363" s="43" t="str">
        <f t="shared" si="175"/>
        <v/>
      </c>
      <c r="M363" s="43" t="str">
        <f t="shared" si="175"/>
        <v/>
      </c>
      <c r="N363" s="43" t="str">
        <f t="shared" si="175"/>
        <v/>
      </c>
      <c r="O363" s="43" t="str">
        <f t="shared" si="175"/>
        <v/>
      </c>
      <c r="P363" s="43" t="str">
        <f t="shared" si="175"/>
        <v/>
      </c>
      <c r="Q363" s="43" t="str">
        <f t="shared" si="175"/>
        <v/>
      </c>
      <c r="R363" s="43" t="str">
        <f t="shared" si="176"/>
        <v/>
      </c>
      <c r="S363" s="43" t="str">
        <f t="shared" si="176"/>
        <v/>
      </c>
      <c r="T363" s="43" t="str">
        <f t="shared" si="176"/>
        <v/>
      </c>
      <c r="U363" s="43" t="str">
        <f t="shared" si="176"/>
        <v/>
      </c>
      <c r="V363" s="43" t="str">
        <f t="shared" si="176"/>
        <v/>
      </c>
      <c r="W363" s="43" t="str">
        <f t="shared" si="176"/>
        <v/>
      </c>
      <c r="X363" s="43" t="str">
        <f t="shared" si="176"/>
        <v/>
      </c>
      <c r="Y363" s="43" t="str">
        <f t="shared" si="176"/>
        <v/>
      </c>
      <c r="Z363" s="43" t="str">
        <f t="shared" si="176"/>
        <v/>
      </c>
      <c r="AA363" s="43" t="str">
        <f t="shared" si="176"/>
        <v/>
      </c>
      <c r="AB363" s="43" t="str">
        <f t="shared" si="177"/>
        <v/>
      </c>
      <c r="AC363" s="43" t="str">
        <f t="shared" si="177"/>
        <v/>
      </c>
      <c r="AD363" s="43" t="str">
        <f t="shared" si="177"/>
        <v/>
      </c>
      <c r="AE363" s="43" t="str">
        <f t="shared" si="177"/>
        <v/>
      </c>
      <c r="AF363" s="43" t="str">
        <f t="shared" si="177"/>
        <v/>
      </c>
      <c r="AG363" s="43" t="str">
        <f t="shared" si="177"/>
        <v/>
      </c>
      <c r="AH363" s="43" t="str">
        <f t="shared" si="177"/>
        <v/>
      </c>
      <c r="AI363" s="43" t="str">
        <f t="shared" si="177"/>
        <v/>
      </c>
      <c r="AJ363" s="43" t="str">
        <f t="shared" si="177"/>
        <v/>
      </c>
      <c r="AK363" s="43" t="str">
        <f t="shared" si="177"/>
        <v/>
      </c>
      <c r="AL363" s="43" t="str">
        <f t="shared" si="178"/>
        <v/>
      </c>
      <c r="AM363" s="43" t="str">
        <f t="shared" si="178"/>
        <v/>
      </c>
      <c r="AN363" s="43" t="str">
        <f t="shared" si="178"/>
        <v/>
      </c>
      <c r="AO363" s="43" t="str">
        <f t="shared" si="178"/>
        <v/>
      </c>
      <c r="AP363" s="43" t="str">
        <f t="shared" si="178"/>
        <v/>
      </c>
      <c r="AQ363" s="43" t="str">
        <f t="shared" si="178"/>
        <v/>
      </c>
      <c r="AR363" s="43" t="str">
        <f t="shared" si="178"/>
        <v/>
      </c>
      <c r="AS363" s="43" t="str">
        <f t="shared" si="178"/>
        <v/>
      </c>
      <c r="AT363" s="43" t="str">
        <f t="shared" si="178"/>
        <v/>
      </c>
      <c r="AU363" s="43" t="str">
        <f t="shared" si="178"/>
        <v/>
      </c>
      <c r="AV363" s="43" t="str">
        <f t="shared" si="179"/>
        <v/>
      </c>
      <c r="AW363" s="43" t="str">
        <f t="shared" si="179"/>
        <v/>
      </c>
      <c r="AX363" s="43" t="str">
        <f t="shared" si="179"/>
        <v/>
      </c>
      <c r="AY363" s="43" t="str">
        <f t="shared" si="179"/>
        <v/>
      </c>
      <c r="AZ363" s="43" t="str">
        <f t="shared" si="179"/>
        <v/>
      </c>
      <c r="BA363" s="43" t="str">
        <f t="shared" si="179"/>
        <v/>
      </c>
      <c r="BB363" s="43"/>
      <c r="BC363" s="43"/>
      <c r="BD363" s="43"/>
      <c r="BE363" s="43"/>
      <c r="BF363" s="43"/>
      <c r="BG363" s="43"/>
      <c r="BW363" s="1250"/>
    </row>
    <row r="364" spans="1:75" x14ac:dyDescent="0.25">
      <c r="A364" s="1251"/>
      <c r="B364" s="462">
        <v>358</v>
      </c>
      <c r="C364" s="462"/>
      <c r="D364" s="1244"/>
      <c r="E364" s="1050"/>
      <c r="F364" s="1244"/>
      <c r="H364" s="43" t="str">
        <f t="shared" si="175"/>
        <v/>
      </c>
      <c r="I364" s="43" t="str">
        <f t="shared" si="175"/>
        <v/>
      </c>
      <c r="J364" s="43" t="str">
        <f t="shared" si="175"/>
        <v/>
      </c>
      <c r="K364" s="43" t="str">
        <f t="shared" si="175"/>
        <v/>
      </c>
      <c r="L364" s="43" t="str">
        <f t="shared" si="175"/>
        <v/>
      </c>
      <c r="M364" s="43" t="str">
        <f t="shared" si="175"/>
        <v/>
      </c>
      <c r="N364" s="43" t="str">
        <f t="shared" si="175"/>
        <v/>
      </c>
      <c r="O364" s="43" t="str">
        <f t="shared" si="175"/>
        <v/>
      </c>
      <c r="P364" s="43" t="str">
        <f t="shared" si="175"/>
        <v/>
      </c>
      <c r="Q364" s="43" t="str">
        <f t="shared" si="175"/>
        <v/>
      </c>
      <c r="R364" s="43" t="str">
        <f t="shared" si="176"/>
        <v/>
      </c>
      <c r="S364" s="43" t="str">
        <f t="shared" si="176"/>
        <v/>
      </c>
      <c r="T364" s="43" t="str">
        <f t="shared" si="176"/>
        <v/>
      </c>
      <c r="U364" s="43" t="str">
        <f t="shared" si="176"/>
        <v/>
      </c>
      <c r="V364" s="43" t="str">
        <f t="shared" si="176"/>
        <v/>
      </c>
      <c r="W364" s="43" t="str">
        <f t="shared" si="176"/>
        <v/>
      </c>
      <c r="X364" s="43" t="str">
        <f t="shared" si="176"/>
        <v/>
      </c>
      <c r="Y364" s="43" t="str">
        <f t="shared" si="176"/>
        <v/>
      </c>
      <c r="Z364" s="43" t="str">
        <f t="shared" si="176"/>
        <v/>
      </c>
      <c r="AA364" s="43" t="str">
        <f t="shared" si="176"/>
        <v/>
      </c>
      <c r="AB364" s="43" t="str">
        <f t="shared" si="177"/>
        <v/>
      </c>
      <c r="AC364" s="43" t="str">
        <f t="shared" si="177"/>
        <v/>
      </c>
      <c r="AD364" s="43" t="str">
        <f t="shared" si="177"/>
        <v/>
      </c>
      <c r="AE364" s="43" t="str">
        <f t="shared" si="177"/>
        <v/>
      </c>
      <c r="AF364" s="43" t="str">
        <f t="shared" si="177"/>
        <v/>
      </c>
      <c r="AG364" s="43" t="str">
        <f t="shared" si="177"/>
        <v/>
      </c>
      <c r="AH364" s="43" t="str">
        <f t="shared" si="177"/>
        <v/>
      </c>
      <c r="AI364" s="43" t="str">
        <f t="shared" si="177"/>
        <v/>
      </c>
      <c r="AJ364" s="43" t="str">
        <f t="shared" si="177"/>
        <v/>
      </c>
      <c r="AK364" s="43" t="str">
        <f t="shared" si="177"/>
        <v/>
      </c>
      <c r="AL364" s="43" t="str">
        <f t="shared" si="178"/>
        <v/>
      </c>
      <c r="AM364" s="43" t="str">
        <f t="shared" si="178"/>
        <v/>
      </c>
      <c r="AN364" s="43" t="str">
        <f t="shared" si="178"/>
        <v/>
      </c>
      <c r="AO364" s="43" t="str">
        <f t="shared" si="178"/>
        <v/>
      </c>
      <c r="AP364" s="43" t="str">
        <f t="shared" si="178"/>
        <v/>
      </c>
      <c r="AQ364" s="43" t="str">
        <f t="shared" si="178"/>
        <v/>
      </c>
      <c r="AR364" s="43" t="str">
        <f t="shared" si="178"/>
        <v/>
      </c>
      <c r="AS364" s="43" t="str">
        <f t="shared" si="178"/>
        <v/>
      </c>
      <c r="AT364" s="43" t="str">
        <f t="shared" si="178"/>
        <v/>
      </c>
      <c r="AU364" s="43" t="str">
        <f t="shared" si="178"/>
        <v/>
      </c>
      <c r="AV364" s="43" t="str">
        <f t="shared" si="179"/>
        <v/>
      </c>
      <c r="AW364" s="43" t="str">
        <f t="shared" si="179"/>
        <v/>
      </c>
      <c r="AX364" s="43" t="str">
        <f t="shared" si="179"/>
        <v/>
      </c>
      <c r="AY364" s="43" t="str">
        <f t="shared" si="179"/>
        <v/>
      </c>
      <c r="AZ364" s="43" t="str">
        <f t="shared" si="179"/>
        <v/>
      </c>
      <c r="BA364" s="43" t="str">
        <f t="shared" si="179"/>
        <v/>
      </c>
      <c r="BB364" s="43"/>
      <c r="BC364" s="43"/>
      <c r="BD364" s="43"/>
      <c r="BE364" s="43"/>
      <c r="BF364" s="43"/>
      <c r="BG364" s="43"/>
      <c r="BW364" s="1250"/>
    </row>
    <row r="365" spans="1:75" x14ac:dyDescent="0.25">
      <c r="A365" s="1251"/>
      <c r="B365" s="462">
        <v>359</v>
      </c>
      <c r="C365" s="462"/>
      <c r="D365" s="1244"/>
      <c r="E365" s="1050"/>
      <c r="F365" s="1244"/>
      <c r="H365" s="43" t="str">
        <f t="shared" si="175"/>
        <v/>
      </c>
      <c r="I365" s="43" t="str">
        <f t="shared" si="175"/>
        <v/>
      </c>
      <c r="J365" s="43" t="str">
        <f t="shared" si="175"/>
        <v/>
      </c>
      <c r="K365" s="43" t="str">
        <f t="shared" si="175"/>
        <v/>
      </c>
      <c r="L365" s="43" t="str">
        <f t="shared" si="175"/>
        <v/>
      </c>
      <c r="M365" s="43" t="str">
        <f t="shared" si="175"/>
        <v/>
      </c>
      <c r="N365" s="43" t="str">
        <f t="shared" si="175"/>
        <v/>
      </c>
      <c r="O365" s="43" t="str">
        <f t="shared" si="175"/>
        <v/>
      </c>
      <c r="P365" s="43" t="str">
        <f t="shared" si="175"/>
        <v/>
      </c>
      <c r="Q365" s="43" t="str">
        <f t="shared" si="175"/>
        <v/>
      </c>
      <c r="R365" s="43" t="str">
        <f t="shared" si="176"/>
        <v/>
      </c>
      <c r="S365" s="43" t="str">
        <f t="shared" si="176"/>
        <v/>
      </c>
      <c r="T365" s="43" t="str">
        <f t="shared" si="176"/>
        <v/>
      </c>
      <c r="U365" s="43" t="str">
        <f t="shared" si="176"/>
        <v/>
      </c>
      <c r="V365" s="43" t="str">
        <f t="shared" si="176"/>
        <v/>
      </c>
      <c r="W365" s="43" t="str">
        <f t="shared" si="176"/>
        <v/>
      </c>
      <c r="X365" s="43" t="str">
        <f t="shared" si="176"/>
        <v/>
      </c>
      <c r="Y365" s="43" t="str">
        <f t="shared" si="176"/>
        <v/>
      </c>
      <c r="Z365" s="43" t="str">
        <f t="shared" si="176"/>
        <v/>
      </c>
      <c r="AA365" s="43" t="str">
        <f t="shared" si="176"/>
        <v/>
      </c>
      <c r="AB365" s="43" t="str">
        <f t="shared" si="177"/>
        <v/>
      </c>
      <c r="AC365" s="43" t="str">
        <f t="shared" si="177"/>
        <v/>
      </c>
      <c r="AD365" s="43" t="str">
        <f t="shared" si="177"/>
        <v/>
      </c>
      <c r="AE365" s="43" t="str">
        <f t="shared" si="177"/>
        <v/>
      </c>
      <c r="AF365" s="43" t="str">
        <f t="shared" si="177"/>
        <v/>
      </c>
      <c r="AG365" s="43" t="str">
        <f t="shared" si="177"/>
        <v/>
      </c>
      <c r="AH365" s="43" t="str">
        <f t="shared" si="177"/>
        <v/>
      </c>
      <c r="AI365" s="43" t="str">
        <f t="shared" si="177"/>
        <v/>
      </c>
      <c r="AJ365" s="43" t="str">
        <f t="shared" si="177"/>
        <v/>
      </c>
      <c r="AK365" s="43" t="str">
        <f t="shared" si="177"/>
        <v/>
      </c>
      <c r="AL365" s="43" t="str">
        <f t="shared" si="178"/>
        <v/>
      </c>
      <c r="AM365" s="43" t="str">
        <f t="shared" si="178"/>
        <v/>
      </c>
      <c r="AN365" s="43" t="str">
        <f t="shared" si="178"/>
        <v/>
      </c>
      <c r="AO365" s="43" t="str">
        <f t="shared" si="178"/>
        <v/>
      </c>
      <c r="AP365" s="43" t="str">
        <f t="shared" si="178"/>
        <v/>
      </c>
      <c r="AQ365" s="43" t="str">
        <f t="shared" si="178"/>
        <v/>
      </c>
      <c r="AR365" s="43" t="str">
        <f t="shared" si="178"/>
        <v/>
      </c>
      <c r="AS365" s="43" t="str">
        <f t="shared" si="178"/>
        <v/>
      </c>
      <c r="AT365" s="43" t="str">
        <f t="shared" si="178"/>
        <v/>
      </c>
      <c r="AU365" s="43" t="str">
        <f t="shared" si="178"/>
        <v/>
      </c>
      <c r="AV365" s="43" t="str">
        <f t="shared" si="179"/>
        <v/>
      </c>
      <c r="AW365" s="43" t="str">
        <f t="shared" si="179"/>
        <v/>
      </c>
      <c r="AX365" s="43" t="str">
        <f t="shared" si="179"/>
        <v/>
      </c>
      <c r="AY365" s="43" t="str">
        <f t="shared" si="179"/>
        <v/>
      </c>
      <c r="AZ365" s="43" t="str">
        <f t="shared" si="179"/>
        <v/>
      </c>
      <c r="BA365" s="43" t="str">
        <f t="shared" si="179"/>
        <v/>
      </c>
      <c r="BB365" s="43"/>
      <c r="BC365" s="43"/>
      <c r="BD365" s="43"/>
      <c r="BE365" s="43"/>
      <c r="BF365" s="43"/>
      <c r="BG365" s="43"/>
      <c r="BW365" s="1250"/>
    </row>
    <row r="366" spans="1:75" x14ac:dyDescent="0.25">
      <c r="A366" s="1251"/>
      <c r="B366" s="462">
        <v>360</v>
      </c>
      <c r="C366" s="462"/>
      <c r="D366" s="1244"/>
      <c r="E366" s="1050"/>
      <c r="F366" s="1244"/>
      <c r="H366" s="43" t="str">
        <f t="shared" si="175"/>
        <v/>
      </c>
      <c r="I366" s="43" t="str">
        <f t="shared" si="175"/>
        <v/>
      </c>
      <c r="J366" s="43" t="str">
        <f t="shared" si="175"/>
        <v/>
      </c>
      <c r="K366" s="43" t="str">
        <f t="shared" si="175"/>
        <v/>
      </c>
      <c r="L366" s="43" t="str">
        <f t="shared" si="175"/>
        <v/>
      </c>
      <c r="M366" s="43" t="str">
        <f t="shared" si="175"/>
        <v/>
      </c>
      <c r="N366" s="43" t="str">
        <f t="shared" si="175"/>
        <v/>
      </c>
      <c r="O366" s="43" t="str">
        <f t="shared" si="175"/>
        <v/>
      </c>
      <c r="P366" s="43" t="str">
        <f t="shared" si="175"/>
        <v/>
      </c>
      <c r="Q366" s="43" t="str">
        <f t="shared" si="175"/>
        <v/>
      </c>
      <c r="R366" s="43" t="str">
        <f t="shared" si="176"/>
        <v/>
      </c>
      <c r="S366" s="43" t="str">
        <f t="shared" si="176"/>
        <v/>
      </c>
      <c r="T366" s="43" t="str">
        <f t="shared" si="176"/>
        <v/>
      </c>
      <c r="U366" s="43" t="str">
        <f t="shared" si="176"/>
        <v/>
      </c>
      <c r="V366" s="43" t="str">
        <f t="shared" si="176"/>
        <v/>
      </c>
      <c r="W366" s="43" t="str">
        <f t="shared" si="176"/>
        <v/>
      </c>
      <c r="X366" s="43" t="str">
        <f t="shared" si="176"/>
        <v/>
      </c>
      <c r="Y366" s="43" t="str">
        <f t="shared" si="176"/>
        <v/>
      </c>
      <c r="Z366" s="43" t="str">
        <f t="shared" si="176"/>
        <v/>
      </c>
      <c r="AA366" s="43" t="str">
        <f t="shared" si="176"/>
        <v/>
      </c>
      <c r="AB366" s="43" t="str">
        <f t="shared" si="177"/>
        <v/>
      </c>
      <c r="AC366" s="43" t="str">
        <f t="shared" si="177"/>
        <v/>
      </c>
      <c r="AD366" s="43" t="str">
        <f t="shared" si="177"/>
        <v/>
      </c>
      <c r="AE366" s="43" t="str">
        <f t="shared" si="177"/>
        <v/>
      </c>
      <c r="AF366" s="43" t="str">
        <f t="shared" si="177"/>
        <v/>
      </c>
      <c r="AG366" s="43" t="str">
        <f t="shared" si="177"/>
        <v/>
      </c>
      <c r="AH366" s="43" t="str">
        <f t="shared" si="177"/>
        <v/>
      </c>
      <c r="AI366" s="43" t="str">
        <f t="shared" si="177"/>
        <v/>
      </c>
      <c r="AJ366" s="43" t="str">
        <f t="shared" si="177"/>
        <v/>
      </c>
      <c r="AK366" s="43" t="str">
        <f t="shared" si="177"/>
        <v/>
      </c>
      <c r="AL366" s="43" t="str">
        <f t="shared" si="178"/>
        <v/>
      </c>
      <c r="AM366" s="43" t="str">
        <f t="shared" si="178"/>
        <v/>
      </c>
      <c r="AN366" s="43" t="str">
        <f t="shared" si="178"/>
        <v/>
      </c>
      <c r="AO366" s="43" t="str">
        <f t="shared" si="178"/>
        <v/>
      </c>
      <c r="AP366" s="43" t="str">
        <f t="shared" si="178"/>
        <v/>
      </c>
      <c r="AQ366" s="43" t="str">
        <f t="shared" si="178"/>
        <v/>
      </c>
      <c r="AR366" s="43" t="str">
        <f t="shared" si="178"/>
        <v/>
      </c>
      <c r="AS366" s="43" t="str">
        <f t="shared" si="178"/>
        <v/>
      </c>
      <c r="AT366" s="43" t="str">
        <f t="shared" si="178"/>
        <v/>
      </c>
      <c r="AU366" s="43" t="str">
        <f t="shared" si="178"/>
        <v/>
      </c>
      <c r="AV366" s="43" t="str">
        <f t="shared" si="179"/>
        <v/>
      </c>
      <c r="AW366" s="43" t="str">
        <f t="shared" si="179"/>
        <v/>
      </c>
      <c r="AX366" s="43" t="str">
        <f t="shared" si="179"/>
        <v/>
      </c>
      <c r="AY366" s="43" t="str">
        <f t="shared" si="179"/>
        <v/>
      </c>
      <c r="AZ366" s="43" t="str">
        <f t="shared" si="179"/>
        <v/>
      </c>
      <c r="BA366" s="43" t="str">
        <f t="shared" si="179"/>
        <v/>
      </c>
      <c r="BB366" s="43"/>
      <c r="BC366" s="43"/>
      <c r="BD366" s="43"/>
      <c r="BE366" s="43"/>
      <c r="BF366" s="43"/>
      <c r="BG366" s="43"/>
      <c r="BW366" s="1250"/>
    </row>
    <row r="367" spans="1:75" x14ac:dyDescent="0.25">
      <c r="A367" s="1251"/>
      <c r="B367" s="462">
        <v>361</v>
      </c>
      <c r="C367" s="462"/>
      <c r="D367" s="1244"/>
      <c r="E367" s="1050"/>
      <c r="F367" s="1244"/>
      <c r="H367" s="43" t="str">
        <f t="shared" ref="H367:Q376" si="180">IF($D367=H$6,$B367&amp;", ","")</f>
        <v/>
      </c>
      <c r="I367" s="43" t="str">
        <f t="shared" si="180"/>
        <v/>
      </c>
      <c r="J367" s="43" t="str">
        <f t="shared" si="180"/>
        <v/>
      </c>
      <c r="K367" s="43" t="str">
        <f t="shared" si="180"/>
        <v/>
      </c>
      <c r="L367" s="43" t="str">
        <f t="shared" si="180"/>
        <v/>
      </c>
      <c r="M367" s="43" t="str">
        <f t="shared" si="180"/>
        <v/>
      </c>
      <c r="N367" s="43" t="str">
        <f t="shared" si="180"/>
        <v/>
      </c>
      <c r="O367" s="43" t="str">
        <f t="shared" si="180"/>
        <v/>
      </c>
      <c r="P367" s="43" t="str">
        <f t="shared" si="180"/>
        <v/>
      </c>
      <c r="Q367" s="43" t="str">
        <f t="shared" si="180"/>
        <v/>
      </c>
      <c r="R367" s="43" t="str">
        <f t="shared" ref="R367:AA376" si="181">IF($D367=R$6,$B367&amp;", ","")</f>
        <v/>
      </c>
      <c r="S367" s="43" t="str">
        <f t="shared" si="181"/>
        <v/>
      </c>
      <c r="T367" s="43" t="str">
        <f t="shared" si="181"/>
        <v/>
      </c>
      <c r="U367" s="43" t="str">
        <f t="shared" si="181"/>
        <v/>
      </c>
      <c r="V367" s="43" t="str">
        <f t="shared" si="181"/>
        <v/>
      </c>
      <c r="W367" s="43" t="str">
        <f t="shared" si="181"/>
        <v/>
      </c>
      <c r="X367" s="43" t="str">
        <f t="shared" si="181"/>
        <v/>
      </c>
      <c r="Y367" s="43" t="str">
        <f t="shared" si="181"/>
        <v/>
      </c>
      <c r="Z367" s="43" t="str">
        <f t="shared" si="181"/>
        <v/>
      </c>
      <c r="AA367" s="43" t="str">
        <f t="shared" si="181"/>
        <v/>
      </c>
      <c r="AB367" s="43" t="str">
        <f t="shared" ref="AB367:AK376" si="182">IF($D367=AB$6,$B367&amp;", ","")</f>
        <v/>
      </c>
      <c r="AC367" s="43" t="str">
        <f t="shared" si="182"/>
        <v/>
      </c>
      <c r="AD367" s="43" t="str">
        <f t="shared" si="182"/>
        <v/>
      </c>
      <c r="AE367" s="43" t="str">
        <f t="shared" si="182"/>
        <v/>
      </c>
      <c r="AF367" s="43" t="str">
        <f t="shared" si="182"/>
        <v/>
      </c>
      <c r="AG367" s="43" t="str">
        <f t="shared" si="182"/>
        <v/>
      </c>
      <c r="AH367" s="43" t="str">
        <f t="shared" si="182"/>
        <v/>
      </c>
      <c r="AI367" s="43" t="str">
        <f t="shared" si="182"/>
        <v/>
      </c>
      <c r="AJ367" s="43" t="str">
        <f t="shared" si="182"/>
        <v/>
      </c>
      <c r="AK367" s="43" t="str">
        <f t="shared" si="182"/>
        <v/>
      </c>
      <c r="AL367" s="43" t="str">
        <f t="shared" ref="AL367:AU376" si="183">IF($D367=AL$6,$B367&amp;", ","")</f>
        <v/>
      </c>
      <c r="AM367" s="43" t="str">
        <f t="shared" si="183"/>
        <v/>
      </c>
      <c r="AN367" s="43" t="str">
        <f t="shared" si="183"/>
        <v/>
      </c>
      <c r="AO367" s="43" t="str">
        <f t="shared" si="183"/>
        <v/>
      </c>
      <c r="AP367" s="43" t="str">
        <f t="shared" si="183"/>
        <v/>
      </c>
      <c r="AQ367" s="43" t="str">
        <f t="shared" si="183"/>
        <v/>
      </c>
      <c r="AR367" s="43" t="str">
        <f t="shared" si="183"/>
        <v/>
      </c>
      <c r="AS367" s="43" t="str">
        <f t="shared" si="183"/>
        <v/>
      </c>
      <c r="AT367" s="43" t="str">
        <f t="shared" si="183"/>
        <v/>
      </c>
      <c r="AU367" s="43" t="str">
        <f t="shared" si="183"/>
        <v/>
      </c>
      <c r="AV367" s="43" t="str">
        <f t="shared" ref="AV367:BA376" si="184">IF($D367=AV$6,$B367&amp;", ","")</f>
        <v/>
      </c>
      <c r="AW367" s="43" t="str">
        <f t="shared" si="184"/>
        <v/>
      </c>
      <c r="AX367" s="43" t="str">
        <f t="shared" si="184"/>
        <v/>
      </c>
      <c r="AY367" s="43" t="str">
        <f t="shared" si="184"/>
        <v/>
      </c>
      <c r="AZ367" s="43" t="str">
        <f t="shared" si="184"/>
        <v/>
      </c>
      <c r="BA367" s="43" t="str">
        <f t="shared" si="184"/>
        <v/>
      </c>
      <c r="BB367" s="43"/>
      <c r="BC367" s="43"/>
      <c r="BD367" s="43"/>
      <c r="BE367" s="43"/>
      <c r="BF367" s="43"/>
      <c r="BG367" s="43"/>
      <c r="BW367" s="1250"/>
    </row>
    <row r="368" spans="1:75" x14ac:dyDescent="0.25">
      <c r="A368" s="1251"/>
      <c r="B368" s="462">
        <v>362</v>
      </c>
      <c r="C368" s="462"/>
      <c r="D368" s="1244"/>
      <c r="E368" s="1050"/>
      <c r="F368" s="1244"/>
      <c r="H368" s="43" t="str">
        <f t="shared" si="180"/>
        <v/>
      </c>
      <c r="I368" s="43" t="str">
        <f t="shared" si="180"/>
        <v/>
      </c>
      <c r="J368" s="43" t="str">
        <f t="shared" si="180"/>
        <v/>
      </c>
      <c r="K368" s="43" t="str">
        <f t="shared" si="180"/>
        <v/>
      </c>
      <c r="L368" s="43" t="str">
        <f t="shared" si="180"/>
        <v/>
      </c>
      <c r="M368" s="43" t="str">
        <f t="shared" si="180"/>
        <v/>
      </c>
      <c r="N368" s="43" t="str">
        <f t="shared" si="180"/>
        <v/>
      </c>
      <c r="O368" s="43" t="str">
        <f t="shared" si="180"/>
        <v/>
      </c>
      <c r="P368" s="43" t="str">
        <f t="shared" si="180"/>
        <v/>
      </c>
      <c r="Q368" s="43" t="str">
        <f t="shared" si="180"/>
        <v/>
      </c>
      <c r="R368" s="43" t="str">
        <f t="shared" si="181"/>
        <v/>
      </c>
      <c r="S368" s="43" t="str">
        <f t="shared" si="181"/>
        <v/>
      </c>
      <c r="T368" s="43" t="str">
        <f t="shared" si="181"/>
        <v/>
      </c>
      <c r="U368" s="43" t="str">
        <f t="shared" si="181"/>
        <v/>
      </c>
      <c r="V368" s="43" t="str">
        <f t="shared" si="181"/>
        <v/>
      </c>
      <c r="W368" s="43" t="str">
        <f t="shared" si="181"/>
        <v/>
      </c>
      <c r="X368" s="43" t="str">
        <f t="shared" si="181"/>
        <v/>
      </c>
      <c r="Y368" s="43" t="str">
        <f t="shared" si="181"/>
        <v/>
      </c>
      <c r="Z368" s="43" t="str">
        <f t="shared" si="181"/>
        <v/>
      </c>
      <c r="AA368" s="43" t="str">
        <f t="shared" si="181"/>
        <v/>
      </c>
      <c r="AB368" s="43" t="str">
        <f t="shared" si="182"/>
        <v/>
      </c>
      <c r="AC368" s="43" t="str">
        <f t="shared" si="182"/>
        <v/>
      </c>
      <c r="AD368" s="43" t="str">
        <f t="shared" si="182"/>
        <v/>
      </c>
      <c r="AE368" s="43" t="str">
        <f t="shared" si="182"/>
        <v/>
      </c>
      <c r="AF368" s="43" t="str">
        <f t="shared" si="182"/>
        <v/>
      </c>
      <c r="AG368" s="43" t="str">
        <f t="shared" si="182"/>
        <v/>
      </c>
      <c r="AH368" s="43" t="str">
        <f t="shared" si="182"/>
        <v/>
      </c>
      <c r="AI368" s="43" t="str">
        <f t="shared" si="182"/>
        <v/>
      </c>
      <c r="AJ368" s="43" t="str">
        <f t="shared" si="182"/>
        <v/>
      </c>
      <c r="AK368" s="43" t="str">
        <f t="shared" si="182"/>
        <v/>
      </c>
      <c r="AL368" s="43" t="str">
        <f t="shared" si="183"/>
        <v/>
      </c>
      <c r="AM368" s="43" t="str">
        <f t="shared" si="183"/>
        <v/>
      </c>
      <c r="AN368" s="43" t="str">
        <f t="shared" si="183"/>
        <v/>
      </c>
      <c r="AO368" s="43" t="str">
        <f t="shared" si="183"/>
        <v/>
      </c>
      <c r="AP368" s="43" t="str">
        <f t="shared" si="183"/>
        <v/>
      </c>
      <c r="AQ368" s="43" t="str">
        <f t="shared" si="183"/>
        <v/>
      </c>
      <c r="AR368" s="43" t="str">
        <f t="shared" si="183"/>
        <v/>
      </c>
      <c r="AS368" s="43" t="str">
        <f t="shared" si="183"/>
        <v/>
      </c>
      <c r="AT368" s="43" t="str">
        <f t="shared" si="183"/>
        <v/>
      </c>
      <c r="AU368" s="43" t="str">
        <f t="shared" si="183"/>
        <v/>
      </c>
      <c r="AV368" s="43" t="str">
        <f t="shared" si="184"/>
        <v/>
      </c>
      <c r="AW368" s="43" t="str">
        <f t="shared" si="184"/>
        <v/>
      </c>
      <c r="AX368" s="43" t="str">
        <f t="shared" si="184"/>
        <v/>
      </c>
      <c r="AY368" s="43" t="str">
        <f t="shared" si="184"/>
        <v/>
      </c>
      <c r="AZ368" s="43" t="str">
        <f t="shared" si="184"/>
        <v/>
      </c>
      <c r="BA368" s="43" t="str">
        <f t="shared" si="184"/>
        <v/>
      </c>
      <c r="BB368" s="43"/>
      <c r="BC368" s="43"/>
      <c r="BD368" s="43"/>
      <c r="BE368" s="43"/>
      <c r="BF368" s="43"/>
      <c r="BG368" s="43"/>
      <c r="BW368" s="1250"/>
    </row>
    <row r="369" spans="1:75" x14ac:dyDescent="0.25">
      <c r="A369" s="1251"/>
      <c r="B369" s="462">
        <v>363</v>
      </c>
      <c r="C369" s="462"/>
      <c r="D369" s="1244"/>
      <c r="E369" s="1050"/>
      <c r="F369" s="1244"/>
      <c r="H369" s="43" t="str">
        <f t="shared" si="180"/>
        <v/>
      </c>
      <c r="I369" s="43" t="str">
        <f t="shared" si="180"/>
        <v/>
      </c>
      <c r="J369" s="43" t="str">
        <f t="shared" si="180"/>
        <v/>
      </c>
      <c r="K369" s="43" t="str">
        <f t="shared" si="180"/>
        <v/>
      </c>
      <c r="L369" s="43" t="str">
        <f t="shared" si="180"/>
        <v/>
      </c>
      <c r="M369" s="43" t="str">
        <f t="shared" si="180"/>
        <v/>
      </c>
      <c r="N369" s="43" t="str">
        <f t="shared" si="180"/>
        <v/>
      </c>
      <c r="O369" s="43" t="str">
        <f t="shared" si="180"/>
        <v/>
      </c>
      <c r="P369" s="43" t="str">
        <f t="shared" si="180"/>
        <v/>
      </c>
      <c r="Q369" s="43" t="str">
        <f t="shared" si="180"/>
        <v/>
      </c>
      <c r="R369" s="43" t="str">
        <f t="shared" si="181"/>
        <v/>
      </c>
      <c r="S369" s="43" t="str">
        <f t="shared" si="181"/>
        <v/>
      </c>
      <c r="T369" s="43" t="str">
        <f t="shared" si="181"/>
        <v/>
      </c>
      <c r="U369" s="43" t="str">
        <f t="shared" si="181"/>
        <v/>
      </c>
      <c r="V369" s="43" t="str">
        <f t="shared" si="181"/>
        <v/>
      </c>
      <c r="W369" s="43" t="str">
        <f t="shared" si="181"/>
        <v/>
      </c>
      <c r="X369" s="43" t="str">
        <f t="shared" si="181"/>
        <v/>
      </c>
      <c r="Y369" s="43" t="str">
        <f t="shared" si="181"/>
        <v/>
      </c>
      <c r="Z369" s="43" t="str">
        <f t="shared" si="181"/>
        <v/>
      </c>
      <c r="AA369" s="43" t="str">
        <f t="shared" si="181"/>
        <v/>
      </c>
      <c r="AB369" s="43" t="str">
        <f t="shared" si="182"/>
        <v/>
      </c>
      <c r="AC369" s="43" t="str">
        <f t="shared" si="182"/>
        <v/>
      </c>
      <c r="AD369" s="43" t="str">
        <f t="shared" si="182"/>
        <v/>
      </c>
      <c r="AE369" s="43" t="str">
        <f t="shared" si="182"/>
        <v/>
      </c>
      <c r="AF369" s="43" t="str">
        <f t="shared" si="182"/>
        <v/>
      </c>
      <c r="AG369" s="43" t="str">
        <f t="shared" si="182"/>
        <v/>
      </c>
      <c r="AH369" s="43" t="str">
        <f t="shared" si="182"/>
        <v/>
      </c>
      <c r="AI369" s="43" t="str">
        <f t="shared" si="182"/>
        <v/>
      </c>
      <c r="AJ369" s="43" t="str">
        <f t="shared" si="182"/>
        <v/>
      </c>
      <c r="AK369" s="43" t="str">
        <f t="shared" si="182"/>
        <v/>
      </c>
      <c r="AL369" s="43" t="str">
        <f t="shared" si="183"/>
        <v/>
      </c>
      <c r="AM369" s="43" t="str">
        <f t="shared" si="183"/>
        <v/>
      </c>
      <c r="AN369" s="43" t="str">
        <f t="shared" si="183"/>
        <v/>
      </c>
      <c r="AO369" s="43" t="str">
        <f t="shared" si="183"/>
        <v/>
      </c>
      <c r="AP369" s="43" t="str">
        <f t="shared" si="183"/>
        <v/>
      </c>
      <c r="AQ369" s="43" t="str">
        <f t="shared" si="183"/>
        <v/>
      </c>
      <c r="AR369" s="43" t="str">
        <f t="shared" si="183"/>
        <v/>
      </c>
      <c r="AS369" s="43" t="str">
        <f t="shared" si="183"/>
        <v/>
      </c>
      <c r="AT369" s="43" t="str">
        <f t="shared" si="183"/>
        <v/>
      </c>
      <c r="AU369" s="43" t="str">
        <f t="shared" si="183"/>
        <v/>
      </c>
      <c r="AV369" s="43" t="str">
        <f t="shared" si="184"/>
        <v/>
      </c>
      <c r="AW369" s="43" t="str">
        <f t="shared" si="184"/>
        <v/>
      </c>
      <c r="AX369" s="43" t="str">
        <f t="shared" si="184"/>
        <v/>
      </c>
      <c r="AY369" s="43" t="str">
        <f t="shared" si="184"/>
        <v/>
      </c>
      <c r="AZ369" s="43" t="str">
        <f t="shared" si="184"/>
        <v/>
      </c>
      <c r="BA369" s="43" t="str">
        <f t="shared" si="184"/>
        <v/>
      </c>
      <c r="BB369" s="43"/>
      <c r="BC369" s="43"/>
      <c r="BD369" s="43"/>
      <c r="BE369" s="43"/>
      <c r="BF369" s="43"/>
      <c r="BG369" s="43"/>
      <c r="BW369" s="1250"/>
    </row>
    <row r="370" spans="1:75" x14ac:dyDescent="0.25">
      <c r="A370" s="1251"/>
      <c r="B370" s="462">
        <v>364</v>
      </c>
      <c r="C370" s="462"/>
      <c r="D370" s="1244"/>
      <c r="E370" s="1050"/>
      <c r="F370" s="1244"/>
      <c r="H370" s="43" t="str">
        <f t="shared" si="180"/>
        <v/>
      </c>
      <c r="I370" s="43" t="str">
        <f t="shared" si="180"/>
        <v/>
      </c>
      <c r="J370" s="43" t="str">
        <f t="shared" si="180"/>
        <v/>
      </c>
      <c r="K370" s="43" t="str">
        <f t="shared" si="180"/>
        <v/>
      </c>
      <c r="L370" s="43" t="str">
        <f t="shared" si="180"/>
        <v/>
      </c>
      <c r="M370" s="43" t="str">
        <f t="shared" si="180"/>
        <v/>
      </c>
      <c r="N370" s="43" t="str">
        <f t="shared" si="180"/>
        <v/>
      </c>
      <c r="O370" s="43" t="str">
        <f t="shared" si="180"/>
        <v/>
      </c>
      <c r="P370" s="43" t="str">
        <f t="shared" si="180"/>
        <v/>
      </c>
      <c r="Q370" s="43" t="str">
        <f t="shared" si="180"/>
        <v/>
      </c>
      <c r="R370" s="43" t="str">
        <f t="shared" si="181"/>
        <v/>
      </c>
      <c r="S370" s="43" t="str">
        <f t="shared" si="181"/>
        <v/>
      </c>
      <c r="T370" s="43" t="str">
        <f t="shared" si="181"/>
        <v/>
      </c>
      <c r="U370" s="43" t="str">
        <f t="shared" si="181"/>
        <v/>
      </c>
      <c r="V370" s="43" t="str">
        <f t="shared" si="181"/>
        <v/>
      </c>
      <c r="W370" s="43" t="str">
        <f t="shared" si="181"/>
        <v/>
      </c>
      <c r="X370" s="43" t="str">
        <f t="shared" si="181"/>
        <v/>
      </c>
      <c r="Y370" s="43" t="str">
        <f t="shared" si="181"/>
        <v/>
      </c>
      <c r="Z370" s="43" t="str">
        <f t="shared" si="181"/>
        <v/>
      </c>
      <c r="AA370" s="43" t="str">
        <f t="shared" si="181"/>
        <v/>
      </c>
      <c r="AB370" s="43" t="str">
        <f t="shared" si="182"/>
        <v/>
      </c>
      <c r="AC370" s="43" t="str">
        <f t="shared" si="182"/>
        <v/>
      </c>
      <c r="AD370" s="43" t="str">
        <f t="shared" si="182"/>
        <v/>
      </c>
      <c r="AE370" s="43" t="str">
        <f t="shared" si="182"/>
        <v/>
      </c>
      <c r="AF370" s="43" t="str">
        <f t="shared" si="182"/>
        <v/>
      </c>
      <c r="AG370" s="43" t="str">
        <f t="shared" si="182"/>
        <v/>
      </c>
      <c r="AH370" s="43" t="str">
        <f t="shared" si="182"/>
        <v/>
      </c>
      <c r="AI370" s="43" t="str">
        <f t="shared" si="182"/>
        <v/>
      </c>
      <c r="AJ370" s="43" t="str">
        <f t="shared" si="182"/>
        <v/>
      </c>
      <c r="AK370" s="43" t="str">
        <f t="shared" si="182"/>
        <v/>
      </c>
      <c r="AL370" s="43" t="str">
        <f t="shared" si="183"/>
        <v/>
      </c>
      <c r="AM370" s="43" t="str">
        <f t="shared" si="183"/>
        <v/>
      </c>
      <c r="AN370" s="43" t="str">
        <f t="shared" si="183"/>
        <v/>
      </c>
      <c r="AO370" s="43" t="str">
        <f t="shared" si="183"/>
        <v/>
      </c>
      <c r="AP370" s="43" t="str">
        <f t="shared" si="183"/>
        <v/>
      </c>
      <c r="AQ370" s="43" t="str">
        <f t="shared" si="183"/>
        <v/>
      </c>
      <c r="AR370" s="43" t="str">
        <f t="shared" si="183"/>
        <v/>
      </c>
      <c r="AS370" s="43" t="str">
        <f t="shared" si="183"/>
        <v/>
      </c>
      <c r="AT370" s="43" t="str">
        <f t="shared" si="183"/>
        <v/>
      </c>
      <c r="AU370" s="43" t="str">
        <f t="shared" si="183"/>
        <v/>
      </c>
      <c r="AV370" s="43" t="str">
        <f t="shared" si="184"/>
        <v/>
      </c>
      <c r="AW370" s="43" t="str">
        <f t="shared" si="184"/>
        <v/>
      </c>
      <c r="AX370" s="43" t="str">
        <f t="shared" si="184"/>
        <v/>
      </c>
      <c r="AY370" s="43" t="str">
        <f t="shared" si="184"/>
        <v/>
      </c>
      <c r="AZ370" s="43" t="str">
        <f t="shared" si="184"/>
        <v/>
      </c>
      <c r="BA370" s="43" t="str">
        <f t="shared" si="184"/>
        <v/>
      </c>
      <c r="BB370" s="43"/>
      <c r="BC370" s="43"/>
      <c r="BD370" s="43"/>
      <c r="BE370" s="43"/>
      <c r="BF370" s="43"/>
      <c r="BG370" s="43"/>
      <c r="BW370" s="1250"/>
    </row>
    <row r="371" spans="1:75" x14ac:dyDescent="0.25">
      <c r="A371" s="1251"/>
      <c r="B371" s="462">
        <v>365</v>
      </c>
      <c r="C371" s="462"/>
      <c r="D371" s="1244"/>
      <c r="E371" s="1050"/>
      <c r="F371" s="1244"/>
      <c r="H371" s="43" t="str">
        <f t="shared" si="180"/>
        <v/>
      </c>
      <c r="I371" s="43" t="str">
        <f t="shared" si="180"/>
        <v/>
      </c>
      <c r="J371" s="43" t="str">
        <f t="shared" si="180"/>
        <v/>
      </c>
      <c r="K371" s="43" t="str">
        <f t="shared" si="180"/>
        <v/>
      </c>
      <c r="L371" s="43" t="str">
        <f t="shared" si="180"/>
        <v/>
      </c>
      <c r="M371" s="43" t="str">
        <f t="shared" si="180"/>
        <v/>
      </c>
      <c r="N371" s="43" t="str">
        <f t="shared" si="180"/>
        <v/>
      </c>
      <c r="O371" s="43" t="str">
        <f t="shared" si="180"/>
        <v/>
      </c>
      <c r="P371" s="43" t="str">
        <f t="shared" si="180"/>
        <v/>
      </c>
      <c r="Q371" s="43" t="str">
        <f t="shared" si="180"/>
        <v/>
      </c>
      <c r="R371" s="43" t="str">
        <f t="shared" si="181"/>
        <v/>
      </c>
      <c r="S371" s="43" t="str">
        <f t="shared" si="181"/>
        <v/>
      </c>
      <c r="T371" s="43" t="str">
        <f t="shared" si="181"/>
        <v/>
      </c>
      <c r="U371" s="43" t="str">
        <f t="shared" si="181"/>
        <v/>
      </c>
      <c r="V371" s="43" t="str">
        <f t="shared" si="181"/>
        <v/>
      </c>
      <c r="W371" s="43" t="str">
        <f t="shared" si="181"/>
        <v/>
      </c>
      <c r="X371" s="43" t="str">
        <f t="shared" si="181"/>
        <v/>
      </c>
      <c r="Y371" s="43" t="str">
        <f t="shared" si="181"/>
        <v/>
      </c>
      <c r="Z371" s="43" t="str">
        <f t="shared" si="181"/>
        <v/>
      </c>
      <c r="AA371" s="43" t="str">
        <f t="shared" si="181"/>
        <v/>
      </c>
      <c r="AB371" s="43" t="str">
        <f t="shared" si="182"/>
        <v/>
      </c>
      <c r="AC371" s="43" t="str">
        <f t="shared" si="182"/>
        <v/>
      </c>
      <c r="AD371" s="43" t="str">
        <f t="shared" si="182"/>
        <v/>
      </c>
      <c r="AE371" s="43" t="str">
        <f t="shared" si="182"/>
        <v/>
      </c>
      <c r="AF371" s="43" t="str">
        <f t="shared" si="182"/>
        <v/>
      </c>
      <c r="AG371" s="43" t="str">
        <f t="shared" si="182"/>
        <v/>
      </c>
      <c r="AH371" s="43" t="str">
        <f t="shared" si="182"/>
        <v/>
      </c>
      <c r="AI371" s="43" t="str">
        <f t="shared" si="182"/>
        <v/>
      </c>
      <c r="AJ371" s="43" t="str">
        <f t="shared" si="182"/>
        <v/>
      </c>
      <c r="AK371" s="43" t="str">
        <f t="shared" si="182"/>
        <v/>
      </c>
      <c r="AL371" s="43" t="str">
        <f t="shared" si="183"/>
        <v/>
      </c>
      <c r="AM371" s="43" t="str">
        <f t="shared" si="183"/>
        <v/>
      </c>
      <c r="AN371" s="43" t="str">
        <f t="shared" si="183"/>
        <v/>
      </c>
      <c r="AO371" s="43" t="str">
        <f t="shared" si="183"/>
        <v/>
      </c>
      <c r="AP371" s="43" t="str">
        <f t="shared" si="183"/>
        <v/>
      </c>
      <c r="AQ371" s="43" t="str">
        <f t="shared" si="183"/>
        <v/>
      </c>
      <c r="AR371" s="43" t="str">
        <f t="shared" si="183"/>
        <v/>
      </c>
      <c r="AS371" s="43" t="str">
        <f t="shared" si="183"/>
        <v/>
      </c>
      <c r="AT371" s="43" t="str">
        <f t="shared" si="183"/>
        <v/>
      </c>
      <c r="AU371" s="43" t="str">
        <f t="shared" si="183"/>
        <v/>
      </c>
      <c r="AV371" s="43" t="str">
        <f t="shared" si="184"/>
        <v/>
      </c>
      <c r="AW371" s="43" t="str">
        <f t="shared" si="184"/>
        <v/>
      </c>
      <c r="AX371" s="43" t="str">
        <f t="shared" si="184"/>
        <v/>
      </c>
      <c r="AY371" s="43" t="str">
        <f t="shared" si="184"/>
        <v/>
      </c>
      <c r="AZ371" s="43" t="str">
        <f t="shared" si="184"/>
        <v/>
      </c>
      <c r="BA371" s="43" t="str">
        <f t="shared" si="184"/>
        <v/>
      </c>
      <c r="BB371" s="43"/>
      <c r="BC371" s="43"/>
      <c r="BD371" s="43"/>
      <c r="BE371" s="43"/>
      <c r="BF371" s="43"/>
      <c r="BG371" s="43"/>
      <c r="BW371" s="1250"/>
    </row>
    <row r="372" spans="1:75" x14ac:dyDescent="0.25">
      <c r="A372" s="1251"/>
      <c r="B372" s="462">
        <v>366</v>
      </c>
      <c r="C372" s="462"/>
      <c r="D372" s="1244"/>
      <c r="E372" s="1050"/>
      <c r="F372" s="1244"/>
      <c r="H372" s="43" t="str">
        <f t="shared" si="180"/>
        <v/>
      </c>
      <c r="I372" s="43" t="str">
        <f t="shared" si="180"/>
        <v/>
      </c>
      <c r="J372" s="43" t="str">
        <f t="shared" si="180"/>
        <v/>
      </c>
      <c r="K372" s="43" t="str">
        <f t="shared" si="180"/>
        <v/>
      </c>
      <c r="L372" s="43" t="str">
        <f t="shared" si="180"/>
        <v/>
      </c>
      <c r="M372" s="43" t="str">
        <f t="shared" si="180"/>
        <v/>
      </c>
      <c r="N372" s="43" t="str">
        <f t="shared" si="180"/>
        <v/>
      </c>
      <c r="O372" s="43" t="str">
        <f t="shared" si="180"/>
        <v/>
      </c>
      <c r="P372" s="43" t="str">
        <f t="shared" si="180"/>
        <v/>
      </c>
      <c r="Q372" s="43" t="str">
        <f t="shared" si="180"/>
        <v/>
      </c>
      <c r="R372" s="43" t="str">
        <f t="shared" si="181"/>
        <v/>
      </c>
      <c r="S372" s="43" t="str">
        <f t="shared" si="181"/>
        <v/>
      </c>
      <c r="T372" s="43" t="str">
        <f t="shared" si="181"/>
        <v/>
      </c>
      <c r="U372" s="43" t="str">
        <f t="shared" si="181"/>
        <v/>
      </c>
      <c r="V372" s="43" t="str">
        <f t="shared" si="181"/>
        <v/>
      </c>
      <c r="W372" s="43" t="str">
        <f t="shared" si="181"/>
        <v/>
      </c>
      <c r="X372" s="43" t="str">
        <f t="shared" si="181"/>
        <v/>
      </c>
      <c r="Y372" s="43" t="str">
        <f t="shared" si="181"/>
        <v/>
      </c>
      <c r="Z372" s="43" t="str">
        <f t="shared" si="181"/>
        <v/>
      </c>
      <c r="AA372" s="43" t="str">
        <f t="shared" si="181"/>
        <v/>
      </c>
      <c r="AB372" s="43" t="str">
        <f t="shared" si="182"/>
        <v/>
      </c>
      <c r="AC372" s="43" t="str">
        <f t="shared" si="182"/>
        <v/>
      </c>
      <c r="AD372" s="43" t="str">
        <f t="shared" si="182"/>
        <v/>
      </c>
      <c r="AE372" s="43" t="str">
        <f t="shared" si="182"/>
        <v/>
      </c>
      <c r="AF372" s="43" t="str">
        <f t="shared" si="182"/>
        <v/>
      </c>
      <c r="AG372" s="43" t="str">
        <f t="shared" si="182"/>
        <v/>
      </c>
      <c r="AH372" s="43" t="str">
        <f t="shared" si="182"/>
        <v/>
      </c>
      <c r="AI372" s="43" t="str">
        <f t="shared" si="182"/>
        <v/>
      </c>
      <c r="AJ372" s="43" t="str">
        <f t="shared" si="182"/>
        <v/>
      </c>
      <c r="AK372" s="43" t="str">
        <f t="shared" si="182"/>
        <v/>
      </c>
      <c r="AL372" s="43" t="str">
        <f t="shared" si="183"/>
        <v/>
      </c>
      <c r="AM372" s="43" t="str">
        <f t="shared" si="183"/>
        <v/>
      </c>
      <c r="AN372" s="43" t="str">
        <f t="shared" si="183"/>
        <v/>
      </c>
      <c r="AO372" s="43" t="str">
        <f t="shared" si="183"/>
        <v/>
      </c>
      <c r="AP372" s="43" t="str">
        <f t="shared" si="183"/>
        <v/>
      </c>
      <c r="AQ372" s="43" t="str">
        <f t="shared" si="183"/>
        <v/>
      </c>
      <c r="AR372" s="43" t="str">
        <f t="shared" si="183"/>
        <v/>
      </c>
      <c r="AS372" s="43" t="str">
        <f t="shared" si="183"/>
        <v/>
      </c>
      <c r="AT372" s="43" t="str">
        <f t="shared" si="183"/>
        <v/>
      </c>
      <c r="AU372" s="43" t="str">
        <f t="shared" si="183"/>
        <v/>
      </c>
      <c r="AV372" s="43" t="str">
        <f t="shared" si="184"/>
        <v/>
      </c>
      <c r="AW372" s="43" t="str">
        <f t="shared" si="184"/>
        <v/>
      </c>
      <c r="AX372" s="43" t="str">
        <f t="shared" si="184"/>
        <v/>
      </c>
      <c r="AY372" s="43" t="str">
        <f t="shared" si="184"/>
        <v/>
      </c>
      <c r="AZ372" s="43" t="str">
        <f t="shared" si="184"/>
        <v/>
      </c>
      <c r="BA372" s="43" t="str">
        <f t="shared" si="184"/>
        <v/>
      </c>
      <c r="BB372" s="43"/>
      <c r="BC372" s="43"/>
      <c r="BD372" s="43"/>
      <c r="BE372" s="43"/>
      <c r="BF372" s="43"/>
      <c r="BG372" s="43"/>
      <c r="BW372" s="1250"/>
    </row>
    <row r="373" spans="1:75" x14ac:dyDescent="0.25">
      <c r="A373" s="1251"/>
      <c r="B373" s="462">
        <v>367</v>
      </c>
      <c r="C373" s="462"/>
      <c r="D373" s="1244"/>
      <c r="E373" s="1050"/>
      <c r="F373" s="1244"/>
      <c r="H373" s="43" t="str">
        <f t="shared" si="180"/>
        <v/>
      </c>
      <c r="I373" s="43" t="str">
        <f t="shared" si="180"/>
        <v/>
      </c>
      <c r="J373" s="43" t="str">
        <f t="shared" si="180"/>
        <v/>
      </c>
      <c r="K373" s="43" t="str">
        <f t="shared" si="180"/>
        <v/>
      </c>
      <c r="L373" s="43" t="str">
        <f t="shared" si="180"/>
        <v/>
      </c>
      <c r="M373" s="43" t="str">
        <f t="shared" si="180"/>
        <v/>
      </c>
      <c r="N373" s="43" t="str">
        <f t="shared" si="180"/>
        <v/>
      </c>
      <c r="O373" s="43" t="str">
        <f t="shared" si="180"/>
        <v/>
      </c>
      <c r="P373" s="43" t="str">
        <f t="shared" si="180"/>
        <v/>
      </c>
      <c r="Q373" s="43" t="str">
        <f t="shared" si="180"/>
        <v/>
      </c>
      <c r="R373" s="43" t="str">
        <f t="shared" si="181"/>
        <v/>
      </c>
      <c r="S373" s="43" t="str">
        <f t="shared" si="181"/>
        <v/>
      </c>
      <c r="T373" s="43" t="str">
        <f t="shared" si="181"/>
        <v/>
      </c>
      <c r="U373" s="43" t="str">
        <f t="shared" si="181"/>
        <v/>
      </c>
      <c r="V373" s="43" t="str">
        <f t="shared" si="181"/>
        <v/>
      </c>
      <c r="W373" s="43" t="str">
        <f t="shared" si="181"/>
        <v/>
      </c>
      <c r="X373" s="43" t="str">
        <f t="shared" si="181"/>
        <v/>
      </c>
      <c r="Y373" s="43" t="str">
        <f t="shared" si="181"/>
        <v/>
      </c>
      <c r="Z373" s="43" t="str">
        <f t="shared" si="181"/>
        <v/>
      </c>
      <c r="AA373" s="43" t="str">
        <f t="shared" si="181"/>
        <v/>
      </c>
      <c r="AB373" s="43" t="str">
        <f t="shared" si="182"/>
        <v/>
      </c>
      <c r="AC373" s="43" t="str">
        <f t="shared" si="182"/>
        <v/>
      </c>
      <c r="AD373" s="43" t="str">
        <f t="shared" si="182"/>
        <v/>
      </c>
      <c r="AE373" s="43" t="str">
        <f t="shared" si="182"/>
        <v/>
      </c>
      <c r="AF373" s="43" t="str">
        <f t="shared" si="182"/>
        <v/>
      </c>
      <c r="AG373" s="43" t="str">
        <f t="shared" si="182"/>
        <v/>
      </c>
      <c r="AH373" s="43" t="str">
        <f t="shared" si="182"/>
        <v/>
      </c>
      <c r="AI373" s="43" t="str">
        <f t="shared" si="182"/>
        <v/>
      </c>
      <c r="AJ373" s="43" t="str">
        <f t="shared" si="182"/>
        <v/>
      </c>
      <c r="AK373" s="43" t="str">
        <f t="shared" si="182"/>
        <v/>
      </c>
      <c r="AL373" s="43" t="str">
        <f t="shared" si="183"/>
        <v/>
      </c>
      <c r="AM373" s="43" t="str">
        <f t="shared" si="183"/>
        <v/>
      </c>
      <c r="AN373" s="43" t="str">
        <f t="shared" si="183"/>
        <v/>
      </c>
      <c r="AO373" s="43" t="str">
        <f t="shared" si="183"/>
        <v/>
      </c>
      <c r="AP373" s="43" t="str">
        <f t="shared" si="183"/>
        <v/>
      </c>
      <c r="AQ373" s="43" t="str">
        <f t="shared" si="183"/>
        <v/>
      </c>
      <c r="AR373" s="43" t="str">
        <f t="shared" si="183"/>
        <v/>
      </c>
      <c r="AS373" s="43" t="str">
        <f t="shared" si="183"/>
        <v/>
      </c>
      <c r="AT373" s="43" t="str">
        <f t="shared" si="183"/>
        <v/>
      </c>
      <c r="AU373" s="43" t="str">
        <f t="shared" si="183"/>
        <v/>
      </c>
      <c r="AV373" s="43" t="str">
        <f t="shared" si="184"/>
        <v/>
      </c>
      <c r="AW373" s="43" t="str">
        <f t="shared" si="184"/>
        <v/>
      </c>
      <c r="AX373" s="43" t="str">
        <f t="shared" si="184"/>
        <v/>
      </c>
      <c r="AY373" s="43" t="str">
        <f t="shared" si="184"/>
        <v/>
      </c>
      <c r="AZ373" s="43" t="str">
        <f t="shared" si="184"/>
        <v/>
      </c>
      <c r="BA373" s="43" t="str">
        <f t="shared" si="184"/>
        <v/>
      </c>
      <c r="BB373" s="43"/>
      <c r="BC373" s="43"/>
      <c r="BD373" s="43"/>
      <c r="BE373" s="43"/>
      <c r="BF373" s="43"/>
      <c r="BG373" s="43"/>
      <c r="BW373" s="1250"/>
    </row>
    <row r="374" spans="1:75" x14ac:dyDescent="0.25">
      <c r="A374" s="1251"/>
      <c r="B374" s="462">
        <v>368</v>
      </c>
      <c r="C374" s="462"/>
      <c r="D374" s="1244"/>
      <c r="E374" s="1050"/>
      <c r="F374" s="1244"/>
      <c r="H374" s="43" t="str">
        <f t="shared" si="180"/>
        <v/>
      </c>
      <c r="I374" s="43" t="str">
        <f t="shared" si="180"/>
        <v/>
      </c>
      <c r="J374" s="43" t="str">
        <f t="shared" si="180"/>
        <v/>
      </c>
      <c r="K374" s="43" t="str">
        <f t="shared" si="180"/>
        <v/>
      </c>
      <c r="L374" s="43" t="str">
        <f t="shared" si="180"/>
        <v/>
      </c>
      <c r="M374" s="43" t="str">
        <f t="shared" si="180"/>
        <v/>
      </c>
      <c r="N374" s="43" t="str">
        <f t="shared" si="180"/>
        <v/>
      </c>
      <c r="O374" s="43" t="str">
        <f t="shared" si="180"/>
        <v/>
      </c>
      <c r="P374" s="43" t="str">
        <f t="shared" si="180"/>
        <v/>
      </c>
      <c r="Q374" s="43" t="str">
        <f t="shared" si="180"/>
        <v/>
      </c>
      <c r="R374" s="43" t="str">
        <f t="shared" si="181"/>
        <v/>
      </c>
      <c r="S374" s="43" t="str">
        <f t="shared" si="181"/>
        <v/>
      </c>
      <c r="T374" s="43" t="str">
        <f t="shared" si="181"/>
        <v/>
      </c>
      <c r="U374" s="43" t="str">
        <f t="shared" si="181"/>
        <v/>
      </c>
      <c r="V374" s="43" t="str">
        <f t="shared" si="181"/>
        <v/>
      </c>
      <c r="W374" s="43" t="str">
        <f t="shared" si="181"/>
        <v/>
      </c>
      <c r="X374" s="43" t="str">
        <f t="shared" si="181"/>
        <v/>
      </c>
      <c r="Y374" s="43" t="str">
        <f t="shared" si="181"/>
        <v/>
      </c>
      <c r="Z374" s="43" t="str">
        <f t="shared" si="181"/>
        <v/>
      </c>
      <c r="AA374" s="43" t="str">
        <f t="shared" si="181"/>
        <v/>
      </c>
      <c r="AB374" s="43" t="str">
        <f t="shared" si="182"/>
        <v/>
      </c>
      <c r="AC374" s="43" t="str">
        <f t="shared" si="182"/>
        <v/>
      </c>
      <c r="AD374" s="43" t="str">
        <f t="shared" si="182"/>
        <v/>
      </c>
      <c r="AE374" s="43" t="str">
        <f t="shared" si="182"/>
        <v/>
      </c>
      <c r="AF374" s="43" t="str">
        <f t="shared" si="182"/>
        <v/>
      </c>
      <c r="AG374" s="43" t="str">
        <f t="shared" si="182"/>
        <v/>
      </c>
      <c r="AH374" s="43" t="str">
        <f t="shared" si="182"/>
        <v/>
      </c>
      <c r="AI374" s="43" t="str">
        <f t="shared" si="182"/>
        <v/>
      </c>
      <c r="AJ374" s="43" t="str">
        <f t="shared" si="182"/>
        <v/>
      </c>
      <c r="AK374" s="43" t="str">
        <f t="shared" si="182"/>
        <v/>
      </c>
      <c r="AL374" s="43" t="str">
        <f t="shared" si="183"/>
        <v/>
      </c>
      <c r="AM374" s="43" t="str">
        <f t="shared" si="183"/>
        <v/>
      </c>
      <c r="AN374" s="43" t="str">
        <f t="shared" si="183"/>
        <v/>
      </c>
      <c r="AO374" s="43" t="str">
        <f t="shared" si="183"/>
        <v/>
      </c>
      <c r="AP374" s="43" t="str">
        <f t="shared" si="183"/>
        <v/>
      </c>
      <c r="AQ374" s="43" t="str">
        <f t="shared" si="183"/>
        <v/>
      </c>
      <c r="AR374" s="43" t="str">
        <f t="shared" si="183"/>
        <v/>
      </c>
      <c r="AS374" s="43" t="str">
        <f t="shared" si="183"/>
        <v/>
      </c>
      <c r="AT374" s="43" t="str">
        <f t="shared" si="183"/>
        <v/>
      </c>
      <c r="AU374" s="43" t="str">
        <f t="shared" si="183"/>
        <v/>
      </c>
      <c r="AV374" s="43" t="str">
        <f t="shared" si="184"/>
        <v/>
      </c>
      <c r="AW374" s="43" t="str">
        <f t="shared" si="184"/>
        <v/>
      </c>
      <c r="AX374" s="43" t="str">
        <f t="shared" si="184"/>
        <v/>
      </c>
      <c r="AY374" s="43" t="str">
        <f t="shared" si="184"/>
        <v/>
      </c>
      <c r="AZ374" s="43" t="str">
        <f t="shared" si="184"/>
        <v/>
      </c>
      <c r="BA374" s="43" t="str">
        <f t="shared" si="184"/>
        <v/>
      </c>
      <c r="BB374" s="43"/>
      <c r="BC374" s="43"/>
      <c r="BD374" s="43"/>
      <c r="BE374" s="43"/>
      <c r="BF374" s="43"/>
      <c r="BG374" s="43"/>
      <c r="BW374" s="1250"/>
    </row>
    <row r="375" spans="1:75" x14ac:dyDescent="0.25">
      <c r="A375" s="1251"/>
      <c r="B375" s="462">
        <v>369</v>
      </c>
      <c r="C375" s="462"/>
      <c r="D375" s="1244"/>
      <c r="E375" s="1050"/>
      <c r="F375" s="1244"/>
      <c r="H375" s="43" t="str">
        <f t="shared" si="180"/>
        <v/>
      </c>
      <c r="I375" s="43" t="str">
        <f t="shared" si="180"/>
        <v/>
      </c>
      <c r="J375" s="43" t="str">
        <f t="shared" si="180"/>
        <v/>
      </c>
      <c r="K375" s="43" t="str">
        <f t="shared" si="180"/>
        <v/>
      </c>
      <c r="L375" s="43" t="str">
        <f t="shared" si="180"/>
        <v/>
      </c>
      <c r="M375" s="43" t="str">
        <f t="shared" si="180"/>
        <v/>
      </c>
      <c r="N375" s="43" t="str">
        <f t="shared" si="180"/>
        <v/>
      </c>
      <c r="O375" s="43" t="str">
        <f t="shared" si="180"/>
        <v/>
      </c>
      <c r="P375" s="43" t="str">
        <f t="shared" si="180"/>
        <v/>
      </c>
      <c r="Q375" s="43" t="str">
        <f t="shared" si="180"/>
        <v/>
      </c>
      <c r="R375" s="43" t="str">
        <f t="shared" si="181"/>
        <v/>
      </c>
      <c r="S375" s="43" t="str">
        <f t="shared" si="181"/>
        <v/>
      </c>
      <c r="T375" s="43" t="str">
        <f t="shared" si="181"/>
        <v/>
      </c>
      <c r="U375" s="43" t="str">
        <f t="shared" si="181"/>
        <v/>
      </c>
      <c r="V375" s="43" t="str">
        <f t="shared" si="181"/>
        <v/>
      </c>
      <c r="W375" s="43" t="str">
        <f t="shared" si="181"/>
        <v/>
      </c>
      <c r="X375" s="43" t="str">
        <f t="shared" si="181"/>
        <v/>
      </c>
      <c r="Y375" s="43" t="str">
        <f t="shared" si="181"/>
        <v/>
      </c>
      <c r="Z375" s="43" t="str">
        <f t="shared" si="181"/>
        <v/>
      </c>
      <c r="AA375" s="43" t="str">
        <f t="shared" si="181"/>
        <v/>
      </c>
      <c r="AB375" s="43" t="str">
        <f t="shared" si="182"/>
        <v/>
      </c>
      <c r="AC375" s="43" t="str">
        <f t="shared" si="182"/>
        <v/>
      </c>
      <c r="AD375" s="43" t="str">
        <f t="shared" si="182"/>
        <v/>
      </c>
      <c r="AE375" s="43" t="str">
        <f t="shared" si="182"/>
        <v/>
      </c>
      <c r="AF375" s="43" t="str">
        <f t="shared" si="182"/>
        <v/>
      </c>
      <c r="AG375" s="43" t="str">
        <f t="shared" si="182"/>
        <v/>
      </c>
      <c r="AH375" s="43" t="str">
        <f t="shared" si="182"/>
        <v/>
      </c>
      <c r="AI375" s="43" t="str">
        <f t="shared" si="182"/>
        <v/>
      </c>
      <c r="AJ375" s="43" t="str">
        <f t="shared" si="182"/>
        <v/>
      </c>
      <c r="AK375" s="43" t="str">
        <f t="shared" si="182"/>
        <v/>
      </c>
      <c r="AL375" s="43" t="str">
        <f t="shared" si="183"/>
        <v/>
      </c>
      <c r="AM375" s="43" t="str">
        <f t="shared" si="183"/>
        <v/>
      </c>
      <c r="AN375" s="43" t="str">
        <f t="shared" si="183"/>
        <v/>
      </c>
      <c r="AO375" s="43" t="str">
        <f t="shared" si="183"/>
        <v/>
      </c>
      <c r="AP375" s="43" t="str">
        <f t="shared" si="183"/>
        <v/>
      </c>
      <c r="AQ375" s="43" t="str">
        <f t="shared" si="183"/>
        <v/>
      </c>
      <c r="AR375" s="43" t="str">
        <f t="shared" si="183"/>
        <v/>
      </c>
      <c r="AS375" s="43" t="str">
        <f t="shared" si="183"/>
        <v/>
      </c>
      <c r="AT375" s="43" t="str">
        <f t="shared" si="183"/>
        <v/>
      </c>
      <c r="AU375" s="43" t="str">
        <f t="shared" si="183"/>
        <v/>
      </c>
      <c r="AV375" s="43" t="str">
        <f t="shared" si="184"/>
        <v/>
      </c>
      <c r="AW375" s="43" t="str">
        <f t="shared" si="184"/>
        <v/>
      </c>
      <c r="AX375" s="43" t="str">
        <f t="shared" si="184"/>
        <v/>
      </c>
      <c r="AY375" s="43" t="str">
        <f t="shared" si="184"/>
        <v/>
      </c>
      <c r="AZ375" s="43" t="str">
        <f t="shared" si="184"/>
        <v/>
      </c>
      <c r="BA375" s="43" t="str">
        <f t="shared" si="184"/>
        <v/>
      </c>
      <c r="BB375" s="43"/>
      <c r="BC375" s="43"/>
      <c r="BD375" s="43"/>
      <c r="BE375" s="43"/>
      <c r="BF375" s="43"/>
      <c r="BG375" s="43"/>
      <c r="BW375" s="1250"/>
    </row>
    <row r="376" spans="1:75" x14ac:dyDescent="0.25">
      <c r="A376" s="1251"/>
      <c r="B376" s="462">
        <v>370</v>
      </c>
      <c r="C376" s="462"/>
      <c r="D376" s="1244"/>
      <c r="E376" s="1050"/>
      <c r="F376" s="1244"/>
      <c r="H376" s="43" t="str">
        <f t="shared" si="180"/>
        <v/>
      </c>
      <c r="I376" s="43" t="str">
        <f t="shared" si="180"/>
        <v/>
      </c>
      <c r="J376" s="43" t="str">
        <f t="shared" si="180"/>
        <v/>
      </c>
      <c r="K376" s="43" t="str">
        <f t="shared" si="180"/>
        <v/>
      </c>
      <c r="L376" s="43" t="str">
        <f t="shared" si="180"/>
        <v/>
      </c>
      <c r="M376" s="43" t="str">
        <f t="shared" si="180"/>
        <v/>
      </c>
      <c r="N376" s="43" t="str">
        <f t="shared" si="180"/>
        <v/>
      </c>
      <c r="O376" s="43" t="str">
        <f t="shared" si="180"/>
        <v/>
      </c>
      <c r="P376" s="43" t="str">
        <f t="shared" si="180"/>
        <v/>
      </c>
      <c r="Q376" s="43" t="str">
        <f t="shared" si="180"/>
        <v/>
      </c>
      <c r="R376" s="43" t="str">
        <f t="shared" si="181"/>
        <v/>
      </c>
      <c r="S376" s="43" t="str">
        <f t="shared" si="181"/>
        <v/>
      </c>
      <c r="T376" s="43" t="str">
        <f t="shared" si="181"/>
        <v/>
      </c>
      <c r="U376" s="43" t="str">
        <f t="shared" si="181"/>
        <v/>
      </c>
      <c r="V376" s="43" t="str">
        <f t="shared" si="181"/>
        <v/>
      </c>
      <c r="W376" s="43" t="str">
        <f t="shared" si="181"/>
        <v/>
      </c>
      <c r="X376" s="43" t="str">
        <f t="shared" si="181"/>
        <v/>
      </c>
      <c r="Y376" s="43" t="str">
        <f t="shared" si="181"/>
        <v/>
      </c>
      <c r="Z376" s="43" t="str">
        <f t="shared" si="181"/>
        <v/>
      </c>
      <c r="AA376" s="43" t="str">
        <f t="shared" si="181"/>
        <v/>
      </c>
      <c r="AB376" s="43" t="str">
        <f t="shared" si="182"/>
        <v/>
      </c>
      <c r="AC376" s="43" t="str">
        <f t="shared" si="182"/>
        <v/>
      </c>
      <c r="AD376" s="43" t="str">
        <f t="shared" si="182"/>
        <v/>
      </c>
      <c r="AE376" s="43" t="str">
        <f t="shared" si="182"/>
        <v/>
      </c>
      <c r="AF376" s="43" t="str">
        <f t="shared" si="182"/>
        <v/>
      </c>
      <c r="AG376" s="43" t="str">
        <f t="shared" si="182"/>
        <v/>
      </c>
      <c r="AH376" s="43" t="str">
        <f t="shared" si="182"/>
        <v/>
      </c>
      <c r="AI376" s="43" t="str">
        <f t="shared" si="182"/>
        <v/>
      </c>
      <c r="AJ376" s="43" t="str">
        <f t="shared" si="182"/>
        <v/>
      </c>
      <c r="AK376" s="43" t="str">
        <f t="shared" si="182"/>
        <v/>
      </c>
      <c r="AL376" s="43" t="str">
        <f t="shared" si="183"/>
        <v/>
      </c>
      <c r="AM376" s="43" t="str">
        <f t="shared" si="183"/>
        <v/>
      </c>
      <c r="AN376" s="43" t="str">
        <f t="shared" si="183"/>
        <v/>
      </c>
      <c r="AO376" s="43" t="str">
        <f t="shared" si="183"/>
        <v/>
      </c>
      <c r="AP376" s="43" t="str">
        <f t="shared" si="183"/>
        <v/>
      </c>
      <c r="AQ376" s="43" t="str">
        <f t="shared" si="183"/>
        <v/>
      </c>
      <c r="AR376" s="43" t="str">
        <f t="shared" si="183"/>
        <v/>
      </c>
      <c r="AS376" s="43" t="str">
        <f t="shared" si="183"/>
        <v/>
      </c>
      <c r="AT376" s="43" t="str">
        <f t="shared" si="183"/>
        <v/>
      </c>
      <c r="AU376" s="43" t="str">
        <f t="shared" si="183"/>
        <v/>
      </c>
      <c r="AV376" s="43" t="str">
        <f t="shared" si="184"/>
        <v/>
      </c>
      <c r="AW376" s="43" t="str">
        <f t="shared" si="184"/>
        <v/>
      </c>
      <c r="AX376" s="43" t="str">
        <f t="shared" si="184"/>
        <v/>
      </c>
      <c r="AY376" s="43" t="str">
        <f t="shared" si="184"/>
        <v/>
      </c>
      <c r="AZ376" s="43" t="str">
        <f t="shared" si="184"/>
        <v/>
      </c>
      <c r="BA376" s="43" t="str">
        <f t="shared" si="184"/>
        <v/>
      </c>
      <c r="BB376" s="43"/>
      <c r="BC376" s="43"/>
      <c r="BD376" s="43"/>
      <c r="BE376" s="43"/>
      <c r="BF376" s="43"/>
      <c r="BG376" s="43"/>
      <c r="BW376" s="1250"/>
    </row>
    <row r="377" spans="1:75" x14ac:dyDescent="0.25">
      <c r="A377" s="1251"/>
      <c r="B377" s="462">
        <v>371</v>
      </c>
      <c r="C377" s="462"/>
      <c r="D377" s="1244"/>
      <c r="E377" s="1050"/>
      <c r="F377" s="1244"/>
      <c r="H377" s="43" t="str">
        <f t="shared" ref="H377:Q386" si="185">IF($D377=H$6,$B377&amp;", ","")</f>
        <v/>
      </c>
      <c r="I377" s="43" t="str">
        <f t="shared" si="185"/>
        <v/>
      </c>
      <c r="J377" s="43" t="str">
        <f t="shared" si="185"/>
        <v/>
      </c>
      <c r="K377" s="43" t="str">
        <f t="shared" si="185"/>
        <v/>
      </c>
      <c r="L377" s="43" t="str">
        <f t="shared" si="185"/>
        <v/>
      </c>
      <c r="M377" s="43" t="str">
        <f t="shared" si="185"/>
        <v/>
      </c>
      <c r="N377" s="43" t="str">
        <f t="shared" si="185"/>
        <v/>
      </c>
      <c r="O377" s="43" t="str">
        <f t="shared" si="185"/>
        <v/>
      </c>
      <c r="P377" s="43" t="str">
        <f t="shared" si="185"/>
        <v/>
      </c>
      <c r="Q377" s="43" t="str">
        <f t="shared" si="185"/>
        <v/>
      </c>
      <c r="R377" s="43" t="str">
        <f t="shared" ref="R377:AA386" si="186">IF($D377=R$6,$B377&amp;", ","")</f>
        <v/>
      </c>
      <c r="S377" s="43" t="str">
        <f t="shared" si="186"/>
        <v/>
      </c>
      <c r="T377" s="43" t="str">
        <f t="shared" si="186"/>
        <v/>
      </c>
      <c r="U377" s="43" t="str">
        <f t="shared" si="186"/>
        <v/>
      </c>
      <c r="V377" s="43" t="str">
        <f t="shared" si="186"/>
        <v/>
      </c>
      <c r="W377" s="43" t="str">
        <f t="shared" si="186"/>
        <v/>
      </c>
      <c r="X377" s="43" t="str">
        <f t="shared" si="186"/>
        <v/>
      </c>
      <c r="Y377" s="43" t="str">
        <f t="shared" si="186"/>
        <v/>
      </c>
      <c r="Z377" s="43" t="str">
        <f t="shared" si="186"/>
        <v/>
      </c>
      <c r="AA377" s="43" t="str">
        <f t="shared" si="186"/>
        <v/>
      </c>
      <c r="AB377" s="43" t="str">
        <f t="shared" ref="AB377:AK386" si="187">IF($D377=AB$6,$B377&amp;", ","")</f>
        <v/>
      </c>
      <c r="AC377" s="43" t="str">
        <f t="shared" si="187"/>
        <v/>
      </c>
      <c r="AD377" s="43" t="str">
        <f t="shared" si="187"/>
        <v/>
      </c>
      <c r="AE377" s="43" t="str">
        <f t="shared" si="187"/>
        <v/>
      </c>
      <c r="AF377" s="43" t="str">
        <f t="shared" si="187"/>
        <v/>
      </c>
      <c r="AG377" s="43" t="str">
        <f t="shared" si="187"/>
        <v/>
      </c>
      <c r="AH377" s="43" t="str">
        <f t="shared" si="187"/>
        <v/>
      </c>
      <c r="AI377" s="43" t="str">
        <f t="shared" si="187"/>
        <v/>
      </c>
      <c r="AJ377" s="43" t="str">
        <f t="shared" si="187"/>
        <v/>
      </c>
      <c r="AK377" s="43" t="str">
        <f t="shared" si="187"/>
        <v/>
      </c>
      <c r="AL377" s="43" t="str">
        <f t="shared" ref="AL377:AU386" si="188">IF($D377=AL$6,$B377&amp;", ","")</f>
        <v/>
      </c>
      <c r="AM377" s="43" t="str">
        <f t="shared" si="188"/>
        <v/>
      </c>
      <c r="AN377" s="43" t="str">
        <f t="shared" si="188"/>
        <v/>
      </c>
      <c r="AO377" s="43" t="str">
        <f t="shared" si="188"/>
        <v/>
      </c>
      <c r="AP377" s="43" t="str">
        <f t="shared" si="188"/>
        <v/>
      </c>
      <c r="AQ377" s="43" t="str">
        <f t="shared" si="188"/>
        <v/>
      </c>
      <c r="AR377" s="43" t="str">
        <f t="shared" si="188"/>
        <v/>
      </c>
      <c r="AS377" s="43" t="str">
        <f t="shared" si="188"/>
        <v/>
      </c>
      <c r="AT377" s="43" t="str">
        <f t="shared" si="188"/>
        <v/>
      </c>
      <c r="AU377" s="43" t="str">
        <f t="shared" si="188"/>
        <v/>
      </c>
      <c r="AV377" s="43" t="str">
        <f t="shared" ref="AV377:BA386" si="189">IF($D377=AV$6,$B377&amp;", ","")</f>
        <v/>
      </c>
      <c r="AW377" s="43" t="str">
        <f t="shared" si="189"/>
        <v/>
      </c>
      <c r="AX377" s="43" t="str">
        <f t="shared" si="189"/>
        <v/>
      </c>
      <c r="AY377" s="43" t="str">
        <f t="shared" si="189"/>
        <v/>
      </c>
      <c r="AZ377" s="43" t="str">
        <f t="shared" si="189"/>
        <v/>
      </c>
      <c r="BA377" s="43" t="str">
        <f t="shared" si="189"/>
        <v/>
      </c>
      <c r="BB377" s="43"/>
      <c r="BC377" s="43"/>
      <c r="BD377" s="43"/>
      <c r="BE377" s="43"/>
      <c r="BF377" s="43"/>
      <c r="BG377" s="43"/>
      <c r="BW377" s="1250"/>
    </row>
    <row r="378" spans="1:75" x14ac:dyDescent="0.25">
      <c r="A378" s="1251"/>
      <c r="B378" s="462">
        <v>372</v>
      </c>
      <c r="C378" s="462"/>
      <c r="D378" s="1244"/>
      <c r="E378" s="1050"/>
      <c r="F378" s="1244"/>
      <c r="H378" s="43" t="str">
        <f t="shared" si="185"/>
        <v/>
      </c>
      <c r="I378" s="43" t="str">
        <f t="shared" si="185"/>
        <v/>
      </c>
      <c r="J378" s="43" t="str">
        <f t="shared" si="185"/>
        <v/>
      </c>
      <c r="K378" s="43" t="str">
        <f t="shared" si="185"/>
        <v/>
      </c>
      <c r="L378" s="43" t="str">
        <f t="shared" si="185"/>
        <v/>
      </c>
      <c r="M378" s="43" t="str">
        <f t="shared" si="185"/>
        <v/>
      </c>
      <c r="N378" s="43" t="str">
        <f t="shared" si="185"/>
        <v/>
      </c>
      <c r="O378" s="43" t="str">
        <f t="shared" si="185"/>
        <v/>
      </c>
      <c r="P378" s="43" t="str">
        <f t="shared" si="185"/>
        <v/>
      </c>
      <c r="Q378" s="43" t="str">
        <f t="shared" si="185"/>
        <v/>
      </c>
      <c r="R378" s="43" t="str">
        <f t="shared" si="186"/>
        <v/>
      </c>
      <c r="S378" s="43" t="str">
        <f t="shared" si="186"/>
        <v/>
      </c>
      <c r="T378" s="43" t="str">
        <f t="shared" si="186"/>
        <v/>
      </c>
      <c r="U378" s="43" t="str">
        <f t="shared" si="186"/>
        <v/>
      </c>
      <c r="V378" s="43" t="str">
        <f t="shared" si="186"/>
        <v/>
      </c>
      <c r="W378" s="43" t="str">
        <f t="shared" si="186"/>
        <v/>
      </c>
      <c r="X378" s="43" t="str">
        <f t="shared" si="186"/>
        <v/>
      </c>
      <c r="Y378" s="43" t="str">
        <f t="shared" si="186"/>
        <v/>
      </c>
      <c r="Z378" s="43" t="str">
        <f t="shared" si="186"/>
        <v/>
      </c>
      <c r="AA378" s="43" t="str">
        <f t="shared" si="186"/>
        <v/>
      </c>
      <c r="AB378" s="43" t="str">
        <f t="shared" si="187"/>
        <v/>
      </c>
      <c r="AC378" s="43" t="str">
        <f t="shared" si="187"/>
        <v/>
      </c>
      <c r="AD378" s="43" t="str">
        <f t="shared" si="187"/>
        <v/>
      </c>
      <c r="AE378" s="43" t="str">
        <f t="shared" si="187"/>
        <v/>
      </c>
      <c r="AF378" s="43" t="str">
        <f t="shared" si="187"/>
        <v/>
      </c>
      <c r="AG378" s="43" t="str">
        <f t="shared" si="187"/>
        <v/>
      </c>
      <c r="AH378" s="43" t="str">
        <f t="shared" si="187"/>
        <v/>
      </c>
      <c r="AI378" s="43" t="str">
        <f t="shared" si="187"/>
        <v/>
      </c>
      <c r="AJ378" s="43" t="str">
        <f t="shared" si="187"/>
        <v/>
      </c>
      <c r="AK378" s="43" t="str">
        <f t="shared" si="187"/>
        <v/>
      </c>
      <c r="AL378" s="43" t="str">
        <f t="shared" si="188"/>
        <v/>
      </c>
      <c r="AM378" s="43" t="str">
        <f t="shared" si="188"/>
        <v/>
      </c>
      <c r="AN378" s="43" t="str">
        <f t="shared" si="188"/>
        <v/>
      </c>
      <c r="AO378" s="43" t="str">
        <f t="shared" si="188"/>
        <v/>
      </c>
      <c r="AP378" s="43" t="str">
        <f t="shared" si="188"/>
        <v/>
      </c>
      <c r="AQ378" s="43" t="str">
        <f t="shared" si="188"/>
        <v/>
      </c>
      <c r="AR378" s="43" t="str">
        <f t="shared" si="188"/>
        <v/>
      </c>
      <c r="AS378" s="43" t="str">
        <f t="shared" si="188"/>
        <v/>
      </c>
      <c r="AT378" s="43" t="str">
        <f t="shared" si="188"/>
        <v/>
      </c>
      <c r="AU378" s="43" t="str">
        <f t="shared" si="188"/>
        <v/>
      </c>
      <c r="AV378" s="43" t="str">
        <f t="shared" si="189"/>
        <v/>
      </c>
      <c r="AW378" s="43" t="str">
        <f t="shared" si="189"/>
        <v/>
      </c>
      <c r="AX378" s="43" t="str">
        <f t="shared" si="189"/>
        <v/>
      </c>
      <c r="AY378" s="43" t="str">
        <f t="shared" si="189"/>
        <v/>
      </c>
      <c r="AZ378" s="43" t="str">
        <f t="shared" si="189"/>
        <v/>
      </c>
      <c r="BA378" s="43" t="str">
        <f t="shared" si="189"/>
        <v/>
      </c>
      <c r="BB378" s="43"/>
      <c r="BC378" s="43"/>
      <c r="BD378" s="43"/>
      <c r="BE378" s="43"/>
      <c r="BF378" s="43"/>
      <c r="BG378" s="43"/>
      <c r="BW378" s="1250"/>
    </row>
    <row r="379" spans="1:75" x14ac:dyDescent="0.25">
      <c r="A379" s="1251"/>
      <c r="B379" s="462">
        <v>373</v>
      </c>
      <c r="C379" s="462"/>
      <c r="D379" s="1244"/>
      <c r="E379" s="1050"/>
      <c r="F379" s="1244"/>
      <c r="H379" s="43" t="str">
        <f t="shared" si="185"/>
        <v/>
      </c>
      <c r="I379" s="43" t="str">
        <f t="shared" si="185"/>
        <v/>
      </c>
      <c r="J379" s="43" t="str">
        <f t="shared" si="185"/>
        <v/>
      </c>
      <c r="K379" s="43" t="str">
        <f t="shared" si="185"/>
        <v/>
      </c>
      <c r="L379" s="43" t="str">
        <f t="shared" si="185"/>
        <v/>
      </c>
      <c r="M379" s="43" t="str">
        <f t="shared" si="185"/>
        <v/>
      </c>
      <c r="N379" s="43" t="str">
        <f t="shared" si="185"/>
        <v/>
      </c>
      <c r="O379" s="43" t="str">
        <f t="shared" si="185"/>
        <v/>
      </c>
      <c r="P379" s="43" t="str">
        <f t="shared" si="185"/>
        <v/>
      </c>
      <c r="Q379" s="43" t="str">
        <f t="shared" si="185"/>
        <v/>
      </c>
      <c r="R379" s="43" t="str">
        <f t="shared" si="186"/>
        <v/>
      </c>
      <c r="S379" s="43" t="str">
        <f t="shared" si="186"/>
        <v/>
      </c>
      <c r="T379" s="43" t="str">
        <f t="shared" si="186"/>
        <v/>
      </c>
      <c r="U379" s="43" t="str">
        <f t="shared" si="186"/>
        <v/>
      </c>
      <c r="V379" s="43" t="str">
        <f t="shared" si="186"/>
        <v/>
      </c>
      <c r="W379" s="43" t="str">
        <f t="shared" si="186"/>
        <v/>
      </c>
      <c r="X379" s="43" t="str">
        <f t="shared" si="186"/>
        <v/>
      </c>
      <c r="Y379" s="43" t="str">
        <f t="shared" si="186"/>
        <v/>
      </c>
      <c r="Z379" s="43" t="str">
        <f t="shared" si="186"/>
        <v/>
      </c>
      <c r="AA379" s="43" t="str">
        <f t="shared" si="186"/>
        <v/>
      </c>
      <c r="AB379" s="43" t="str">
        <f t="shared" si="187"/>
        <v/>
      </c>
      <c r="AC379" s="43" t="str">
        <f t="shared" si="187"/>
        <v/>
      </c>
      <c r="AD379" s="43" t="str">
        <f t="shared" si="187"/>
        <v/>
      </c>
      <c r="AE379" s="43" t="str">
        <f t="shared" si="187"/>
        <v/>
      </c>
      <c r="AF379" s="43" t="str">
        <f t="shared" si="187"/>
        <v/>
      </c>
      <c r="AG379" s="43" t="str">
        <f t="shared" si="187"/>
        <v/>
      </c>
      <c r="AH379" s="43" t="str">
        <f t="shared" si="187"/>
        <v/>
      </c>
      <c r="AI379" s="43" t="str">
        <f t="shared" si="187"/>
        <v/>
      </c>
      <c r="AJ379" s="43" t="str">
        <f t="shared" si="187"/>
        <v/>
      </c>
      <c r="AK379" s="43" t="str">
        <f t="shared" si="187"/>
        <v/>
      </c>
      <c r="AL379" s="43" t="str">
        <f t="shared" si="188"/>
        <v/>
      </c>
      <c r="AM379" s="43" t="str">
        <f t="shared" si="188"/>
        <v/>
      </c>
      <c r="AN379" s="43" t="str">
        <f t="shared" si="188"/>
        <v/>
      </c>
      <c r="AO379" s="43" t="str">
        <f t="shared" si="188"/>
        <v/>
      </c>
      <c r="AP379" s="43" t="str">
        <f t="shared" si="188"/>
        <v/>
      </c>
      <c r="AQ379" s="43" t="str">
        <f t="shared" si="188"/>
        <v/>
      </c>
      <c r="AR379" s="43" t="str">
        <f t="shared" si="188"/>
        <v/>
      </c>
      <c r="AS379" s="43" t="str">
        <f t="shared" si="188"/>
        <v/>
      </c>
      <c r="AT379" s="43" t="str">
        <f t="shared" si="188"/>
        <v/>
      </c>
      <c r="AU379" s="43" t="str">
        <f t="shared" si="188"/>
        <v/>
      </c>
      <c r="AV379" s="43" t="str">
        <f t="shared" si="189"/>
        <v/>
      </c>
      <c r="AW379" s="43" t="str">
        <f t="shared" si="189"/>
        <v/>
      </c>
      <c r="AX379" s="43" t="str">
        <f t="shared" si="189"/>
        <v/>
      </c>
      <c r="AY379" s="43" t="str">
        <f t="shared" si="189"/>
        <v/>
      </c>
      <c r="AZ379" s="43" t="str">
        <f t="shared" si="189"/>
        <v/>
      </c>
      <c r="BA379" s="43" t="str">
        <f t="shared" si="189"/>
        <v/>
      </c>
      <c r="BB379" s="43"/>
      <c r="BC379" s="43"/>
      <c r="BD379" s="43"/>
      <c r="BE379" s="43"/>
      <c r="BF379" s="43"/>
      <c r="BG379" s="43"/>
      <c r="BW379" s="1250"/>
    </row>
    <row r="380" spans="1:75" x14ac:dyDescent="0.25">
      <c r="A380" s="1251"/>
      <c r="B380" s="462">
        <v>374</v>
      </c>
      <c r="C380" s="462"/>
      <c r="D380" s="1244"/>
      <c r="E380" s="1050"/>
      <c r="F380" s="1244"/>
      <c r="H380" s="43" t="str">
        <f t="shared" si="185"/>
        <v/>
      </c>
      <c r="I380" s="43" t="str">
        <f t="shared" si="185"/>
        <v/>
      </c>
      <c r="J380" s="43" t="str">
        <f t="shared" si="185"/>
        <v/>
      </c>
      <c r="K380" s="43" t="str">
        <f t="shared" si="185"/>
        <v/>
      </c>
      <c r="L380" s="43" t="str">
        <f t="shared" si="185"/>
        <v/>
      </c>
      <c r="M380" s="43" t="str">
        <f t="shared" si="185"/>
        <v/>
      </c>
      <c r="N380" s="43" t="str">
        <f t="shared" si="185"/>
        <v/>
      </c>
      <c r="O380" s="43" t="str">
        <f t="shared" si="185"/>
        <v/>
      </c>
      <c r="P380" s="43" t="str">
        <f t="shared" si="185"/>
        <v/>
      </c>
      <c r="Q380" s="43" t="str">
        <f t="shared" si="185"/>
        <v/>
      </c>
      <c r="R380" s="43" t="str">
        <f t="shared" si="186"/>
        <v/>
      </c>
      <c r="S380" s="43" t="str">
        <f t="shared" si="186"/>
        <v/>
      </c>
      <c r="T380" s="43" t="str">
        <f t="shared" si="186"/>
        <v/>
      </c>
      <c r="U380" s="43" t="str">
        <f t="shared" si="186"/>
        <v/>
      </c>
      <c r="V380" s="43" t="str">
        <f t="shared" si="186"/>
        <v/>
      </c>
      <c r="W380" s="43" t="str">
        <f t="shared" si="186"/>
        <v/>
      </c>
      <c r="X380" s="43" t="str">
        <f t="shared" si="186"/>
        <v/>
      </c>
      <c r="Y380" s="43" t="str">
        <f t="shared" si="186"/>
        <v/>
      </c>
      <c r="Z380" s="43" t="str">
        <f t="shared" si="186"/>
        <v/>
      </c>
      <c r="AA380" s="43" t="str">
        <f t="shared" si="186"/>
        <v/>
      </c>
      <c r="AB380" s="43" t="str">
        <f t="shared" si="187"/>
        <v/>
      </c>
      <c r="AC380" s="43" t="str">
        <f t="shared" si="187"/>
        <v/>
      </c>
      <c r="AD380" s="43" t="str">
        <f t="shared" si="187"/>
        <v/>
      </c>
      <c r="AE380" s="43" t="str">
        <f t="shared" si="187"/>
        <v/>
      </c>
      <c r="AF380" s="43" t="str">
        <f t="shared" si="187"/>
        <v/>
      </c>
      <c r="AG380" s="43" t="str">
        <f t="shared" si="187"/>
        <v/>
      </c>
      <c r="AH380" s="43" t="str">
        <f t="shared" si="187"/>
        <v/>
      </c>
      <c r="AI380" s="43" t="str">
        <f t="shared" si="187"/>
        <v/>
      </c>
      <c r="AJ380" s="43" t="str">
        <f t="shared" si="187"/>
        <v/>
      </c>
      <c r="AK380" s="43" t="str">
        <f t="shared" si="187"/>
        <v/>
      </c>
      <c r="AL380" s="43" t="str">
        <f t="shared" si="188"/>
        <v/>
      </c>
      <c r="AM380" s="43" t="str">
        <f t="shared" si="188"/>
        <v/>
      </c>
      <c r="AN380" s="43" t="str">
        <f t="shared" si="188"/>
        <v/>
      </c>
      <c r="AO380" s="43" t="str">
        <f t="shared" si="188"/>
        <v/>
      </c>
      <c r="AP380" s="43" t="str">
        <f t="shared" si="188"/>
        <v/>
      </c>
      <c r="AQ380" s="43" t="str">
        <f t="shared" si="188"/>
        <v/>
      </c>
      <c r="AR380" s="43" t="str">
        <f t="shared" si="188"/>
        <v/>
      </c>
      <c r="AS380" s="43" t="str">
        <f t="shared" si="188"/>
        <v/>
      </c>
      <c r="AT380" s="43" t="str">
        <f t="shared" si="188"/>
        <v/>
      </c>
      <c r="AU380" s="43" t="str">
        <f t="shared" si="188"/>
        <v/>
      </c>
      <c r="AV380" s="43" t="str">
        <f t="shared" si="189"/>
        <v/>
      </c>
      <c r="AW380" s="43" t="str">
        <f t="shared" si="189"/>
        <v/>
      </c>
      <c r="AX380" s="43" t="str">
        <f t="shared" si="189"/>
        <v/>
      </c>
      <c r="AY380" s="43" t="str">
        <f t="shared" si="189"/>
        <v/>
      </c>
      <c r="AZ380" s="43" t="str">
        <f t="shared" si="189"/>
        <v/>
      </c>
      <c r="BA380" s="43" t="str">
        <f t="shared" si="189"/>
        <v/>
      </c>
      <c r="BB380" s="43"/>
      <c r="BC380" s="43"/>
      <c r="BD380" s="43"/>
      <c r="BE380" s="43"/>
      <c r="BF380" s="43"/>
      <c r="BG380" s="43"/>
      <c r="BW380" s="1250"/>
    </row>
    <row r="381" spans="1:75" x14ac:dyDescent="0.25">
      <c r="A381" s="1251"/>
      <c r="B381" s="462">
        <v>375</v>
      </c>
      <c r="C381" s="462"/>
      <c r="D381" s="1244"/>
      <c r="E381" s="1050"/>
      <c r="F381" s="1244"/>
      <c r="H381" s="43" t="str">
        <f t="shared" si="185"/>
        <v/>
      </c>
      <c r="I381" s="43" t="str">
        <f t="shared" si="185"/>
        <v/>
      </c>
      <c r="J381" s="43" t="str">
        <f t="shared" si="185"/>
        <v/>
      </c>
      <c r="K381" s="43" t="str">
        <f t="shared" si="185"/>
        <v/>
      </c>
      <c r="L381" s="43" t="str">
        <f t="shared" si="185"/>
        <v/>
      </c>
      <c r="M381" s="43" t="str">
        <f t="shared" si="185"/>
        <v/>
      </c>
      <c r="N381" s="43" t="str">
        <f t="shared" si="185"/>
        <v/>
      </c>
      <c r="O381" s="43" t="str">
        <f t="shared" si="185"/>
        <v/>
      </c>
      <c r="P381" s="43" t="str">
        <f t="shared" si="185"/>
        <v/>
      </c>
      <c r="Q381" s="43" t="str">
        <f t="shared" si="185"/>
        <v/>
      </c>
      <c r="R381" s="43" t="str">
        <f t="shared" si="186"/>
        <v/>
      </c>
      <c r="S381" s="43" t="str">
        <f t="shared" si="186"/>
        <v/>
      </c>
      <c r="T381" s="43" t="str">
        <f t="shared" si="186"/>
        <v/>
      </c>
      <c r="U381" s="43" t="str">
        <f t="shared" si="186"/>
        <v/>
      </c>
      <c r="V381" s="43" t="str">
        <f t="shared" si="186"/>
        <v/>
      </c>
      <c r="W381" s="43" t="str">
        <f t="shared" si="186"/>
        <v/>
      </c>
      <c r="X381" s="43" t="str">
        <f t="shared" si="186"/>
        <v/>
      </c>
      <c r="Y381" s="43" t="str">
        <f t="shared" si="186"/>
        <v/>
      </c>
      <c r="Z381" s="43" t="str">
        <f t="shared" si="186"/>
        <v/>
      </c>
      <c r="AA381" s="43" t="str">
        <f t="shared" si="186"/>
        <v/>
      </c>
      <c r="AB381" s="43" t="str">
        <f t="shared" si="187"/>
        <v/>
      </c>
      <c r="AC381" s="43" t="str">
        <f t="shared" si="187"/>
        <v/>
      </c>
      <c r="AD381" s="43" t="str">
        <f t="shared" si="187"/>
        <v/>
      </c>
      <c r="AE381" s="43" t="str">
        <f t="shared" si="187"/>
        <v/>
      </c>
      <c r="AF381" s="43" t="str">
        <f t="shared" si="187"/>
        <v/>
      </c>
      <c r="AG381" s="43" t="str">
        <f t="shared" si="187"/>
        <v/>
      </c>
      <c r="AH381" s="43" t="str">
        <f t="shared" si="187"/>
        <v/>
      </c>
      <c r="AI381" s="43" t="str">
        <f t="shared" si="187"/>
        <v/>
      </c>
      <c r="AJ381" s="43" t="str">
        <f t="shared" si="187"/>
        <v/>
      </c>
      <c r="AK381" s="43" t="str">
        <f t="shared" si="187"/>
        <v/>
      </c>
      <c r="AL381" s="43" t="str">
        <f t="shared" si="188"/>
        <v/>
      </c>
      <c r="AM381" s="43" t="str">
        <f t="shared" si="188"/>
        <v/>
      </c>
      <c r="AN381" s="43" t="str">
        <f t="shared" si="188"/>
        <v/>
      </c>
      <c r="AO381" s="43" t="str">
        <f t="shared" si="188"/>
        <v/>
      </c>
      <c r="AP381" s="43" t="str">
        <f t="shared" si="188"/>
        <v/>
      </c>
      <c r="AQ381" s="43" t="str">
        <f t="shared" si="188"/>
        <v/>
      </c>
      <c r="AR381" s="43" t="str">
        <f t="shared" si="188"/>
        <v/>
      </c>
      <c r="AS381" s="43" t="str">
        <f t="shared" si="188"/>
        <v/>
      </c>
      <c r="AT381" s="43" t="str">
        <f t="shared" si="188"/>
        <v/>
      </c>
      <c r="AU381" s="43" t="str">
        <f t="shared" si="188"/>
        <v/>
      </c>
      <c r="AV381" s="43" t="str">
        <f t="shared" si="189"/>
        <v/>
      </c>
      <c r="AW381" s="43" t="str">
        <f t="shared" si="189"/>
        <v/>
      </c>
      <c r="AX381" s="43" t="str">
        <f t="shared" si="189"/>
        <v/>
      </c>
      <c r="AY381" s="43" t="str">
        <f t="shared" si="189"/>
        <v/>
      </c>
      <c r="AZ381" s="43" t="str">
        <f t="shared" si="189"/>
        <v/>
      </c>
      <c r="BA381" s="43" t="str">
        <f t="shared" si="189"/>
        <v/>
      </c>
      <c r="BB381" s="43"/>
      <c r="BC381" s="43"/>
      <c r="BD381" s="43"/>
      <c r="BE381" s="43"/>
      <c r="BF381" s="43"/>
      <c r="BG381" s="43"/>
      <c r="BW381" s="1250"/>
    </row>
    <row r="382" spans="1:75" x14ac:dyDescent="0.25">
      <c r="A382" s="1251"/>
      <c r="B382" s="462">
        <v>376</v>
      </c>
      <c r="C382" s="462"/>
      <c r="D382" s="1244"/>
      <c r="E382" s="1050"/>
      <c r="F382" s="1244"/>
      <c r="H382" s="43" t="str">
        <f t="shared" si="185"/>
        <v/>
      </c>
      <c r="I382" s="43" t="str">
        <f t="shared" si="185"/>
        <v/>
      </c>
      <c r="J382" s="43" t="str">
        <f t="shared" si="185"/>
        <v/>
      </c>
      <c r="K382" s="43" t="str">
        <f t="shared" si="185"/>
        <v/>
      </c>
      <c r="L382" s="43" t="str">
        <f t="shared" si="185"/>
        <v/>
      </c>
      <c r="M382" s="43" t="str">
        <f t="shared" si="185"/>
        <v/>
      </c>
      <c r="N382" s="43" t="str">
        <f t="shared" si="185"/>
        <v/>
      </c>
      <c r="O382" s="43" t="str">
        <f t="shared" si="185"/>
        <v/>
      </c>
      <c r="P382" s="43" t="str">
        <f t="shared" si="185"/>
        <v/>
      </c>
      <c r="Q382" s="43" t="str">
        <f t="shared" si="185"/>
        <v/>
      </c>
      <c r="R382" s="43" t="str">
        <f t="shared" si="186"/>
        <v/>
      </c>
      <c r="S382" s="43" t="str">
        <f t="shared" si="186"/>
        <v/>
      </c>
      <c r="T382" s="43" t="str">
        <f t="shared" si="186"/>
        <v/>
      </c>
      <c r="U382" s="43" t="str">
        <f t="shared" si="186"/>
        <v/>
      </c>
      <c r="V382" s="43" t="str">
        <f t="shared" si="186"/>
        <v/>
      </c>
      <c r="W382" s="43" t="str">
        <f t="shared" si="186"/>
        <v/>
      </c>
      <c r="X382" s="43" t="str">
        <f t="shared" si="186"/>
        <v/>
      </c>
      <c r="Y382" s="43" t="str">
        <f t="shared" si="186"/>
        <v/>
      </c>
      <c r="Z382" s="43" t="str">
        <f t="shared" si="186"/>
        <v/>
      </c>
      <c r="AA382" s="43" t="str">
        <f t="shared" si="186"/>
        <v/>
      </c>
      <c r="AB382" s="43" t="str">
        <f t="shared" si="187"/>
        <v/>
      </c>
      <c r="AC382" s="43" t="str">
        <f t="shared" si="187"/>
        <v/>
      </c>
      <c r="AD382" s="43" t="str">
        <f t="shared" si="187"/>
        <v/>
      </c>
      <c r="AE382" s="43" t="str">
        <f t="shared" si="187"/>
        <v/>
      </c>
      <c r="AF382" s="43" t="str">
        <f t="shared" si="187"/>
        <v/>
      </c>
      <c r="AG382" s="43" t="str">
        <f t="shared" si="187"/>
        <v/>
      </c>
      <c r="AH382" s="43" t="str">
        <f t="shared" si="187"/>
        <v/>
      </c>
      <c r="AI382" s="43" t="str">
        <f t="shared" si="187"/>
        <v/>
      </c>
      <c r="AJ382" s="43" t="str">
        <f t="shared" si="187"/>
        <v/>
      </c>
      <c r="AK382" s="43" t="str">
        <f t="shared" si="187"/>
        <v/>
      </c>
      <c r="AL382" s="43" t="str">
        <f t="shared" si="188"/>
        <v/>
      </c>
      <c r="AM382" s="43" t="str">
        <f t="shared" si="188"/>
        <v/>
      </c>
      <c r="AN382" s="43" t="str">
        <f t="shared" si="188"/>
        <v/>
      </c>
      <c r="AO382" s="43" t="str">
        <f t="shared" si="188"/>
        <v/>
      </c>
      <c r="AP382" s="43" t="str">
        <f t="shared" si="188"/>
        <v/>
      </c>
      <c r="AQ382" s="43" t="str">
        <f t="shared" si="188"/>
        <v/>
      </c>
      <c r="AR382" s="43" t="str">
        <f t="shared" si="188"/>
        <v/>
      </c>
      <c r="AS382" s="43" t="str">
        <f t="shared" si="188"/>
        <v/>
      </c>
      <c r="AT382" s="43" t="str">
        <f t="shared" si="188"/>
        <v/>
      </c>
      <c r="AU382" s="43" t="str">
        <f t="shared" si="188"/>
        <v/>
      </c>
      <c r="AV382" s="43" t="str">
        <f t="shared" si="189"/>
        <v/>
      </c>
      <c r="AW382" s="43" t="str">
        <f t="shared" si="189"/>
        <v/>
      </c>
      <c r="AX382" s="43" t="str">
        <f t="shared" si="189"/>
        <v/>
      </c>
      <c r="AY382" s="43" t="str">
        <f t="shared" si="189"/>
        <v/>
      </c>
      <c r="AZ382" s="43" t="str">
        <f t="shared" si="189"/>
        <v/>
      </c>
      <c r="BA382" s="43" t="str">
        <f t="shared" si="189"/>
        <v/>
      </c>
      <c r="BB382" s="43"/>
      <c r="BC382" s="43"/>
      <c r="BD382" s="43"/>
      <c r="BE382" s="43"/>
      <c r="BF382" s="43"/>
      <c r="BG382" s="43"/>
      <c r="BW382" s="1250"/>
    </row>
    <row r="383" spans="1:75" x14ac:dyDescent="0.25">
      <c r="A383" s="1251"/>
      <c r="B383" s="462">
        <v>377</v>
      </c>
      <c r="C383" s="462"/>
      <c r="D383" s="1244"/>
      <c r="E383" s="1050"/>
      <c r="F383" s="1244"/>
      <c r="H383" s="43" t="str">
        <f t="shared" si="185"/>
        <v/>
      </c>
      <c r="I383" s="43" t="str">
        <f t="shared" si="185"/>
        <v/>
      </c>
      <c r="J383" s="43" t="str">
        <f t="shared" si="185"/>
        <v/>
      </c>
      <c r="K383" s="43" t="str">
        <f t="shared" si="185"/>
        <v/>
      </c>
      <c r="L383" s="43" t="str">
        <f t="shared" si="185"/>
        <v/>
      </c>
      <c r="M383" s="43" t="str">
        <f t="shared" si="185"/>
        <v/>
      </c>
      <c r="N383" s="43" t="str">
        <f t="shared" si="185"/>
        <v/>
      </c>
      <c r="O383" s="43" t="str">
        <f t="shared" si="185"/>
        <v/>
      </c>
      <c r="P383" s="43" t="str">
        <f t="shared" si="185"/>
        <v/>
      </c>
      <c r="Q383" s="43" t="str">
        <f t="shared" si="185"/>
        <v/>
      </c>
      <c r="R383" s="43" t="str">
        <f t="shared" si="186"/>
        <v/>
      </c>
      <c r="S383" s="43" t="str">
        <f t="shared" si="186"/>
        <v/>
      </c>
      <c r="T383" s="43" t="str">
        <f t="shared" si="186"/>
        <v/>
      </c>
      <c r="U383" s="43" t="str">
        <f t="shared" si="186"/>
        <v/>
      </c>
      <c r="V383" s="43" t="str">
        <f t="shared" si="186"/>
        <v/>
      </c>
      <c r="W383" s="43" t="str">
        <f t="shared" si="186"/>
        <v/>
      </c>
      <c r="X383" s="43" t="str">
        <f t="shared" si="186"/>
        <v/>
      </c>
      <c r="Y383" s="43" t="str">
        <f t="shared" si="186"/>
        <v/>
      </c>
      <c r="Z383" s="43" t="str">
        <f t="shared" si="186"/>
        <v/>
      </c>
      <c r="AA383" s="43" t="str">
        <f t="shared" si="186"/>
        <v/>
      </c>
      <c r="AB383" s="43" t="str">
        <f t="shared" si="187"/>
        <v/>
      </c>
      <c r="AC383" s="43" t="str">
        <f t="shared" si="187"/>
        <v/>
      </c>
      <c r="AD383" s="43" t="str">
        <f t="shared" si="187"/>
        <v/>
      </c>
      <c r="AE383" s="43" t="str">
        <f t="shared" si="187"/>
        <v/>
      </c>
      <c r="AF383" s="43" t="str">
        <f t="shared" si="187"/>
        <v/>
      </c>
      <c r="AG383" s="43" t="str">
        <f t="shared" si="187"/>
        <v/>
      </c>
      <c r="AH383" s="43" t="str">
        <f t="shared" si="187"/>
        <v/>
      </c>
      <c r="AI383" s="43" t="str">
        <f t="shared" si="187"/>
        <v/>
      </c>
      <c r="AJ383" s="43" t="str">
        <f t="shared" si="187"/>
        <v/>
      </c>
      <c r="AK383" s="43" t="str">
        <f t="shared" si="187"/>
        <v/>
      </c>
      <c r="AL383" s="43" t="str">
        <f t="shared" si="188"/>
        <v/>
      </c>
      <c r="AM383" s="43" t="str">
        <f t="shared" si="188"/>
        <v/>
      </c>
      <c r="AN383" s="43" t="str">
        <f t="shared" si="188"/>
        <v/>
      </c>
      <c r="AO383" s="43" t="str">
        <f t="shared" si="188"/>
        <v/>
      </c>
      <c r="AP383" s="43" t="str">
        <f t="shared" si="188"/>
        <v/>
      </c>
      <c r="AQ383" s="43" t="str">
        <f t="shared" si="188"/>
        <v/>
      </c>
      <c r="AR383" s="43" t="str">
        <f t="shared" si="188"/>
        <v/>
      </c>
      <c r="AS383" s="43" t="str">
        <f t="shared" si="188"/>
        <v/>
      </c>
      <c r="AT383" s="43" t="str">
        <f t="shared" si="188"/>
        <v/>
      </c>
      <c r="AU383" s="43" t="str">
        <f t="shared" si="188"/>
        <v/>
      </c>
      <c r="AV383" s="43" t="str">
        <f t="shared" si="189"/>
        <v/>
      </c>
      <c r="AW383" s="43" t="str">
        <f t="shared" si="189"/>
        <v/>
      </c>
      <c r="AX383" s="43" t="str">
        <f t="shared" si="189"/>
        <v/>
      </c>
      <c r="AY383" s="43" t="str">
        <f t="shared" si="189"/>
        <v/>
      </c>
      <c r="AZ383" s="43" t="str">
        <f t="shared" si="189"/>
        <v/>
      </c>
      <c r="BA383" s="43" t="str">
        <f t="shared" si="189"/>
        <v/>
      </c>
      <c r="BB383" s="43"/>
      <c r="BC383" s="43"/>
      <c r="BD383" s="43"/>
      <c r="BE383" s="43"/>
      <c r="BF383" s="43"/>
      <c r="BG383" s="43"/>
      <c r="BW383" s="1250"/>
    </row>
    <row r="384" spans="1:75" x14ac:dyDescent="0.25">
      <c r="A384" s="1251"/>
      <c r="B384" s="462">
        <v>378</v>
      </c>
      <c r="C384" s="462"/>
      <c r="D384" s="1244"/>
      <c r="E384" s="1050"/>
      <c r="F384" s="1244"/>
      <c r="H384" s="43" t="str">
        <f t="shared" si="185"/>
        <v/>
      </c>
      <c r="I384" s="43" t="str">
        <f t="shared" si="185"/>
        <v/>
      </c>
      <c r="J384" s="43" t="str">
        <f t="shared" si="185"/>
        <v/>
      </c>
      <c r="K384" s="43" t="str">
        <f t="shared" si="185"/>
        <v/>
      </c>
      <c r="L384" s="43" t="str">
        <f t="shared" si="185"/>
        <v/>
      </c>
      <c r="M384" s="43" t="str">
        <f t="shared" si="185"/>
        <v/>
      </c>
      <c r="N384" s="43" t="str">
        <f t="shared" si="185"/>
        <v/>
      </c>
      <c r="O384" s="43" t="str">
        <f t="shared" si="185"/>
        <v/>
      </c>
      <c r="P384" s="43" t="str">
        <f t="shared" si="185"/>
        <v/>
      </c>
      <c r="Q384" s="43" t="str">
        <f t="shared" si="185"/>
        <v/>
      </c>
      <c r="R384" s="43" t="str">
        <f t="shared" si="186"/>
        <v/>
      </c>
      <c r="S384" s="43" t="str">
        <f t="shared" si="186"/>
        <v/>
      </c>
      <c r="T384" s="43" t="str">
        <f t="shared" si="186"/>
        <v/>
      </c>
      <c r="U384" s="43" t="str">
        <f t="shared" si="186"/>
        <v/>
      </c>
      <c r="V384" s="43" t="str">
        <f t="shared" si="186"/>
        <v/>
      </c>
      <c r="W384" s="43" t="str">
        <f t="shared" si="186"/>
        <v/>
      </c>
      <c r="X384" s="43" t="str">
        <f t="shared" si="186"/>
        <v/>
      </c>
      <c r="Y384" s="43" t="str">
        <f t="shared" si="186"/>
        <v/>
      </c>
      <c r="Z384" s="43" t="str">
        <f t="shared" si="186"/>
        <v/>
      </c>
      <c r="AA384" s="43" t="str">
        <f t="shared" si="186"/>
        <v/>
      </c>
      <c r="AB384" s="43" t="str">
        <f t="shared" si="187"/>
        <v/>
      </c>
      <c r="AC384" s="43" t="str">
        <f t="shared" si="187"/>
        <v/>
      </c>
      <c r="AD384" s="43" t="str">
        <f t="shared" si="187"/>
        <v/>
      </c>
      <c r="AE384" s="43" t="str">
        <f t="shared" si="187"/>
        <v/>
      </c>
      <c r="AF384" s="43" t="str">
        <f t="shared" si="187"/>
        <v/>
      </c>
      <c r="AG384" s="43" t="str">
        <f t="shared" si="187"/>
        <v/>
      </c>
      <c r="AH384" s="43" t="str">
        <f t="shared" si="187"/>
        <v/>
      </c>
      <c r="AI384" s="43" t="str">
        <f t="shared" si="187"/>
        <v/>
      </c>
      <c r="AJ384" s="43" t="str">
        <f t="shared" si="187"/>
        <v/>
      </c>
      <c r="AK384" s="43" t="str">
        <f t="shared" si="187"/>
        <v/>
      </c>
      <c r="AL384" s="43" t="str">
        <f t="shared" si="188"/>
        <v/>
      </c>
      <c r="AM384" s="43" t="str">
        <f t="shared" si="188"/>
        <v/>
      </c>
      <c r="AN384" s="43" t="str">
        <f t="shared" si="188"/>
        <v/>
      </c>
      <c r="AO384" s="43" t="str">
        <f t="shared" si="188"/>
        <v/>
      </c>
      <c r="AP384" s="43" t="str">
        <f t="shared" si="188"/>
        <v/>
      </c>
      <c r="AQ384" s="43" t="str">
        <f t="shared" si="188"/>
        <v/>
      </c>
      <c r="AR384" s="43" t="str">
        <f t="shared" si="188"/>
        <v/>
      </c>
      <c r="AS384" s="43" t="str">
        <f t="shared" si="188"/>
        <v/>
      </c>
      <c r="AT384" s="43" t="str">
        <f t="shared" si="188"/>
        <v/>
      </c>
      <c r="AU384" s="43" t="str">
        <f t="shared" si="188"/>
        <v/>
      </c>
      <c r="AV384" s="43" t="str">
        <f t="shared" si="189"/>
        <v/>
      </c>
      <c r="AW384" s="43" t="str">
        <f t="shared" si="189"/>
        <v/>
      </c>
      <c r="AX384" s="43" t="str">
        <f t="shared" si="189"/>
        <v/>
      </c>
      <c r="AY384" s="43" t="str">
        <f t="shared" si="189"/>
        <v/>
      </c>
      <c r="AZ384" s="43" t="str">
        <f t="shared" si="189"/>
        <v/>
      </c>
      <c r="BA384" s="43" t="str">
        <f t="shared" si="189"/>
        <v/>
      </c>
      <c r="BB384" s="43"/>
      <c r="BC384" s="43"/>
      <c r="BD384" s="43"/>
      <c r="BE384" s="43"/>
      <c r="BF384" s="43"/>
      <c r="BG384" s="43"/>
      <c r="BW384" s="1250"/>
    </row>
    <row r="385" spans="1:75" x14ac:dyDescent="0.25">
      <c r="A385" s="1251"/>
      <c r="B385" s="462">
        <v>379</v>
      </c>
      <c r="C385" s="462"/>
      <c r="D385" s="1244"/>
      <c r="E385" s="1050"/>
      <c r="F385" s="1244"/>
      <c r="H385" s="43" t="str">
        <f t="shared" si="185"/>
        <v/>
      </c>
      <c r="I385" s="43" t="str">
        <f t="shared" si="185"/>
        <v/>
      </c>
      <c r="J385" s="43" t="str">
        <f t="shared" si="185"/>
        <v/>
      </c>
      <c r="K385" s="43" t="str">
        <f t="shared" si="185"/>
        <v/>
      </c>
      <c r="L385" s="43" t="str">
        <f t="shared" si="185"/>
        <v/>
      </c>
      <c r="M385" s="43" t="str">
        <f t="shared" si="185"/>
        <v/>
      </c>
      <c r="N385" s="43" t="str">
        <f t="shared" si="185"/>
        <v/>
      </c>
      <c r="O385" s="43" t="str">
        <f t="shared" si="185"/>
        <v/>
      </c>
      <c r="P385" s="43" t="str">
        <f t="shared" si="185"/>
        <v/>
      </c>
      <c r="Q385" s="43" t="str">
        <f t="shared" si="185"/>
        <v/>
      </c>
      <c r="R385" s="43" t="str">
        <f t="shared" si="186"/>
        <v/>
      </c>
      <c r="S385" s="43" t="str">
        <f t="shared" si="186"/>
        <v/>
      </c>
      <c r="T385" s="43" t="str">
        <f t="shared" si="186"/>
        <v/>
      </c>
      <c r="U385" s="43" t="str">
        <f t="shared" si="186"/>
        <v/>
      </c>
      <c r="V385" s="43" t="str">
        <f t="shared" si="186"/>
        <v/>
      </c>
      <c r="W385" s="43" t="str">
        <f t="shared" si="186"/>
        <v/>
      </c>
      <c r="X385" s="43" t="str">
        <f t="shared" si="186"/>
        <v/>
      </c>
      <c r="Y385" s="43" t="str">
        <f t="shared" si="186"/>
        <v/>
      </c>
      <c r="Z385" s="43" t="str">
        <f t="shared" si="186"/>
        <v/>
      </c>
      <c r="AA385" s="43" t="str">
        <f t="shared" si="186"/>
        <v/>
      </c>
      <c r="AB385" s="43" t="str">
        <f t="shared" si="187"/>
        <v/>
      </c>
      <c r="AC385" s="43" t="str">
        <f t="shared" si="187"/>
        <v/>
      </c>
      <c r="AD385" s="43" t="str">
        <f t="shared" si="187"/>
        <v/>
      </c>
      <c r="AE385" s="43" t="str">
        <f t="shared" si="187"/>
        <v/>
      </c>
      <c r="AF385" s="43" t="str">
        <f t="shared" si="187"/>
        <v/>
      </c>
      <c r="AG385" s="43" t="str">
        <f t="shared" si="187"/>
        <v/>
      </c>
      <c r="AH385" s="43" t="str">
        <f t="shared" si="187"/>
        <v/>
      </c>
      <c r="AI385" s="43" t="str">
        <f t="shared" si="187"/>
        <v/>
      </c>
      <c r="AJ385" s="43" t="str">
        <f t="shared" si="187"/>
        <v/>
      </c>
      <c r="AK385" s="43" t="str">
        <f t="shared" si="187"/>
        <v/>
      </c>
      <c r="AL385" s="43" t="str">
        <f t="shared" si="188"/>
        <v/>
      </c>
      <c r="AM385" s="43" t="str">
        <f t="shared" si="188"/>
        <v/>
      </c>
      <c r="AN385" s="43" t="str">
        <f t="shared" si="188"/>
        <v/>
      </c>
      <c r="AO385" s="43" t="str">
        <f t="shared" si="188"/>
        <v/>
      </c>
      <c r="AP385" s="43" t="str">
        <f t="shared" si="188"/>
        <v/>
      </c>
      <c r="AQ385" s="43" t="str">
        <f t="shared" si="188"/>
        <v/>
      </c>
      <c r="AR385" s="43" t="str">
        <f t="shared" si="188"/>
        <v/>
      </c>
      <c r="AS385" s="43" t="str">
        <f t="shared" si="188"/>
        <v/>
      </c>
      <c r="AT385" s="43" t="str">
        <f t="shared" si="188"/>
        <v/>
      </c>
      <c r="AU385" s="43" t="str">
        <f t="shared" si="188"/>
        <v/>
      </c>
      <c r="AV385" s="43" t="str">
        <f t="shared" si="189"/>
        <v/>
      </c>
      <c r="AW385" s="43" t="str">
        <f t="shared" si="189"/>
        <v/>
      </c>
      <c r="AX385" s="43" t="str">
        <f t="shared" si="189"/>
        <v/>
      </c>
      <c r="AY385" s="43" t="str">
        <f t="shared" si="189"/>
        <v/>
      </c>
      <c r="AZ385" s="43" t="str">
        <f t="shared" si="189"/>
        <v/>
      </c>
      <c r="BA385" s="43" t="str">
        <f t="shared" si="189"/>
        <v/>
      </c>
      <c r="BB385" s="43"/>
      <c r="BC385" s="43"/>
      <c r="BD385" s="43"/>
      <c r="BE385" s="43"/>
      <c r="BF385" s="43"/>
      <c r="BG385" s="43"/>
      <c r="BW385" s="1250"/>
    </row>
    <row r="386" spans="1:75" x14ac:dyDescent="0.25">
      <c r="A386" s="1251"/>
      <c r="B386" s="462">
        <v>380</v>
      </c>
      <c r="C386" s="462"/>
      <c r="D386" s="1244"/>
      <c r="E386" s="1050"/>
      <c r="F386" s="1244"/>
      <c r="H386" s="43" t="str">
        <f t="shared" si="185"/>
        <v/>
      </c>
      <c r="I386" s="43" t="str">
        <f t="shared" si="185"/>
        <v/>
      </c>
      <c r="J386" s="43" t="str">
        <f t="shared" si="185"/>
        <v/>
      </c>
      <c r="K386" s="43" t="str">
        <f t="shared" si="185"/>
        <v/>
      </c>
      <c r="L386" s="43" t="str">
        <f t="shared" si="185"/>
        <v/>
      </c>
      <c r="M386" s="43" t="str">
        <f t="shared" si="185"/>
        <v/>
      </c>
      <c r="N386" s="43" t="str">
        <f t="shared" si="185"/>
        <v/>
      </c>
      <c r="O386" s="43" t="str">
        <f t="shared" si="185"/>
        <v/>
      </c>
      <c r="P386" s="43" t="str">
        <f t="shared" si="185"/>
        <v/>
      </c>
      <c r="Q386" s="43" t="str">
        <f t="shared" si="185"/>
        <v/>
      </c>
      <c r="R386" s="43" t="str">
        <f t="shared" si="186"/>
        <v/>
      </c>
      <c r="S386" s="43" t="str">
        <f t="shared" si="186"/>
        <v/>
      </c>
      <c r="T386" s="43" t="str">
        <f t="shared" si="186"/>
        <v/>
      </c>
      <c r="U386" s="43" t="str">
        <f t="shared" si="186"/>
        <v/>
      </c>
      <c r="V386" s="43" t="str">
        <f t="shared" si="186"/>
        <v/>
      </c>
      <c r="W386" s="43" t="str">
        <f t="shared" si="186"/>
        <v/>
      </c>
      <c r="X386" s="43" t="str">
        <f t="shared" si="186"/>
        <v/>
      </c>
      <c r="Y386" s="43" t="str">
        <f t="shared" si="186"/>
        <v/>
      </c>
      <c r="Z386" s="43" t="str">
        <f t="shared" si="186"/>
        <v/>
      </c>
      <c r="AA386" s="43" t="str">
        <f t="shared" si="186"/>
        <v/>
      </c>
      <c r="AB386" s="43" t="str">
        <f t="shared" si="187"/>
        <v/>
      </c>
      <c r="AC386" s="43" t="str">
        <f t="shared" si="187"/>
        <v/>
      </c>
      <c r="AD386" s="43" t="str">
        <f t="shared" si="187"/>
        <v/>
      </c>
      <c r="AE386" s="43" t="str">
        <f t="shared" si="187"/>
        <v/>
      </c>
      <c r="AF386" s="43" t="str">
        <f t="shared" si="187"/>
        <v/>
      </c>
      <c r="AG386" s="43" t="str">
        <f t="shared" si="187"/>
        <v/>
      </c>
      <c r="AH386" s="43" t="str">
        <f t="shared" si="187"/>
        <v/>
      </c>
      <c r="AI386" s="43" t="str">
        <f t="shared" si="187"/>
        <v/>
      </c>
      <c r="AJ386" s="43" t="str">
        <f t="shared" si="187"/>
        <v/>
      </c>
      <c r="AK386" s="43" t="str">
        <f t="shared" si="187"/>
        <v/>
      </c>
      <c r="AL386" s="43" t="str">
        <f t="shared" si="188"/>
        <v/>
      </c>
      <c r="AM386" s="43" t="str">
        <f t="shared" si="188"/>
        <v/>
      </c>
      <c r="AN386" s="43" t="str">
        <f t="shared" si="188"/>
        <v/>
      </c>
      <c r="AO386" s="43" t="str">
        <f t="shared" si="188"/>
        <v/>
      </c>
      <c r="AP386" s="43" t="str">
        <f t="shared" si="188"/>
        <v/>
      </c>
      <c r="AQ386" s="43" t="str">
        <f t="shared" si="188"/>
        <v/>
      </c>
      <c r="AR386" s="43" t="str">
        <f t="shared" si="188"/>
        <v/>
      </c>
      <c r="AS386" s="43" t="str">
        <f t="shared" si="188"/>
        <v/>
      </c>
      <c r="AT386" s="43" t="str">
        <f t="shared" si="188"/>
        <v/>
      </c>
      <c r="AU386" s="43" t="str">
        <f t="shared" si="188"/>
        <v/>
      </c>
      <c r="AV386" s="43" t="str">
        <f t="shared" si="189"/>
        <v/>
      </c>
      <c r="AW386" s="43" t="str">
        <f t="shared" si="189"/>
        <v/>
      </c>
      <c r="AX386" s="43" t="str">
        <f t="shared" si="189"/>
        <v/>
      </c>
      <c r="AY386" s="43" t="str">
        <f t="shared" si="189"/>
        <v/>
      </c>
      <c r="AZ386" s="43" t="str">
        <f t="shared" si="189"/>
        <v/>
      </c>
      <c r="BA386" s="43" t="str">
        <f t="shared" si="189"/>
        <v/>
      </c>
      <c r="BB386" s="43"/>
      <c r="BC386" s="43"/>
      <c r="BD386" s="43"/>
      <c r="BE386" s="43"/>
      <c r="BF386" s="43"/>
      <c r="BG386" s="43"/>
      <c r="BW386" s="1250"/>
    </row>
    <row r="387" spans="1:75" x14ac:dyDescent="0.25">
      <c r="A387" s="1251"/>
      <c r="B387" s="462">
        <v>381</v>
      </c>
      <c r="C387" s="462"/>
      <c r="D387" s="1244"/>
      <c r="E387" s="1050"/>
      <c r="F387" s="1244"/>
      <c r="H387" s="43" t="str">
        <f t="shared" ref="H387:Q396" si="190">IF($D387=H$6,$B387&amp;", ","")</f>
        <v/>
      </c>
      <c r="I387" s="43" t="str">
        <f t="shared" si="190"/>
        <v/>
      </c>
      <c r="J387" s="43" t="str">
        <f t="shared" si="190"/>
        <v/>
      </c>
      <c r="K387" s="43" t="str">
        <f t="shared" si="190"/>
        <v/>
      </c>
      <c r="L387" s="43" t="str">
        <f t="shared" si="190"/>
        <v/>
      </c>
      <c r="M387" s="43" t="str">
        <f t="shared" si="190"/>
        <v/>
      </c>
      <c r="N387" s="43" t="str">
        <f t="shared" si="190"/>
        <v/>
      </c>
      <c r="O387" s="43" t="str">
        <f t="shared" si="190"/>
        <v/>
      </c>
      <c r="P387" s="43" t="str">
        <f t="shared" si="190"/>
        <v/>
      </c>
      <c r="Q387" s="43" t="str">
        <f t="shared" si="190"/>
        <v/>
      </c>
      <c r="R387" s="43" t="str">
        <f t="shared" ref="R387:AA396" si="191">IF($D387=R$6,$B387&amp;", ","")</f>
        <v/>
      </c>
      <c r="S387" s="43" t="str">
        <f t="shared" si="191"/>
        <v/>
      </c>
      <c r="T387" s="43" t="str">
        <f t="shared" si="191"/>
        <v/>
      </c>
      <c r="U387" s="43" t="str">
        <f t="shared" si="191"/>
        <v/>
      </c>
      <c r="V387" s="43" t="str">
        <f t="shared" si="191"/>
        <v/>
      </c>
      <c r="W387" s="43" t="str">
        <f t="shared" si="191"/>
        <v/>
      </c>
      <c r="X387" s="43" t="str">
        <f t="shared" si="191"/>
        <v/>
      </c>
      <c r="Y387" s="43" t="str">
        <f t="shared" si="191"/>
        <v/>
      </c>
      <c r="Z387" s="43" t="str">
        <f t="shared" si="191"/>
        <v/>
      </c>
      <c r="AA387" s="43" t="str">
        <f t="shared" si="191"/>
        <v/>
      </c>
      <c r="AB387" s="43" t="str">
        <f t="shared" ref="AB387:AK396" si="192">IF($D387=AB$6,$B387&amp;", ","")</f>
        <v/>
      </c>
      <c r="AC387" s="43" t="str">
        <f t="shared" si="192"/>
        <v/>
      </c>
      <c r="AD387" s="43" t="str">
        <f t="shared" si="192"/>
        <v/>
      </c>
      <c r="AE387" s="43" t="str">
        <f t="shared" si="192"/>
        <v/>
      </c>
      <c r="AF387" s="43" t="str">
        <f t="shared" si="192"/>
        <v/>
      </c>
      <c r="AG387" s="43" t="str">
        <f t="shared" si="192"/>
        <v/>
      </c>
      <c r="AH387" s="43" t="str">
        <f t="shared" si="192"/>
        <v/>
      </c>
      <c r="AI387" s="43" t="str">
        <f t="shared" si="192"/>
        <v/>
      </c>
      <c r="AJ387" s="43" t="str">
        <f t="shared" si="192"/>
        <v/>
      </c>
      <c r="AK387" s="43" t="str">
        <f t="shared" si="192"/>
        <v/>
      </c>
      <c r="AL387" s="43" t="str">
        <f t="shared" ref="AL387:AU396" si="193">IF($D387=AL$6,$B387&amp;", ","")</f>
        <v/>
      </c>
      <c r="AM387" s="43" t="str">
        <f t="shared" si="193"/>
        <v/>
      </c>
      <c r="AN387" s="43" t="str">
        <f t="shared" si="193"/>
        <v/>
      </c>
      <c r="AO387" s="43" t="str">
        <f t="shared" si="193"/>
        <v/>
      </c>
      <c r="AP387" s="43" t="str">
        <f t="shared" si="193"/>
        <v/>
      </c>
      <c r="AQ387" s="43" t="str">
        <f t="shared" si="193"/>
        <v/>
      </c>
      <c r="AR387" s="43" t="str">
        <f t="shared" si="193"/>
        <v/>
      </c>
      <c r="AS387" s="43" t="str">
        <f t="shared" si="193"/>
        <v/>
      </c>
      <c r="AT387" s="43" t="str">
        <f t="shared" si="193"/>
        <v/>
      </c>
      <c r="AU387" s="43" t="str">
        <f t="shared" si="193"/>
        <v/>
      </c>
      <c r="AV387" s="43" t="str">
        <f t="shared" ref="AV387:BA396" si="194">IF($D387=AV$6,$B387&amp;", ","")</f>
        <v/>
      </c>
      <c r="AW387" s="43" t="str">
        <f t="shared" si="194"/>
        <v/>
      </c>
      <c r="AX387" s="43" t="str">
        <f t="shared" si="194"/>
        <v/>
      </c>
      <c r="AY387" s="43" t="str">
        <f t="shared" si="194"/>
        <v/>
      </c>
      <c r="AZ387" s="43" t="str">
        <f t="shared" si="194"/>
        <v/>
      </c>
      <c r="BA387" s="43" t="str">
        <f t="shared" si="194"/>
        <v/>
      </c>
      <c r="BB387" s="43"/>
      <c r="BC387" s="43"/>
      <c r="BD387" s="43"/>
      <c r="BE387" s="43"/>
      <c r="BF387" s="43"/>
      <c r="BG387" s="43"/>
      <c r="BW387" s="1250"/>
    </row>
    <row r="388" spans="1:75" x14ac:dyDescent="0.25">
      <c r="A388" s="1251"/>
      <c r="B388" s="462">
        <v>382</v>
      </c>
      <c r="C388" s="462"/>
      <c r="D388" s="1244"/>
      <c r="E388" s="1050"/>
      <c r="F388" s="1244"/>
      <c r="H388" s="43" t="str">
        <f t="shared" si="190"/>
        <v/>
      </c>
      <c r="I388" s="43" t="str">
        <f t="shared" si="190"/>
        <v/>
      </c>
      <c r="J388" s="43" t="str">
        <f t="shared" si="190"/>
        <v/>
      </c>
      <c r="K388" s="43" t="str">
        <f t="shared" si="190"/>
        <v/>
      </c>
      <c r="L388" s="43" t="str">
        <f t="shared" si="190"/>
        <v/>
      </c>
      <c r="M388" s="43" t="str">
        <f t="shared" si="190"/>
        <v/>
      </c>
      <c r="N388" s="43" t="str">
        <f t="shared" si="190"/>
        <v/>
      </c>
      <c r="O388" s="43" t="str">
        <f t="shared" si="190"/>
        <v/>
      </c>
      <c r="P388" s="43" t="str">
        <f t="shared" si="190"/>
        <v/>
      </c>
      <c r="Q388" s="43" t="str">
        <f t="shared" si="190"/>
        <v/>
      </c>
      <c r="R388" s="43" t="str">
        <f t="shared" si="191"/>
        <v/>
      </c>
      <c r="S388" s="43" t="str">
        <f t="shared" si="191"/>
        <v/>
      </c>
      <c r="T388" s="43" t="str">
        <f t="shared" si="191"/>
        <v/>
      </c>
      <c r="U388" s="43" t="str">
        <f t="shared" si="191"/>
        <v/>
      </c>
      <c r="V388" s="43" t="str">
        <f t="shared" si="191"/>
        <v/>
      </c>
      <c r="W388" s="43" t="str">
        <f t="shared" si="191"/>
        <v/>
      </c>
      <c r="X388" s="43" t="str">
        <f t="shared" si="191"/>
        <v/>
      </c>
      <c r="Y388" s="43" t="str">
        <f t="shared" si="191"/>
        <v/>
      </c>
      <c r="Z388" s="43" t="str">
        <f t="shared" si="191"/>
        <v/>
      </c>
      <c r="AA388" s="43" t="str">
        <f t="shared" si="191"/>
        <v/>
      </c>
      <c r="AB388" s="43" t="str">
        <f t="shared" si="192"/>
        <v/>
      </c>
      <c r="AC388" s="43" t="str">
        <f t="shared" si="192"/>
        <v/>
      </c>
      <c r="AD388" s="43" t="str">
        <f t="shared" si="192"/>
        <v/>
      </c>
      <c r="AE388" s="43" t="str">
        <f t="shared" si="192"/>
        <v/>
      </c>
      <c r="AF388" s="43" t="str">
        <f t="shared" si="192"/>
        <v/>
      </c>
      <c r="AG388" s="43" t="str">
        <f t="shared" si="192"/>
        <v/>
      </c>
      <c r="AH388" s="43" t="str">
        <f t="shared" si="192"/>
        <v/>
      </c>
      <c r="AI388" s="43" t="str">
        <f t="shared" si="192"/>
        <v/>
      </c>
      <c r="AJ388" s="43" t="str">
        <f t="shared" si="192"/>
        <v/>
      </c>
      <c r="AK388" s="43" t="str">
        <f t="shared" si="192"/>
        <v/>
      </c>
      <c r="AL388" s="43" t="str">
        <f t="shared" si="193"/>
        <v/>
      </c>
      <c r="AM388" s="43" t="str">
        <f t="shared" si="193"/>
        <v/>
      </c>
      <c r="AN388" s="43" t="str">
        <f t="shared" si="193"/>
        <v/>
      </c>
      <c r="AO388" s="43" t="str">
        <f t="shared" si="193"/>
        <v/>
      </c>
      <c r="AP388" s="43" t="str">
        <f t="shared" si="193"/>
        <v/>
      </c>
      <c r="AQ388" s="43" t="str">
        <f t="shared" si="193"/>
        <v/>
      </c>
      <c r="AR388" s="43" t="str">
        <f t="shared" si="193"/>
        <v/>
      </c>
      <c r="AS388" s="43" t="str">
        <f t="shared" si="193"/>
        <v/>
      </c>
      <c r="AT388" s="43" t="str">
        <f t="shared" si="193"/>
        <v/>
      </c>
      <c r="AU388" s="43" t="str">
        <f t="shared" si="193"/>
        <v/>
      </c>
      <c r="AV388" s="43" t="str">
        <f t="shared" si="194"/>
        <v/>
      </c>
      <c r="AW388" s="43" t="str">
        <f t="shared" si="194"/>
        <v/>
      </c>
      <c r="AX388" s="43" t="str">
        <f t="shared" si="194"/>
        <v/>
      </c>
      <c r="AY388" s="43" t="str">
        <f t="shared" si="194"/>
        <v/>
      </c>
      <c r="AZ388" s="43" t="str">
        <f t="shared" si="194"/>
        <v/>
      </c>
      <c r="BA388" s="43" t="str">
        <f t="shared" si="194"/>
        <v/>
      </c>
      <c r="BB388" s="43"/>
      <c r="BC388" s="43"/>
      <c r="BD388" s="43"/>
      <c r="BE388" s="43"/>
      <c r="BF388" s="43"/>
      <c r="BG388" s="43"/>
      <c r="BW388" s="1250"/>
    </row>
    <row r="389" spans="1:75" x14ac:dyDescent="0.25">
      <c r="A389" s="1251"/>
      <c r="B389" s="462">
        <v>383</v>
      </c>
      <c r="C389" s="462"/>
      <c r="D389" s="1244"/>
      <c r="E389" s="1050"/>
      <c r="F389" s="1244"/>
      <c r="H389" s="43" t="str">
        <f t="shared" si="190"/>
        <v/>
      </c>
      <c r="I389" s="43" t="str">
        <f t="shared" si="190"/>
        <v/>
      </c>
      <c r="J389" s="43" t="str">
        <f t="shared" si="190"/>
        <v/>
      </c>
      <c r="K389" s="43" t="str">
        <f t="shared" si="190"/>
        <v/>
      </c>
      <c r="L389" s="43" t="str">
        <f t="shared" si="190"/>
        <v/>
      </c>
      <c r="M389" s="43" t="str">
        <f t="shared" si="190"/>
        <v/>
      </c>
      <c r="N389" s="43" t="str">
        <f t="shared" si="190"/>
        <v/>
      </c>
      <c r="O389" s="43" t="str">
        <f t="shared" si="190"/>
        <v/>
      </c>
      <c r="P389" s="43" t="str">
        <f t="shared" si="190"/>
        <v/>
      </c>
      <c r="Q389" s="43" t="str">
        <f t="shared" si="190"/>
        <v/>
      </c>
      <c r="R389" s="43" t="str">
        <f t="shared" si="191"/>
        <v/>
      </c>
      <c r="S389" s="43" t="str">
        <f t="shared" si="191"/>
        <v/>
      </c>
      <c r="T389" s="43" t="str">
        <f t="shared" si="191"/>
        <v/>
      </c>
      <c r="U389" s="43" t="str">
        <f t="shared" si="191"/>
        <v/>
      </c>
      <c r="V389" s="43" t="str">
        <f t="shared" si="191"/>
        <v/>
      </c>
      <c r="W389" s="43" t="str">
        <f t="shared" si="191"/>
        <v/>
      </c>
      <c r="X389" s="43" t="str">
        <f t="shared" si="191"/>
        <v/>
      </c>
      <c r="Y389" s="43" t="str">
        <f t="shared" si="191"/>
        <v/>
      </c>
      <c r="Z389" s="43" t="str">
        <f t="shared" si="191"/>
        <v/>
      </c>
      <c r="AA389" s="43" t="str">
        <f t="shared" si="191"/>
        <v/>
      </c>
      <c r="AB389" s="43" t="str">
        <f t="shared" si="192"/>
        <v/>
      </c>
      <c r="AC389" s="43" t="str">
        <f t="shared" si="192"/>
        <v/>
      </c>
      <c r="AD389" s="43" t="str">
        <f t="shared" si="192"/>
        <v/>
      </c>
      <c r="AE389" s="43" t="str">
        <f t="shared" si="192"/>
        <v/>
      </c>
      <c r="AF389" s="43" t="str">
        <f t="shared" si="192"/>
        <v/>
      </c>
      <c r="AG389" s="43" t="str">
        <f t="shared" si="192"/>
        <v/>
      </c>
      <c r="AH389" s="43" t="str">
        <f t="shared" si="192"/>
        <v/>
      </c>
      <c r="AI389" s="43" t="str">
        <f t="shared" si="192"/>
        <v/>
      </c>
      <c r="AJ389" s="43" t="str">
        <f t="shared" si="192"/>
        <v/>
      </c>
      <c r="AK389" s="43" t="str">
        <f t="shared" si="192"/>
        <v/>
      </c>
      <c r="AL389" s="43" t="str">
        <f t="shared" si="193"/>
        <v/>
      </c>
      <c r="AM389" s="43" t="str">
        <f t="shared" si="193"/>
        <v/>
      </c>
      <c r="AN389" s="43" t="str">
        <f t="shared" si="193"/>
        <v/>
      </c>
      <c r="AO389" s="43" t="str">
        <f t="shared" si="193"/>
        <v/>
      </c>
      <c r="AP389" s="43" t="str">
        <f t="shared" si="193"/>
        <v/>
      </c>
      <c r="AQ389" s="43" t="str">
        <f t="shared" si="193"/>
        <v/>
      </c>
      <c r="AR389" s="43" t="str">
        <f t="shared" si="193"/>
        <v/>
      </c>
      <c r="AS389" s="43" t="str">
        <f t="shared" si="193"/>
        <v/>
      </c>
      <c r="AT389" s="43" t="str">
        <f t="shared" si="193"/>
        <v/>
      </c>
      <c r="AU389" s="43" t="str">
        <f t="shared" si="193"/>
        <v/>
      </c>
      <c r="AV389" s="43" t="str">
        <f t="shared" si="194"/>
        <v/>
      </c>
      <c r="AW389" s="43" t="str">
        <f t="shared" si="194"/>
        <v/>
      </c>
      <c r="AX389" s="43" t="str">
        <f t="shared" si="194"/>
        <v/>
      </c>
      <c r="AY389" s="43" t="str">
        <f t="shared" si="194"/>
        <v/>
      </c>
      <c r="AZ389" s="43" t="str">
        <f t="shared" si="194"/>
        <v/>
      </c>
      <c r="BA389" s="43" t="str">
        <f t="shared" si="194"/>
        <v/>
      </c>
      <c r="BB389" s="43"/>
      <c r="BC389" s="43"/>
      <c r="BD389" s="43"/>
      <c r="BE389" s="43"/>
      <c r="BF389" s="43"/>
      <c r="BG389" s="43"/>
      <c r="BW389" s="1250"/>
    </row>
    <row r="390" spans="1:75" x14ac:dyDescent="0.25">
      <c r="A390" s="1251"/>
      <c r="B390" s="462">
        <v>384</v>
      </c>
      <c r="C390" s="462"/>
      <c r="D390" s="1244"/>
      <c r="E390" s="1050"/>
      <c r="F390" s="1244"/>
      <c r="H390" s="43" t="str">
        <f t="shared" si="190"/>
        <v/>
      </c>
      <c r="I390" s="43" t="str">
        <f t="shared" si="190"/>
        <v/>
      </c>
      <c r="J390" s="43" t="str">
        <f t="shared" si="190"/>
        <v/>
      </c>
      <c r="K390" s="43" t="str">
        <f t="shared" si="190"/>
        <v/>
      </c>
      <c r="L390" s="43" t="str">
        <f t="shared" si="190"/>
        <v/>
      </c>
      <c r="M390" s="43" t="str">
        <f t="shared" si="190"/>
        <v/>
      </c>
      <c r="N390" s="43" t="str">
        <f t="shared" si="190"/>
        <v/>
      </c>
      <c r="O390" s="43" t="str">
        <f t="shared" si="190"/>
        <v/>
      </c>
      <c r="P390" s="43" t="str">
        <f t="shared" si="190"/>
        <v/>
      </c>
      <c r="Q390" s="43" t="str">
        <f t="shared" si="190"/>
        <v/>
      </c>
      <c r="R390" s="43" t="str">
        <f t="shared" si="191"/>
        <v/>
      </c>
      <c r="S390" s="43" t="str">
        <f t="shared" si="191"/>
        <v/>
      </c>
      <c r="T390" s="43" t="str">
        <f t="shared" si="191"/>
        <v/>
      </c>
      <c r="U390" s="43" t="str">
        <f t="shared" si="191"/>
        <v/>
      </c>
      <c r="V390" s="43" t="str">
        <f t="shared" si="191"/>
        <v/>
      </c>
      <c r="W390" s="43" t="str">
        <f t="shared" si="191"/>
        <v/>
      </c>
      <c r="X390" s="43" t="str">
        <f t="shared" si="191"/>
        <v/>
      </c>
      <c r="Y390" s="43" t="str">
        <f t="shared" si="191"/>
        <v/>
      </c>
      <c r="Z390" s="43" t="str">
        <f t="shared" si="191"/>
        <v/>
      </c>
      <c r="AA390" s="43" t="str">
        <f t="shared" si="191"/>
        <v/>
      </c>
      <c r="AB390" s="43" t="str">
        <f t="shared" si="192"/>
        <v/>
      </c>
      <c r="AC390" s="43" t="str">
        <f t="shared" si="192"/>
        <v/>
      </c>
      <c r="AD390" s="43" t="str">
        <f t="shared" si="192"/>
        <v/>
      </c>
      <c r="AE390" s="43" t="str">
        <f t="shared" si="192"/>
        <v/>
      </c>
      <c r="AF390" s="43" t="str">
        <f t="shared" si="192"/>
        <v/>
      </c>
      <c r="AG390" s="43" t="str">
        <f t="shared" si="192"/>
        <v/>
      </c>
      <c r="AH390" s="43" t="str">
        <f t="shared" si="192"/>
        <v/>
      </c>
      <c r="AI390" s="43" t="str">
        <f t="shared" si="192"/>
        <v/>
      </c>
      <c r="AJ390" s="43" t="str">
        <f t="shared" si="192"/>
        <v/>
      </c>
      <c r="AK390" s="43" t="str">
        <f t="shared" si="192"/>
        <v/>
      </c>
      <c r="AL390" s="43" t="str">
        <f t="shared" si="193"/>
        <v/>
      </c>
      <c r="AM390" s="43" t="str">
        <f t="shared" si="193"/>
        <v/>
      </c>
      <c r="AN390" s="43" t="str">
        <f t="shared" si="193"/>
        <v/>
      </c>
      <c r="AO390" s="43" t="str">
        <f t="shared" si="193"/>
        <v/>
      </c>
      <c r="AP390" s="43" t="str">
        <f t="shared" si="193"/>
        <v/>
      </c>
      <c r="AQ390" s="43" t="str">
        <f t="shared" si="193"/>
        <v/>
      </c>
      <c r="AR390" s="43" t="str">
        <f t="shared" si="193"/>
        <v/>
      </c>
      <c r="AS390" s="43" t="str">
        <f t="shared" si="193"/>
        <v/>
      </c>
      <c r="AT390" s="43" t="str">
        <f t="shared" si="193"/>
        <v/>
      </c>
      <c r="AU390" s="43" t="str">
        <f t="shared" si="193"/>
        <v/>
      </c>
      <c r="AV390" s="43" t="str">
        <f t="shared" si="194"/>
        <v/>
      </c>
      <c r="AW390" s="43" t="str">
        <f t="shared" si="194"/>
        <v/>
      </c>
      <c r="AX390" s="43" t="str">
        <f t="shared" si="194"/>
        <v/>
      </c>
      <c r="AY390" s="43" t="str">
        <f t="shared" si="194"/>
        <v/>
      </c>
      <c r="AZ390" s="43" t="str">
        <f t="shared" si="194"/>
        <v/>
      </c>
      <c r="BA390" s="43" t="str">
        <f t="shared" si="194"/>
        <v/>
      </c>
      <c r="BB390" s="43"/>
      <c r="BC390" s="43"/>
      <c r="BD390" s="43"/>
      <c r="BE390" s="43"/>
      <c r="BF390" s="43"/>
      <c r="BG390" s="43"/>
      <c r="BW390" s="1250"/>
    </row>
    <row r="391" spans="1:75" x14ac:dyDescent="0.25">
      <c r="A391" s="1251"/>
      <c r="B391" s="462">
        <v>385</v>
      </c>
      <c r="C391" s="462"/>
      <c r="D391" s="1244"/>
      <c r="E391" s="1050"/>
      <c r="F391" s="1244"/>
      <c r="H391" s="43" t="str">
        <f t="shared" si="190"/>
        <v/>
      </c>
      <c r="I391" s="43" t="str">
        <f t="shared" si="190"/>
        <v/>
      </c>
      <c r="J391" s="43" t="str">
        <f t="shared" si="190"/>
        <v/>
      </c>
      <c r="K391" s="43" t="str">
        <f t="shared" si="190"/>
        <v/>
      </c>
      <c r="L391" s="43" t="str">
        <f t="shared" si="190"/>
        <v/>
      </c>
      <c r="M391" s="43" t="str">
        <f t="shared" si="190"/>
        <v/>
      </c>
      <c r="N391" s="43" t="str">
        <f t="shared" si="190"/>
        <v/>
      </c>
      <c r="O391" s="43" t="str">
        <f t="shared" si="190"/>
        <v/>
      </c>
      <c r="P391" s="43" t="str">
        <f t="shared" si="190"/>
        <v/>
      </c>
      <c r="Q391" s="43" t="str">
        <f t="shared" si="190"/>
        <v/>
      </c>
      <c r="R391" s="43" t="str">
        <f t="shared" si="191"/>
        <v/>
      </c>
      <c r="S391" s="43" t="str">
        <f t="shared" si="191"/>
        <v/>
      </c>
      <c r="T391" s="43" t="str">
        <f t="shared" si="191"/>
        <v/>
      </c>
      <c r="U391" s="43" t="str">
        <f t="shared" si="191"/>
        <v/>
      </c>
      <c r="V391" s="43" t="str">
        <f t="shared" si="191"/>
        <v/>
      </c>
      <c r="W391" s="43" t="str">
        <f t="shared" si="191"/>
        <v/>
      </c>
      <c r="X391" s="43" t="str">
        <f t="shared" si="191"/>
        <v/>
      </c>
      <c r="Y391" s="43" t="str">
        <f t="shared" si="191"/>
        <v/>
      </c>
      <c r="Z391" s="43" t="str">
        <f t="shared" si="191"/>
        <v/>
      </c>
      <c r="AA391" s="43" t="str">
        <f t="shared" si="191"/>
        <v/>
      </c>
      <c r="AB391" s="43" t="str">
        <f t="shared" si="192"/>
        <v/>
      </c>
      <c r="AC391" s="43" t="str">
        <f t="shared" si="192"/>
        <v/>
      </c>
      <c r="AD391" s="43" t="str">
        <f t="shared" si="192"/>
        <v/>
      </c>
      <c r="AE391" s="43" t="str">
        <f t="shared" si="192"/>
        <v/>
      </c>
      <c r="AF391" s="43" t="str">
        <f t="shared" si="192"/>
        <v/>
      </c>
      <c r="AG391" s="43" t="str">
        <f t="shared" si="192"/>
        <v/>
      </c>
      <c r="AH391" s="43" t="str">
        <f t="shared" si="192"/>
        <v/>
      </c>
      <c r="AI391" s="43" t="str">
        <f t="shared" si="192"/>
        <v/>
      </c>
      <c r="AJ391" s="43" t="str">
        <f t="shared" si="192"/>
        <v/>
      </c>
      <c r="AK391" s="43" t="str">
        <f t="shared" si="192"/>
        <v/>
      </c>
      <c r="AL391" s="43" t="str">
        <f t="shared" si="193"/>
        <v/>
      </c>
      <c r="AM391" s="43" t="str">
        <f t="shared" si="193"/>
        <v/>
      </c>
      <c r="AN391" s="43" t="str">
        <f t="shared" si="193"/>
        <v/>
      </c>
      <c r="AO391" s="43" t="str">
        <f t="shared" si="193"/>
        <v/>
      </c>
      <c r="AP391" s="43" t="str">
        <f t="shared" si="193"/>
        <v/>
      </c>
      <c r="AQ391" s="43" t="str">
        <f t="shared" si="193"/>
        <v/>
      </c>
      <c r="AR391" s="43" t="str">
        <f t="shared" si="193"/>
        <v/>
      </c>
      <c r="AS391" s="43" t="str">
        <f t="shared" si="193"/>
        <v/>
      </c>
      <c r="AT391" s="43" t="str">
        <f t="shared" si="193"/>
        <v/>
      </c>
      <c r="AU391" s="43" t="str">
        <f t="shared" si="193"/>
        <v/>
      </c>
      <c r="AV391" s="43" t="str">
        <f t="shared" si="194"/>
        <v/>
      </c>
      <c r="AW391" s="43" t="str">
        <f t="shared" si="194"/>
        <v/>
      </c>
      <c r="AX391" s="43" t="str">
        <f t="shared" si="194"/>
        <v/>
      </c>
      <c r="AY391" s="43" t="str">
        <f t="shared" si="194"/>
        <v/>
      </c>
      <c r="AZ391" s="43" t="str">
        <f t="shared" si="194"/>
        <v/>
      </c>
      <c r="BA391" s="43" t="str">
        <f t="shared" si="194"/>
        <v/>
      </c>
      <c r="BB391" s="43"/>
      <c r="BC391" s="43"/>
      <c r="BD391" s="43"/>
      <c r="BE391" s="43"/>
      <c r="BF391" s="43"/>
      <c r="BG391" s="43"/>
      <c r="BW391" s="1250"/>
    </row>
    <row r="392" spans="1:75" x14ac:dyDescent="0.25">
      <c r="A392" s="1251"/>
      <c r="B392" s="462">
        <v>386</v>
      </c>
      <c r="C392" s="462"/>
      <c r="D392" s="1244"/>
      <c r="E392" s="1050"/>
      <c r="F392" s="1244"/>
      <c r="H392" s="43" t="str">
        <f t="shared" si="190"/>
        <v/>
      </c>
      <c r="I392" s="43" t="str">
        <f t="shared" si="190"/>
        <v/>
      </c>
      <c r="J392" s="43" t="str">
        <f t="shared" si="190"/>
        <v/>
      </c>
      <c r="K392" s="43" t="str">
        <f t="shared" si="190"/>
        <v/>
      </c>
      <c r="L392" s="43" t="str">
        <f t="shared" si="190"/>
        <v/>
      </c>
      <c r="M392" s="43" t="str">
        <f t="shared" si="190"/>
        <v/>
      </c>
      <c r="N392" s="43" t="str">
        <f t="shared" si="190"/>
        <v/>
      </c>
      <c r="O392" s="43" t="str">
        <f t="shared" si="190"/>
        <v/>
      </c>
      <c r="P392" s="43" t="str">
        <f t="shared" si="190"/>
        <v/>
      </c>
      <c r="Q392" s="43" t="str">
        <f t="shared" si="190"/>
        <v/>
      </c>
      <c r="R392" s="43" t="str">
        <f t="shared" si="191"/>
        <v/>
      </c>
      <c r="S392" s="43" t="str">
        <f t="shared" si="191"/>
        <v/>
      </c>
      <c r="T392" s="43" t="str">
        <f t="shared" si="191"/>
        <v/>
      </c>
      <c r="U392" s="43" t="str">
        <f t="shared" si="191"/>
        <v/>
      </c>
      <c r="V392" s="43" t="str">
        <f t="shared" si="191"/>
        <v/>
      </c>
      <c r="W392" s="43" t="str">
        <f t="shared" si="191"/>
        <v/>
      </c>
      <c r="X392" s="43" t="str">
        <f t="shared" si="191"/>
        <v/>
      </c>
      <c r="Y392" s="43" t="str">
        <f t="shared" si="191"/>
        <v/>
      </c>
      <c r="Z392" s="43" t="str">
        <f t="shared" si="191"/>
        <v/>
      </c>
      <c r="AA392" s="43" t="str">
        <f t="shared" si="191"/>
        <v/>
      </c>
      <c r="AB392" s="43" t="str">
        <f t="shared" si="192"/>
        <v/>
      </c>
      <c r="AC392" s="43" t="str">
        <f t="shared" si="192"/>
        <v/>
      </c>
      <c r="AD392" s="43" t="str">
        <f t="shared" si="192"/>
        <v/>
      </c>
      <c r="AE392" s="43" t="str">
        <f t="shared" si="192"/>
        <v/>
      </c>
      <c r="AF392" s="43" t="str">
        <f t="shared" si="192"/>
        <v/>
      </c>
      <c r="AG392" s="43" t="str">
        <f t="shared" si="192"/>
        <v/>
      </c>
      <c r="AH392" s="43" t="str">
        <f t="shared" si="192"/>
        <v/>
      </c>
      <c r="AI392" s="43" t="str">
        <f t="shared" si="192"/>
        <v/>
      </c>
      <c r="AJ392" s="43" t="str">
        <f t="shared" si="192"/>
        <v/>
      </c>
      <c r="AK392" s="43" t="str">
        <f t="shared" si="192"/>
        <v/>
      </c>
      <c r="AL392" s="43" t="str">
        <f t="shared" si="193"/>
        <v/>
      </c>
      <c r="AM392" s="43" t="str">
        <f t="shared" si="193"/>
        <v/>
      </c>
      <c r="AN392" s="43" t="str">
        <f t="shared" si="193"/>
        <v/>
      </c>
      <c r="AO392" s="43" t="str">
        <f t="shared" si="193"/>
        <v/>
      </c>
      <c r="AP392" s="43" t="str">
        <f t="shared" si="193"/>
        <v/>
      </c>
      <c r="AQ392" s="43" t="str">
        <f t="shared" si="193"/>
        <v/>
      </c>
      <c r="AR392" s="43" t="str">
        <f t="shared" si="193"/>
        <v/>
      </c>
      <c r="AS392" s="43" t="str">
        <f t="shared" si="193"/>
        <v/>
      </c>
      <c r="AT392" s="43" t="str">
        <f t="shared" si="193"/>
        <v/>
      </c>
      <c r="AU392" s="43" t="str">
        <f t="shared" si="193"/>
        <v/>
      </c>
      <c r="AV392" s="43" t="str">
        <f t="shared" si="194"/>
        <v/>
      </c>
      <c r="AW392" s="43" t="str">
        <f t="shared" si="194"/>
        <v/>
      </c>
      <c r="AX392" s="43" t="str">
        <f t="shared" si="194"/>
        <v/>
      </c>
      <c r="AY392" s="43" t="str">
        <f t="shared" si="194"/>
        <v/>
      </c>
      <c r="AZ392" s="43" t="str">
        <f t="shared" si="194"/>
        <v/>
      </c>
      <c r="BA392" s="43" t="str">
        <f t="shared" si="194"/>
        <v/>
      </c>
      <c r="BB392" s="43"/>
      <c r="BC392" s="43"/>
      <c r="BD392" s="43"/>
      <c r="BE392" s="43"/>
      <c r="BF392" s="43"/>
      <c r="BG392" s="43"/>
      <c r="BW392" s="1250"/>
    </row>
    <row r="393" spans="1:75" x14ac:dyDescent="0.25">
      <c r="A393" s="1251"/>
      <c r="B393" s="462">
        <v>387</v>
      </c>
      <c r="C393" s="462"/>
      <c r="D393" s="1244"/>
      <c r="E393" s="1050"/>
      <c r="F393" s="1244"/>
      <c r="H393" s="43" t="str">
        <f t="shared" si="190"/>
        <v/>
      </c>
      <c r="I393" s="43" t="str">
        <f t="shared" si="190"/>
        <v/>
      </c>
      <c r="J393" s="43" t="str">
        <f t="shared" si="190"/>
        <v/>
      </c>
      <c r="K393" s="43" t="str">
        <f t="shared" si="190"/>
        <v/>
      </c>
      <c r="L393" s="43" t="str">
        <f t="shared" si="190"/>
        <v/>
      </c>
      <c r="M393" s="43" t="str">
        <f t="shared" si="190"/>
        <v/>
      </c>
      <c r="N393" s="43" t="str">
        <f t="shared" si="190"/>
        <v/>
      </c>
      <c r="O393" s="43" t="str">
        <f t="shared" si="190"/>
        <v/>
      </c>
      <c r="P393" s="43" t="str">
        <f t="shared" si="190"/>
        <v/>
      </c>
      <c r="Q393" s="43" t="str">
        <f t="shared" si="190"/>
        <v/>
      </c>
      <c r="R393" s="43" t="str">
        <f t="shared" si="191"/>
        <v/>
      </c>
      <c r="S393" s="43" t="str">
        <f t="shared" si="191"/>
        <v/>
      </c>
      <c r="T393" s="43" t="str">
        <f t="shared" si="191"/>
        <v/>
      </c>
      <c r="U393" s="43" t="str">
        <f t="shared" si="191"/>
        <v/>
      </c>
      <c r="V393" s="43" t="str">
        <f t="shared" si="191"/>
        <v/>
      </c>
      <c r="W393" s="43" t="str">
        <f t="shared" si="191"/>
        <v/>
      </c>
      <c r="X393" s="43" t="str">
        <f t="shared" si="191"/>
        <v/>
      </c>
      <c r="Y393" s="43" t="str">
        <f t="shared" si="191"/>
        <v/>
      </c>
      <c r="Z393" s="43" t="str">
        <f t="shared" si="191"/>
        <v/>
      </c>
      <c r="AA393" s="43" t="str">
        <f t="shared" si="191"/>
        <v/>
      </c>
      <c r="AB393" s="43" t="str">
        <f t="shared" si="192"/>
        <v/>
      </c>
      <c r="AC393" s="43" t="str">
        <f t="shared" si="192"/>
        <v/>
      </c>
      <c r="AD393" s="43" t="str">
        <f t="shared" si="192"/>
        <v/>
      </c>
      <c r="AE393" s="43" t="str">
        <f t="shared" si="192"/>
        <v/>
      </c>
      <c r="AF393" s="43" t="str">
        <f t="shared" si="192"/>
        <v/>
      </c>
      <c r="AG393" s="43" t="str">
        <f t="shared" si="192"/>
        <v/>
      </c>
      <c r="AH393" s="43" t="str">
        <f t="shared" si="192"/>
        <v/>
      </c>
      <c r="AI393" s="43" t="str">
        <f t="shared" si="192"/>
        <v/>
      </c>
      <c r="AJ393" s="43" t="str">
        <f t="shared" si="192"/>
        <v/>
      </c>
      <c r="AK393" s="43" t="str">
        <f t="shared" si="192"/>
        <v/>
      </c>
      <c r="AL393" s="43" t="str">
        <f t="shared" si="193"/>
        <v/>
      </c>
      <c r="AM393" s="43" t="str">
        <f t="shared" si="193"/>
        <v/>
      </c>
      <c r="AN393" s="43" t="str">
        <f t="shared" si="193"/>
        <v/>
      </c>
      <c r="AO393" s="43" t="str">
        <f t="shared" si="193"/>
        <v/>
      </c>
      <c r="AP393" s="43" t="str">
        <f t="shared" si="193"/>
        <v/>
      </c>
      <c r="AQ393" s="43" t="str">
        <f t="shared" si="193"/>
        <v/>
      </c>
      <c r="AR393" s="43" t="str">
        <f t="shared" si="193"/>
        <v/>
      </c>
      <c r="AS393" s="43" t="str">
        <f t="shared" si="193"/>
        <v/>
      </c>
      <c r="AT393" s="43" t="str">
        <f t="shared" si="193"/>
        <v/>
      </c>
      <c r="AU393" s="43" t="str">
        <f t="shared" si="193"/>
        <v/>
      </c>
      <c r="AV393" s="43" t="str">
        <f t="shared" si="194"/>
        <v/>
      </c>
      <c r="AW393" s="43" t="str">
        <f t="shared" si="194"/>
        <v/>
      </c>
      <c r="AX393" s="43" t="str">
        <f t="shared" si="194"/>
        <v/>
      </c>
      <c r="AY393" s="43" t="str">
        <f t="shared" si="194"/>
        <v/>
      </c>
      <c r="AZ393" s="43" t="str">
        <f t="shared" si="194"/>
        <v/>
      </c>
      <c r="BA393" s="43" t="str">
        <f t="shared" si="194"/>
        <v/>
      </c>
      <c r="BB393" s="43"/>
      <c r="BC393" s="43"/>
      <c r="BD393" s="43"/>
      <c r="BE393" s="43"/>
      <c r="BF393" s="43"/>
      <c r="BG393" s="43"/>
      <c r="BW393" s="1250"/>
    </row>
    <row r="394" spans="1:75" x14ac:dyDescent="0.25">
      <c r="A394" s="1251"/>
      <c r="B394" s="462">
        <v>388</v>
      </c>
      <c r="C394" s="462"/>
      <c r="D394" s="1244"/>
      <c r="E394" s="1050"/>
      <c r="F394" s="1244"/>
      <c r="H394" s="43" t="str">
        <f t="shared" si="190"/>
        <v/>
      </c>
      <c r="I394" s="43" t="str">
        <f t="shared" si="190"/>
        <v/>
      </c>
      <c r="J394" s="43" t="str">
        <f t="shared" si="190"/>
        <v/>
      </c>
      <c r="K394" s="43" t="str">
        <f t="shared" si="190"/>
        <v/>
      </c>
      <c r="L394" s="43" t="str">
        <f t="shared" si="190"/>
        <v/>
      </c>
      <c r="M394" s="43" t="str">
        <f t="shared" si="190"/>
        <v/>
      </c>
      <c r="N394" s="43" t="str">
        <f t="shared" si="190"/>
        <v/>
      </c>
      <c r="O394" s="43" t="str">
        <f t="shared" si="190"/>
        <v/>
      </c>
      <c r="P394" s="43" t="str">
        <f t="shared" si="190"/>
        <v/>
      </c>
      <c r="Q394" s="43" t="str">
        <f t="shared" si="190"/>
        <v/>
      </c>
      <c r="R394" s="43" t="str">
        <f t="shared" si="191"/>
        <v/>
      </c>
      <c r="S394" s="43" t="str">
        <f t="shared" si="191"/>
        <v/>
      </c>
      <c r="T394" s="43" t="str">
        <f t="shared" si="191"/>
        <v/>
      </c>
      <c r="U394" s="43" t="str">
        <f t="shared" si="191"/>
        <v/>
      </c>
      <c r="V394" s="43" t="str">
        <f t="shared" si="191"/>
        <v/>
      </c>
      <c r="W394" s="43" t="str">
        <f t="shared" si="191"/>
        <v/>
      </c>
      <c r="X394" s="43" t="str">
        <f t="shared" si="191"/>
        <v/>
      </c>
      <c r="Y394" s="43" t="str">
        <f t="shared" si="191"/>
        <v/>
      </c>
      <c r="Z394" s="43" t="str">
        <f t="shared" si="191"/>
        <v/>
      </c>
      <c r="AA394" s="43" t="str">
        <f t="shared" si="191"/>
        <v/>
      </c>
      <c r="AB394" s="43" t="str">
        <f t="shared" si="192"/>
        <v/>
      </c>
      <c r="AC394" s="43" t="str">
        <f t="shared" si="192"/>
        <v/>
      </c>
      <c r="AD394" s="43" t="str">
        <f t="shared" si="192"/>
        <v/>
      </c>
      <c r="AE394" s="43" t="str">
        <f t="shared" si="192"/>
        <v/>
      </c>
      <c r="AF394" s="43" t="str">
        <f t="shared" si="192"/>
        <v/>
      </c>
      <c r="AG394" s="43" t="str">
        <f t="shared" si="192"/>
        <v/>
      </c>
      <c r="AH394" s="43" t="str">
        <f t="shared" si="192"/>
        <v/>
      </c>
      <c r="AI394" s="43" t="str">
        <f t="shared" si="192"/>
        <v/>
      </c>
      <c r="AJ394" s="43" t="str">
        <f t="shared" si="192"/>
        <v/>
      </c>
      <c r="AK394" s="43" t="str">
        <f t="shared" si="192"/>
        <v/>
      </c>
      <c r="AL394" s="43" t="str">
        <f t="shared" si="193"/>
        <v/>
      </c>
      <c r="AM394" s="43" t="str">
        <f t="shared" si="193"/>
        <v/>
      </c>
      <c r="AN394" s="43" t="str">
        <f t="shared" si="193"/>
        <v/>
      </c>
      <c r="AO394" s="43" t="str">
        <f t="shared" si="193"/>
        <v/>
      </c>
      <c r="AP394" s="43" t="str">
        <f t="shared" si="193"/>
        <v/>
      </c>
      <c r="AQ394" s="43" t="str">
        <f t="shared" si="193"/>
        <v/>
      </c>
      <c r="AR394" s="43" t="str">
        <f t="shared" si="193"/>
        <v/>
      </c>
      <c r="AS394" s="43" t="str">
        <f t="shared" si="193"/>
        <v/>
      </c>
      <c r="AT394" s="43" t="str">
        <f t="shared" si="193"/>
        <v/>
      </c>
      <c r="AU394" s="43" t="str">
        <f t="shared" si="193"/>
        <v/>
      </c>
      <c r="AV394" s="43" t="str">
        <f t="shared" si="194"/>
        <v/>
      </c>
      <c r="AW394" s="43" t="str">
        <f t="shared" si="194"/>
        <v/>
      </c>
      <c r="AX394" s="43" t="str">
        <f t="shared" si="194"/>
        <v/>
      </c>
      <c r="AY394" s="43" t="str">
        <f t="shared" si="194"/>
        <v/>
      </c>
      <c r="AZ394" s="43" t="str">
        <f t="shared" si="194"/>
        <v/>
      </c>
      <c r="BA394" s="43" t="str">
        <f t="shared" si="194"/>
        <v/>
      </c>
      <c r="BB394" s="43"/>
      <c r="BC394" s="43"/>
      <c r="BD394" s="43"/>
      <c r="BE394" s="43"/>
      <c r="BF394" s="43"/>
      <c r="BG394" s="43"/>
      <c r="BW394" s="1250"/>
    </row>
    <row r="395" spans="1:75" x14ac:dyDescent="0.25">
      <c r="A395" s="1251"/>
      <c r="B395" s="462">
        <v>389</v>
      </c>
      <c r="C395" s="462"/>
      <c r="D395" s="1244"/>
      <c r="E395" s="1050"/>
      <c r="F395" s="1244"/>
      <c r="H395" s="43" t="str">
        <f t="shared" si="190"/>
        <v/>
      </c>
      <c r="I395" s="43" t="str">
        <f t="shared" si="190"/>
        <v/>
      </c>
      <c r="J395" s="43" t="str">
        <f t="shared" si="190"/>
        <v/>
      </c>
      <c r="K395" s="43" t="str">
        <f t="shared" si="190"/>
        <v/>
      </c>
      <c r="L395" s="43" t="str">
        <f t="shared" si="190"/>
        <v/>
      </c>
      <c r="M395" s="43" t="str">
        <f t="shared" si="190"/>
        <v/>
      </c>
      <c r="N395" s="43" t="str">
        <f t="shared" si="190"/>
        <v/>
      </c>
      <c r="O395" s="43" t="str">
        <f t="shared" si="190"/>
        <v/>
      </c>
      <c r="P395" s="43" t="str">
        <f t="shared" si="190"/>
        <v/>
      </c>
      <c r="Q395" s="43" t="str">
        <f t="shared" si="190"/>
        <v/>
      </c>
      <c r="R395" s="43" t="str">
        <f t="shared" si="191"/>
        <v/>
      </c>
      <c r="S395" s="43" t="str">
        <f t="shared" si="191"/>
        <v/>
      </c>
      <c r="T395" s="43" t="str">
        <f t="shared" si="191"/>
        <v/>
      </c>
      <c r="U395" s="43" t="str">
        <f t="shared" si="191"/>
        <v/>
      </c>
      <c r="V395" s="43" t="str">
        <f t="shared" si="191"/>
        <v/>
      </c>
      <c r="W395" s="43" t="str">
        <f t="shared" si="191"/>
        <v/>
      </c>
      <c r="X395" s="43" t="str">
        <f t="shared" si="191"/>
        <v/>
      </c>
      <c r="Y395" s="43" t="str">
        <f t="shared" si="191"/>
        <v/>
      </c>
      <c r="Z395" s="43" t="str">
        <f t="shared" si="191"/>
        <v/>
      </c>
      <c r="AA395" s="43" t="str">
        <f t="shared" si="191"/>
        <v/>
      </c>
      <c r="AB395" s="43" t="str">
        <f t="shared" si="192"/>
        <v/>
      </c>
      <c r="AC395" s="43" t="str">
        <f t="shared" si="192"/>
        <v/>
      </c>
      <c r="AD395" s="43" t="str">
        <f t="shared" si="192"/>
        <v/>
      </c>
      <c r="AE395" s="43" t="str">
        <f t="shared" si="192"/>
        <v/>
      </c>
      <c r="AF395" s="43" t="str">
        <f t="shared" si="192"/>
        <v/>
      </c>
      <c r="AG395" s="43" t="str">
        <f t="shared" si="192"/>
        <v/>
      </c>
      <c r="AH395" s="43" t="str">
        <f t="shared" si="192"/>
        <v/>
      </c>
      <c r="AI395" s="43" t="str">
        <f t="shared" si="192"/>
        <v/>
      </c>
      <c r="AJ395" s="43" t="str">
        <f t="shared" si="192"/>
        <v/>
      </c>
      <c r="AK395" s="43" t="str">
        <f t="shared" si="192"/>
        <v/>
      </c>
      <c r="AL395" s="43" t="str">
        <f t="shared" si="193"/>
        <v/>
      </c>
      <c r="AM395" s="43" t="str">
        <f t="shared" si="193"/>
        <v/>
      </c>
      <c r="AN395" s="43" t="str">
        <f t="shared" si="193"/>
        <v/>
      </c>
      <c r="AO395" s="43" t="str">
        <f t="shared" si="193"/>
        <v/>
      </c>
      <c r="AP395" s="43" t="str">
        <f t="shared" si="193"/>
        <v/>
      </c>
      <c r="AQ395" s="43" t="str">
        <f t="shared" si="193"/>
        <v/>
      </c>
      <c r="AR395" s="43" t="str">
        <f t="shared" si="193"/>
        <v/>
      </c>
      <c r="AS395" s="43" t="str">
        <f t="shared" si="193"/>
        <v/>
      </c>
      <c r="AT395" s="43" t="str">
        <f t="shared" si="193"/>
        <v/>
      </c>
      <c r="AU395" s="43" t="str">
        <f t="shared" si="193"/>
        <v/>
      </c>
      <c r="AV395" s="43" t="str">
        <f t="shared" si="194"/>
        <v/>
      </c>
      <c r="AW395" s="43" t="str">
        <f t="shared" si="194"/>
        <v/>
      </c>
      <c r="AX395" s="43" t="str">
        <f t="shared" si="194"/>
        <v/>
      </c>
      <c r="AY395" s="43" t="str">
        <f t="shared" si="194"/>
        <v/>
      </c>
      <c r="AZ395" s="43" t="str">
        <f t="shared" si="194"/>
        <v/>
      </c>
      <c r="BA395" s="43" t="str">
        <f t="shared" si="194"/>
        <v/>
      </c>
      <c r="BB395" s="43"/>
      <c r="BC395" s="43"/>
      <c r="BD395" s="43"/>
      <c r="BE395" s="43"/>
      <c r="BF395" s="43"/>
      <c r="BG395" s="43"/>
      <c r="BW395" s="1250"/>
    </row>
    <row r="396" spans="1:75" x14ac:dyDescent="0.25">
      <c r="A396" s="1251"/>
      <c r="B396" s="462">
        <v>390</v>
      </c>
      <c r="C396" s="462"/>
      <c r="D396" s="1244"/>
      <c r="E396" s="1050"/>
      <c r="F396" s="1244"/>
      <c r="H396" s="43" t="str">
        <f t="shared" si="190"/>
        <v/>
      </c>
      <c r="I396" s="43" t="str">
        <f t="shared" si="190"/>
        <v/>
      </c>
      <c r="J396" s="43" t="str">
        <f t="shared" si="190"/>
        <v/>
      </c>
      <c r="K396" s="43" t="str">
        <f t="shared" si="190"/>
        <v/>
      </c>
      <c r="L396" s="43" t="str">
        <f t="shared" si="190"/>
        <v/>
      </c>
      <c r="M396" s="43" t="str">
        <f t="shared" si="190"/>
        <v/>
      </c>
      <c r="N396" s="43" t="str">
        <f t="shared" si="190"/>
        <v/>
      </c>
      <c r="O396" s="43" t="str">
        <f t="shared" si="190"/>
        <v/>
      </c>
      <c r="P396" s="43" t="str">
        <f t="shared" si="190"/>
        <v/>
      </c>
      <c r="Q396" s="43" t="str">
        <f t="shared" si="190"/>
        <v/>
      </c>
      <c r="R396" s="43" t="str">
        <f t="shared" si="191"/>
        <v/>
      </c>
      <c r="S396" s="43" t="str">
        <f t="shared" si="191"/>
        <v/>
      </c>
      <c r="T396" s="43" t="str">
        <f t="shared" si="191"/>
        <v/>
      </c>
      <c r="U396" s="43" t="str">
        <f t="shared" si="191"/>
        <v/>
      </c>
      <c r="V396" s="43" t="str">
        <f t="shared" si="191"/>
        <v/>
      </c>
      <c r="W396" s="43" t="str">
        <f t="shared" si="191"/>
        <v/>
      </c>
      <c r="X396" s="43" t="str">
        <f t="shared" si="191"/>
        <v/>
      </c>
      <c r="Y396" s="43" t="str">
        <f t="shared" si="191"/>
        <v/>
      </c>
      <c r="Z396" s="43" t="str">
        <f t="shared" si="191"/>
        <v/>
      </c>
      <c r="AA396" s="43" t="str">
        <f t="shared" si="191"/>
        <v/>
      </c>
      <c r="AB396" s="43" t="str">
        <f t="shared" si="192"/>
        <v/>
      </c>
      <c r="AC396" s="43" t="str">
        <f t="shared" si="192"/>
        <v/>
      </c>
      <c r="AD396" s="43" t="str">
        <f t="shared" si="192"/>
        <v/>
      </c>
      <c r="AE396" s="43" t="str">
        <f t="shared" si="192"/>
        <v/>
      </c>
      <c r="AF396" s="43" t="str">
        <f t="shared" si="192"/>
        <v/>
      </c>
      <c r="AG396" s="43" t="str">
        <f t="shared" si="192"/>
        <v/>
      </c>
      <c r="AH396" s="43" t="str">
        <f t="shared" si="192"/>
        <v/>
      </c>
      <c r="AI396" s="43" t="str">
        <f t="shared" si="192"/>
        <v/>
      </c>
      <c r="AJ396" s="43" t="str">
        <f t="shared" si="192"/>
        <v/>
      </c>
      <c r="AK396" s="43" t="str">
        <f t="shared" si="192"/>
        <v/>
      </c>
      <c r="AL396" s="43" t="str">
        <f t="shared" si="193"/>
        <v/>
      </c>
      <c r="AM396" s="43" t="str">
        <f t="shared" si="193"/>
        <v/>
      </c>
      <c r="AN396" s="43" t="str">
        <f t="shared" si="193"/>
        <v/>
      </c>
      <c r="AO396" s="43" t="str">
        <f t="shared" si="193"/>
        <v/>
      </c>
      <c r="AP396" s="43" t="str">
        <f t="shared" si="193"/>
        <v/>
      </c>
      <c r="AQ396" s="43" t="str">
        <f t="shared" si="193"/>
        <v/>
      </c>
      <c r="AR396" s="43" t="str">
        <f t="shared" si="193"/>
        <v/>
      </c>
      <c r="AS396" s="43" t="str">
        <f t="shared" si="193"/>
        <v/>
      </c>
      <c r="AT396" s="43" t="str">
        <f t="shared" si="193"/>
        <v/>
      </c>
      <c r="AU396" s="43" t="str">
        <f t="shared" si="193"/>
        <v/>
      </c>
      <c r="AV396" s="43" t="str">
        <f t="shared" si="194"/>
        <v/>
      </c>
      <c r="AW396" s="43" t="str">
        <f t="shared" si="194"/>
        <v/>
      </c>
      <c r="AX396" s="43" t="str">
        <f t="shared" si="194"/>
        <v/>
      </c>
      <c r="AY396" s="43" t="str">
        <f t="shared" si="194"/>
        <v/>
      </c>
      <c r="AZ396" s="43" t="str">
        <f t="shared" si="194"/>
        <v/>
      </c>
      <c r="BA396" s="43" t="str">
        <f t="shared" si="194"/>
        <v/>
      </c>
      <c r="BB396" s="43"/>
      <c r="BC396" s="43"/>
      <c r="BD396" s="43"/>
      <c r="BE396" s="43"/>
      <c r="BF396" s="43"/>
      <c r="BG396" s="43"/>
      <c r="BW396" s="1250"/>
    </row>
    <row r="397" spans="1:75" x14ac:dyDescent="0.25">
      <c r="A397" s="1251"/>
      <c r="B397" s="462">
        <v>391</v>
      </c>
      <c r="C397" s="462"/>
      <c r="D397" s="1244"/>
      <c r="E397" s="1050"/>
      <c r="F397" s="1244"/>
      <c r="H397" s="43" t="str">
        <f t="shared" ref="H397:Q406" si="195">IF($D397=H$6,$B397&amp;", ","")</f>
        <v/>
      </c>
      <c r="I397" s="43" t="str">
        <f t="shared" si="195"/>
        <v/>
      </c>
      <c r="J397" s="43" t="str">
        <f t="shared" si="195"/>
        <v/>
      </c>
      <c r="K397" s="43" t="str">
        <f t="shared" si="195"/>
        <v/>
      </c>
      <c r="L397" s="43" t="str">
        <f t="shared" si="195"/>
        <v/>
      </c>
      <c r="M397" s="43" t="str">
        <f t="shared" si="195"/>
        <v/>
      </c>
      <c r="N397" s="43" t="str">
        <f t="shared" si="195"/>
        <v/>
      </c>
      <c r="O397" s="43" t="str">
        <f t="shared" si="195"/>
        <v/>
      </c>
      <c r="P397" s="43" t="str">
        <f t="shared" si="195"/>
        <v/>
      </c>
      <c r="Q397" s="43" t="str">
        <f t="shared" si="195"/>
        <v/>
      </c>
      <c r="R397" s="43" t="str">
        <f t="shared" ref="R397:AA406" si="196">IF($D397=R$6,$B397&amp;", ","")</f>
        <v/>
      </c>
      <c r="S397" s="43" t="str">
        <f t="shared" si="196"/>
        <v/>
      </c>
      <c r="T397" s="43" t="str">
        <f t="shared" si="196"/>
        <v/>
      </c>
      <c r="U397" s="43" t="str">
        <f t="shared" si="196"/>
        <v/>
      </c>
      <c r="V397" s="43" t="str">
        <f t="shared" si="196"/>
        <v/>
      </c>
      <c r="W397" s="43" t="str">
        <f t="shared" si="196"/>
        <v/>
      </c>
      <c r="X397" s="43" t="str">
        <f t="shared" si="196"/>
        <v/>
      </c>
      <c r="Y397" s="43" t="str">
        <f t="shared" si="196"/>
        <v/>
      </c>
      <c r="Z397" s="43" t="str">
        <f t="shared" si="196"/>
        <v/>
      </c>
      <c r="AA397" s="43" t="str">
        <f t="shared" si="196"/>
        <v/>
      </c>
      <c r="AB397" s="43" t="str">
        <f t="shared" ref="AB397:AK406" si="197">IF($D397=AB$6,$B397&amp;", ","")</f>
        <v/>
      </c>
      <c r="AC397" s="43" t="str">
        <f t="shared" si="197"/>
        <v/>
      </c>
      <c r="AD397" s="43" t="str">
        <f t="shared" si="197"/>
        <v/>
      </c>
      <c r="AE397" s="43" t="str">
        <f t="shared" si="197"/>
        <v/>
      </c>
      <c r="AF397" s="43" t="str">
        <f t="shared" si="197"/>
        <v/>
      </c>
      <c r="AG397" s="43" t="str">
        <f t="shared" si="197"/>
        <v/>
      </c>
      <c r="AH397" s="43" t="str">
        <f t="shared" si="197"/>
        <v/>
      </c>
      <c r="AI397" s="43" t="str">
        <f t="shared" si="197"/>
        <v/>
      </c>
      <c r="AJ397" s="43" t="str">
        <f t="shared" si="197"/>
        <v/>
      </c>
      <c r="AK397" s="43" t="str">
        <f t="shared" si="197"/>
        <v/>
      </c>
      <c r="AL397" s="43" t="str">
        <f t="shared" ref="AL397:AU406" si="198">IF($D397=AL$6,$B397&amp;", ","")</f>
        <v/>
      </c>
      <c r="AM397" s="43" t="str">
        <f t="shared" si="198"/>
        <v/>
      </c>
      <c r="AN397" s="43" t="str">
        <f t="shared" si="198"/>
        <v/>
      </c>
      <c r="AO397" s="43" t="str">
        <f t="shared" si="198"/>
        <v/>
      </c>
      <c r="AP397" s="43" t="str">
        <f t="shared" si="198"/>
        <v/>
      </c>
      <c r="AQ397" s="43" t="str">
        <f t="shared" si="198"/>
        <v/>
      </c>
      <c r="AR397" s="43" t="str">
        <f t="shared" si="198"/>
        <v/>
      </c>
      <c r="AS397" s="43" t="str">
        <f t="shared" si="198"/>
        <v/>
      </c>
      <c r="AT397" s="43" t="str">
        <f t="shared" si="198"/>
        <v/>
      </c>
      <c r="AU397" s="43" t="str">
        <f t="shared" si="198"/>
        <v/>
      </c>
      <c r="AV397" s="43" t="str">
        <f t="shared" ref="AV397:BA406" si="199">IF($D397=AV$6,$B397&amp;", ","")</f>
        <v/>
      </c>
      <c r="AW397" s="43" t="str">
        <f t="shared" si="199"/>
        <v/>
      </c>
      <c r="AX397" s="43" t="str">
        <f t="shared" si="199"/>
        <v/>
      </c>
      <c r="AY397" s="43" t="str">
        <f t="shared" si="199"/>
        <v/>
      </c>
      <c r="AZ397" s="43" t="str">
        <f t="shared" si="199"/>
        <v/>
      </c>
      <c r="BA397" s="43" t="str">
        <f t="shared" si="199"/>
        <v/>
      </c>
      <c r="BB397" s="43"/>
      <c r="BC397" s="43"/>
      <c r="BD397" s="43"/>
      <c r="BE397" s="43"/>
      <c r="BF397" s="43"/>
      <c r="BG397" s="43"/>
      <c r="BW397" s="1250"/>
    </row>
    <row r="398" spans="1:75" x14ac:dyDescent="0.25">
      <c r="A398" s="1251"/>
      <c r="B398" s="462">
        <v>392</v>
      </c>
      <c r="C398" s="462"/>
      <c r="D398" s="1244"/>
      <c r="E398" s="1050"/>
      <c r="F398" s="1244"/>
      <c r="H398" s="43" t="str">
        <f t="shared" si="195"/>
        <v/>
      </c>
      <c r="I398" s="43" t="str">
        <f t="shared" si="195"/>
        <v/>
      </c>
      <c r="J398" s="43" t="str">
        <f t="shared" si="195"/>
        <v/>
      </c>
      <c r="K398" s="43" t="str">
        <f t="shared" si="195"/>
        <v/>
      </c>
      <c r="L398" s="43" t="str">
        <f t="shared" si="195"/>
        <v/>
      </c>
      <c r="M398" s="43" t="str">
        <f t="shared" si="195"/>
        <v/>
      </c>
      <c r="N398" s="43" t="str">
        <f t="shared" si="195"/>
        <v/>
      </c>
      <c r="O398" s="43" t="str">
        <f t="shared" si="195"/>
        <v/>
      </c>
      <c r="P398" s="43" t="str">
        <f t="shared" si="195"/>
        <v/>
      </c>
      <c r="Q398" s="43" t="str">
        <f t="shared" si="195"/>
        <v/>
      </c>
      <c r="R398" s="43" t="str">
        <f t="shared" si="196"/>
        <v/>
      </c>
      <c r="S398" s="43" t="str">
        <f t="shared" si="196"/>
        <v/>
      </c>
      <c r="T398" s="43" t="str">
        <f t="shared" si="196"/>
        <v/>
      </c>
      <c r="U398" s="43" t="str">
        <f t="shared" si="196"/>
        <v/>
      </c>
      <c r="V398" s="43" t="str">
        <f t="shared" si="196"/>
        <v/>
      </c>
      <c r="W398" s="43" t="str">
        <f t="shared" si="196"/>
        <v/>
      </c>
      <c r="X398" s="43" t="str">
        <f t="shared" si="196"/>
        <v/>
      </c>
      <c r="Y398" s="43" t="str">
        <f t="shared" si="196"/>
        <v/>
      </c>
      <c r="Z398" s="43" t="str">
        <f t="shared" si="196"/>
        <v/>
      </c>
      <c r="AA398" s="43" t="str">
        <f t="shared" si="196"/>
        <v/>
      </c>
      <c r="AB398" s="43" t="str">
        <f t="shared" si="197"/>
        <v/>
      </c>
      <c r="AC398" s="43" t="str">
        <f t="shared" si="197"/>
        <v/>
      </c>
      <c r="AD398" s="43" t="str">
        <f t="shared" si="197"/>
        <v/>
      </c>
      <c r="AE398" s="43" t="str">
        <f t="shared" si="197"/>
        <v/>
      </c>
      <c r="AF398" s="43" t="str">
        <f t="shared" si="197"/>
        <v/>
      </c>
      <c r="AG398" s="43" t="str">
        <f t="shared" si="197"/>
        <v/>
      </c>
      <c r="AH398" s="43" t="str">
        <f t="shared" si="197"/>
        <v/>
      </c>
      <c r="AI398" s="43" t="str">
        <f t="shared" si="197"/>
        <v/>
      </c>
      <c r="AJ398" s="43" t="str">
        <f t="shared" si="197"/>
        <v/>
      </c>
      <c r="AK398" s="43" t="str">
        <f t="shared" si="197"/>
        <v/>
      </c>
      <c r="AL398" s="43" t="str">
        <f t="shared" si="198"/>
        <v/>
      </c>
      <c r="AM398" s="43" t="str">
        <f t="shared" si="198"/>
        <v/>
      </c>
      <c r="AN398" s="43" t="str">
        <f t="shared" si="198"/>
        <v/>
      </c>
      <c r="AO398" s="43" t="str">
        <f t="shared" si="198"/>
        <v/>
      </c>
      <c r="AP398" s="43" t="str">
        <f t="shared" si="198"/>
        <v/>
      </c>
      <c r="AQ398" s="43" t="str">
        <f t="shared" si="198"/>
        <v/>
      </c>
      <c r="AR398" s="43" t="str">
        <f t="shared" si="198"/>
        <v/>
      </c>
      <c r="AS398" s="43" t="str">
        <f t="shared" si="198"/>
        <v/>
      </c>
      <c r="AT398" s="43" t="str">
        <f t="shared" si="198"/>
        <v/>
      </c>
      <c r="AU398" s="43" t="str">
        <f t="shared" si="198"/>
        <v/>
      </c>
      <c r="AV398" s="43" t="str">
        <f t="shared" si="199"/>
        <v/>
      </c>
      <c r="AW398" s="43" t="str">
        <f t="shared" si="199"/>
        <v/>
      </c>
      <c r="AX398" s="43" t="str">
        <f t="shared" si="199"/>
        <v/>
      </c>
      <c r="AY398" s="43" t="str">
        <f t="shared" si="199"/>
        <v/>
      </c>
      <c r="AZ398" s="43" t="str">
        <f t="shared" si="199"/>
        <v/>
      </c>
      <c r="BA398" s="43" t="str">
        <f t="shared" si="199"/>
        <v/>
      </c>
      <c r="BB398" s="43"/>
      <c r="BC398" s="43"/>
      <c r="BD398" s="43"/>
      <c r="BE398" s="43"/>
      <c r="BF398" s="43"/>
      <c r="BG398" s="43"/>
      <c r="BW398" s="1250"/>
    </row>
    <row r="399" spans="1:75" x14ac:dyDescent="0.25">
      <c r="A399" s="1251"/>
      <c r="B399" s="462">
        <v>393</v>
      </c>
      <c r="C399" s="462"/>
      <c r="D399" s="1244"/>
      <c r="E399" s="1050"/>
      <c r="F399" s="1244"/>
      <c r="H399" s="43" t="str">
        <f t="shared" si="195"/>
        <v/>
      </c>
      <c r="I399" s="43" t="str">
        <f t="shared" si="195"/>
        <v/>
      </c>
      <c r="J399" s="43" t="str">
        <f t="shared" si="195"/>
        <v/>
      </c>
      <c r="K399" s="43" t="str">
        <f t="shared" si="195"/>
        <v/>
      </c>
      <c r="L399" s="43" t="str">
        <f t="shared" si="195"/>
        <v/>
      </c>
      <c r="M399" s="43" t="str">
        <f t="shared" si="195"/>
        <v/>
      </c>
      <c r="N399" s="43" t="str">
        <f t="shared" si="195"/>
        <v/>
      </c>
      <c r="O399" s="43" t="str">
        <f t="shared" si="195"/>
        <v/>
      </c>
      <c r="P399" s="43" t="str">
        <f t="shared" si="195"/>
        <v/>
      </c>
      <c r="Q399" s="43" t="str">
        <f t="shared" si="195"/>
        <v/>
      </c>
      <c r="R399" s="43" t="str">
        <f t="shared" si="196"/>
        <v/>
      </c>
      <c r="S399" s="43" t="str">
        <f t="shared" si="196"/>
        <v/>
      </c>
      <c r="T399" s="43" t="str">
        <f t="shared" si="196"/>
        <v/>
      </c>
      <c r="U399" s="43" t="str">
        <f t="shared" si="196"/>
        <v/>
      </c>
      <c r="V399" s="43" t="str">
        <f t="shared" si="196"/>
        <v/>
      </c>
      <c r="W399" s="43" t="str">
        <f t="shared" si="196"/>
        <v/>
      </c>
      <c r="X399" s="43" t="str">
        <f t="shared" si="196"/>
        <v/>
      </c>
      <c r="Y399" s="43" t="str">
        <f t="shared" si="196"/>
        <v/>
      </c>
      <c r="Z399" s="43" t="str">
        <f t="shared" si="196"/>
        <v/>
      </c>
      <c r="AA399" s="43" t="str">
        <f t="shared" si="196"/>
        <v/>
      </c>
      <c r="AB399" s="43" t="str">
        <f t="shared" si="197"/>
        <v/>
      </c>
      <c r="AC399" s="43" t="str">
        <f t="shared" si="197"/>
        <v/>
      </c>
      <c r="AD399" s="43" t="str">
        <f t="shared" si="197"/>
        <v/>
      </c>
      <c r="AE399" s="43" t="str">
        <f t="shared" si="197"/>
        <v/>
      </c>
      <c r="AF399" s="43" t="str">
        <f t="shared" si="197"/>
        <v/>
      </c>
      <c r="AG399" s="43" t="str">
        <f t="shared" si="197"/>
        <v/>
      </c>
      <c r="AH399" s="43" t="str">
        <f t="shared" si="197"/>
        <v/>
      </c>
      <c r="AI399" s="43" t="str">
        <f t="shared" si="197"/>
        <v/>
      </c>
      <c r="AJ399" s="43" t="str">
        <f t="shared" si="197"/>
        <v/>
      </c>
      <c r="AK399" s="43" t="str">
        <f t="shared" si="197"/>
        <v/>
      </c>
      <c r="AL399" s="43" t="str">
        <f t="shared" si="198"/>
        <v/>
      </c>
      <c r="AM399" s="43" t="str">
        <f t="shared" si="198"/>
        <v/>
      </c>
      <c r="AN399" s="43" t="str">
        <f t="shared" si="198"/>
        <v/>
      </c>
      <c r="AO399" s="43" t="str">
        <f t="shared" si="198"/>
        <v/>
      </c>
      <c r="AP399" s="43" t="str">
        <f t="shared" si="198"/>
        <v/>
      </c>
      <c r="AQ399" s="43" t="str">
        <f t="shared" si="198"/>
        <v/>
      </c>
      <c r="AR399" s="43" t="str">
        <f t="shared" si="198"/>
        <v/>
      </c>
      <c r="AS399" s="43" t="str">
        <f t="shared" si="198"/>
        <v/>
      </c>
      <c r="AT399" s="43" t="str">
        <f t="shared" si="198"/>
        <v/>
      </c>
      <c r="AU399" s="43" t="str">
        <f t="shared" si="198"/>
        <v/>
      </c>
      <c r="AV399" s="43" t="str">
        <f t="shared" si="199"/>
        <v/>
      </c>
      <c r="AW399" s="43" t="str">
        <f t="shared" si="199"/>
        <v/>
      </c>
      <c r="AX399" s="43" t="str">
        <f t="shared" si="199"/>
        <v/>
      </c>
      <c r="AY399" s="43" t="str">
        <f t="shared" si="199"/>
        <v/>
      </c>
      <c r="AZ399" s="43" t="str">
        <f t="shared" si="199"/>
        <v/>
      </c>
      <c r="BA399" s="43" t="str">
        <f t="shared" si="199"/>
        <v/>
      </c>
      <c r="BB399" s="43"/>
      <c r="BC399" s="43"/>
      <c r="BD399" s="43"/>
      <c r="BE399" s="43"/>
      <c r="BF399" s="43"/>
      <c r="BG399" s="43"/>
      <c r="BW399" s="1250"/>
    </row>
    <row r="400" spans="1:75" x14ac:dyDescent="0.25">
      <c r="A400" s="1251"/>
      <c r="B400" s="462">
        <v>394</v>
      </c>
      <c r="C400" s="462"/>
      <c r="D400" s="1244"/>
      <c r="E400" s="1050"/>
      <c r="F400" s="1244"/>
      <c r="H400" s="43" t="str">
        <f t="shared" si="195"/>
        <v/>
      </c>
      <c r="I400" s="43" t="str">
        <f t="shared" si="195"/>
        <v/>
      </c>
      <c r="J400" s="43" t="str">
        <f t="shared" si="195"/>
        <v/>
      </c>
      <c r="K400" s="43" t="str">
        <f t="shared" si="195"/>
        <v/>
      </c>
      <c r="L400" s="43" t="str">
        <f t="shared" si="195"/>
        <v/>
      </c>
      <c r="M400" s="43" t="str">
        <f t="shared" si="195"/>
        <v/>
      </c>
      <c r="N400" s="43" t="str">
        <f t="shared" si="195"/>
        <v/>
      </c>
      <c r="O400" s="43" t="str">
        <f t="shared" si="195"/>
        <v/>
      </c>
      <c r="P400" s="43" t="str">
        <f t="shared" si="195"/>
        <v/>
      </c>
      <c r="Q400" s="43" t="str">
        <f t="shared" si="195"/>
        <v/>
      </c>
      <c r="R400" s="43" t="str">
        <f t="shared" si="196"/>
        <v/>
      </c>
      <c r="S400" s="43" t="str">
        <f t="shared" si="196"/>
        <v/>
      </c>
      <c r="T400" s="43" t="str">
        <f t="shared" si="196"/>
        <v/>
      </c>
      <c r="U400" s="43" t="str">
        <f t="shared" si="196"/>
        <v/>
      </c>
      <c r="V400" s="43" t="str">
        <f t="shared" si="196"/>
        <v/>
      </c>
      <c r="W400" s="43" t="str">
        <f t="shared" si="196"/>
        <v/>
      </c>
      <c r="X400" s="43" t="str">
        <f t="shared" si="196"/>
        <v/>
      </c>
      <c r="Y400" s="43" t="str">
        <f t="shared" si="196"/>
        <v/>
      </c>
      <c r="Z400" s="43" t="str">
        <f t="shared" si="196"/>
        <v/>
      </c>
      <c r="AA400" s="43" t="str">
        <f t="shared" si="196"/>
        <v/>
      </c>
      <c r="AB400" s="43" t="str">
        <f t="shared" si="197"/>
        <v/>
      </c>
      <c r="AC400" s="43" t="str">
        <f t="shared" si="197"/>
        <v/>
      </c>
      <c r="AD400" s="43" t="str">
        <f t="shared" si="197"/>
        <v/>
      </c>
      <c r="AE400" s="43" t="str">
        <f t="shared" si="197"/>
        <v/>
      </c>
      <c r="AF400" s="43" t="str">
        <f t="shared" si="197"/>
        <v/>
      </c>
      <c r="AG400" s="43" t="str">
        <f t="shared" si="197"/>
        <v/>
      </c>
      <c r="AH400" s="43" t="str">
        <f t="shared" si="197"/>
        <v/>
      </c>
      <c r="AI400" s="43" t="str">
        <f t="shared" si="197"/>
        <v/>
      </c>
      <c r="AJ400" s="43" t="str">
        <f t="shared" si="197"/>
        <v/>
      </c>
      <c r="AK400" s="43" t="str">
        <f t="shared" si="197"/>
        <v/>
      </c>
      <c r="AL400" s="43" t="str">
        <f t="shared" si="198"/>
        <v/>
      </c>
      <c r="AM400" s="43" t="str">
        <f t="shared" si="198"/>
        <v/>
      </c>
      <c r="AN400" s="43" t="str">
        <f t="shared" si="198"/>
        <v/>
      </c>
      <c r="AO400" s="43" t="str">
        <f t="shared" si="198"/>
        <v/>
      </c>
      <c r="AP400" s="43" t="str">
        <f t="shared" si="198"/>
        <v/>
      </c>
      <c r="AQ400" s="43" t="str">
        <f t="shared" si="198"/>
        <v/>
      </c>
      <c r="AR400" s="43" t="str">
        <f t="shared" si="198"/>
        <v/>
      </c>
      <c r="AS400" s="43" t="str">
        <f t="shared" si="198"/>
        <v/>
      </c>
      <c r="AT400" s="43" t="str">
        <f t="shared" si="198"/>
        <v/>
      </c>
      <c r="AU400" s="43" t="str">
        <f t="shared" si="198"/>
        <v/>
      </c>
      <c r="AV400" s="43" t="str">
        <f t="shared" si="199"/>
        <v/>
      </c>
      <c r="AW400" s="43" t="str">
        <f t="shared" si="199"/>
        <v/>
      </c>
      <c r="AX400" s="43" t="str">
        <f t="shared" si="199"/>
        <v/>
      </c>
      <c r="AY400" s="43" t="str">
        <f t="shared" si="199"/>
        <v/>
      </c>
      <c r="AZ400" s="43" t="str">
        <f t="shared" si="199"/>
        <v/>
      </c>
      <c r="BA400" s="43" t="str">
        <f t="shared" si="199"/>
        <v/>
      </c>
      <c r="BB400" s="43"/>
      <c r="BC400" s="43"/>
      <c r="BD400" s="43"/>
      <c r="BE400" s="43"/>
      <c r="BF400" s="43"/>
      <c r="BG400" s="43"/>
      <c r="BW400" s="1250"/>
    </row>
    <row r="401" spans="1:75" x14ac:dyDescent="0.25">
      <c r="A401" s="1251"/>
      <c r="B401" s="462">
        <v>395</v>
      </c>
      <c r="C401" s="462"/>
      <c r="D401" s="1244"/>
      <c r="E401" s="1050"/>
      <c r="F401" s="1244"/>
      <c r="H401" s="43" t="str">
        <f t="shared" si="195"/>
        <v/>
      </c>
      <c r="I401" s="43" t="str">
        <f t="shared" si="195"/>
        <v/>
      </c>
      <c r="J401" s="43" t="str">
        <f t="shared" si="195"/>
        <v/>
      </c>
      <c r="K401" s="43" t="str">
        <f t="shared" si="195"/>
        <v/>
      </c>
      <c r="L401" s="43" t="str">
        <f t="shared" si="195"/>
        <v/>
      </c>
      <c r="M401" s="43" t="str">
        <f t="shared" si="195"/>
        <v/>
      </c>
      <c r="N401" s="43" t="str">
        <f t="shared" si="195"/>
        <v/>
      </c>
      <c r="O401" s="43" t="str">
        <f t="shared" si="195"/>
        <v/>
      </c>
      <c r="P401" s="43" t="str">
        <f t="shared" si="195"/>
        <v/>
      </c>
      <c r="Q401" s="43" t="str">
        <f t="shared" si="195"/>
        <v/>
      </c>
      <c r="R401" s="43" t="str">
        <f t="shared" si="196"/>
        <v/>
      </c>
      <c r="S401" s="43" t="str">
        <f t="shared" si="196"/>
        <v/>
      </c>
      <c r="T401" s="43" t="str">
        <f t="shared" si="196"/>
        <v/>
      </c>
      <c r="U401" s="43" t="str">
        <f t="shared" si="196"/>
        <v/>
      </c>
      <c r="V401" s="43" t="str">
        <f t="shared" si="196"/>
        <v/>
      </c>
      <c r="W401" s="43" t="str">
        <f t="shared" si="196"/>
        <v/>
      </c>
      <c r="X401" s="43" t="str">
        <f t="shared" si="196"/>
        <v/>
      </c>
      <c r="Y401" s="43" t="str">
        <f t="shared" si="196"/>
        <v/>
      </c>
      <c r="Z401" s="43" t="str">
        <f t="shared" si="196"/>
        <v/>
      </c>
      <c r="AA401" s="43" t="str">
        <f t="shared" si="196"/>
        <v/>
      </c>
      <c r="AB401" s="43" t="str">
        <f t="shared" si="197"/>
        <v/>
      </c>
      <c r="AC401" s="43" t="str">
        <f t="shared" si="197"/>
        <v/>
      </c>
      <c r="AD401" s="43" t="str">
        <f t="shared" si="197"/>
        <v/>
      </c>
      <c r="AE401" s="43" t="str">
        <f t="shared" si="197"/>
        <v/>
      </c>
      <c r="AF401" s="43" t="str">
        <f t="shared" si="197"/>
        <v/>
      </c>
      <c r="AG401" s="43" t="str">
        <f t="shared" si="197"/>
        <v/>
      </c>
      <c r="AH401" s="43" t="str">
        <f t="shared" si="197"/>
        <v/>
      </c>
      <c r="AI401" s="43" t="str">
        <f t="shared" si="197"/>
        <v/>
      </c>
      <c r="AJ401" s="43" t="str">
        <f t="shared" si="197"/>
        <v/>
      </c>
      <c r="AK401" s="43" t="str">
        <f t="shared" si="197"/>
        <v/>
      </c>
      <c r="AL401" s="43" t="str">
        <f t="shared" si="198"/>
        <v/>
      </c>
      <c r="AM401" s="43" t="str">
        <f t="shared" si="198"/>
        <v/>
      </c>
      <c r="AN401" s="43" t="str">
        <f t="shared" si="198"/>
        <v/>
      </c>
      <c r="AO401" s="43" t="str">
        <f t="shared" si="198"/>
        <v/>
      </c>
      <c r="AP401" s="43" t="str">
        <f t="shared" si="198"/>
        <v/>
      </c>
      <c r="AQ401" s="43" t="str">
        <f t="shared" si="198"/>
        <v/>
      </c>
      <c r="AR401" s="43" t="str">
        <f t="shared" si="198"/>
        <v/>
      </c>
      <c r="AS401" s="43" t="str">
        <f t="shared" si="198"/>
        <v/>
      </c>
      <c r="AT401" s="43" t="str">
        <f t="shared" si="198"/>
        <v/>
      </c>
      <c r="AU401" s="43" t="str">
        <f t="shared" si="198"/>
        <v/>
      </c>
      <c r="AV401" s="43" t="str">
        <f t="shared" si="199"/>
        <v/>
      </c>
      <c r="AW401" s="43" t="str">
        <f t="shared" si="199"/>
        <v/>
      </c>
      <c r="AX401" s="43" t="str">
        <f t="shared" si="199"/>
        <v/>
      </c>
      <c r="AY401" s="43" t="str">
        <f t="shared" si="199"/>
        <v/>
      </c>
      <c r="AZ401" s="43" t="str">
        <f t="shared" si="199"/>
        <v/>
      </c>
      <c r="BA401" s="43" t="str">
        <f t="shared" si="199"/>
        <v/>
      </c>
      <c r="BB401" s="43"/>
      <c r="BC401" s="43"/>
      <c r="BD401" s="43"/>
      <c r="BE401" s="43"/>
      <c r="BF401" s="43"/>
      <c r="BG401" s="43"/>
      <c r="BW401" s="1250"/>
    </row>
    <row r="402" spans="1:75" x14ac:dyDescent="0.25">
      <c r="A402" s="1251"/>
      <c r="B402" s="462">
        <v>396</v>
      </c>
      <c r="C402" s="462"/>
      <c r="D402" s="1244"/>
      <c r="E402" s="1050"/>
      <c r="F402" s="1244"/>
      <c r="H402" s="43" t="str">
        <f t="shared" si="195"/>
        <v/>
      </c>
      <c r="I402" s="43" t="str">
        <f t="shared" si="195"/>
        <v/>
      </c>
      <c r="J402" s="43" t="str">
        <f t="shared" si="195"/>
        <v/>
      </c>
      <c r="K402" s="43" t="str">
        <f t="shared" si="195"/>
        <v/>
      </c>
      <c r="L402" s="43" t="str">
        <f t="shared" si="195"/>
        <v/>
      </c>
      <c r="M402" s="43" t="str">
        <f t="shared" si="195"/>
        <v/>
      </c>
      <c r="N402" s="43" t="str">
        <f t="shared" si="195"/>
        <v/>
      </c>
      <c r="O402" s="43" t="str">
        <f t="shared" si="195"/>
        <v/>
      </c>
      <c r="P402" s="43" t="str">
        <f t="shared" si="195"/>
        <v/>
      </c>
      <c r="Q402" s="43" t="str">
        <f t="shared" si="195"/>
        <v/>
      </c>
      <c r="R402" s="43" t="str">
        <f t="shared" si="196"/>
        <v/>
      </c>
      <c r="S402" s="43" t="str">
        <f t="shared" si="196"/>
        <v/>
      </c>
      <c r="T402" s="43" t="str">
        <f t="shared" si="196"/>
        <v/>
      </c>
      <c r="U402" s="43" t="str">
        <f t="shared" si="196"/>
        <v/>
      </c>
      <c r="V402" s="43" t="str">
        <f t="shared" si="196"/>
        <v/>
      </c>
      <c r="W402" s="43" t="str">
        <f t="shared" si="196"/>
        <v/>
      </c>
      <c r="X402" s="43" t="str">
        <f t="shared" si="196"/>
        <v/>
      </c>
      <c r="Y402" s="43" t="str">
        <f t="shared" si="196"/>
        <v/>
      </c>
      <c r="Z402" s="43" t="str">
        <f t="shared" si="196"/>
        <v/>
      </c>
      <c r="AA402" s="43" t="str">
        <f t="shared" si="196"/>
        <v/>
      </c>
      <c r="AB402" s="43" t="str">
        <f t="shared" si="197"/>
        <v/>
      </c>
      <c r="AC402" s="43" t="str">
        <f t="shared" si="197"/>
        <v/>
      </c>
      <c r="AD402" s="43" t="str">
        <f t="shared" si="197"/>
        <v/>
      </c>
      <c r="AE402" s="43" t="str">
        <f t="shared" si="197"/>
        <v/>
      </c>
      <c r="AF402" s="43" t="str">
        <f t="shared" si="197"/>
        <v/>
      </c>
      <c r="AG402" s="43" t="str">
        <f t="shared" si="197"/>
        <v/>
      </c>
      <c r="AH402" s="43" t="str">
        <f t="shared" si="197"/>
        <v/>
      </c>
      <c r="AI402" s="43" t="str">
        <f t="shared" si="197"/>
        <v/>
      </c>
      <c r="AJ402" s="43" t="str">
        <f t="shared" si="197"/>
        <v/>
      </c>
      <c r="AK402" s="43" t="str">
        <f t="shared" si="197"/>
        <v/>
      </c>
      <c r="AL402" s="43" t="str">
        <f t="shared" si="198"/>
        <v/>
      </c>
      <c r="AM402" s="43" t="str">
        <f t="shared" si="198"/>
        <v/>
      </c>
      <c r="AN402" s="43" t="str">
        <f t="shared" si="198"/>
        <v/>
      </c>
      <c r="AO402" s="43" t="str">
        <f t="shared" si="198"/>
        <v/>
      </c>
      <c r="AP402" s="43" t="str">
        <f t="shared" si="198"/>
        <v/>
      </c>
      <c r="AQ402" s="43" t="str">
        <f t="shared" si="198"/>
        <v/>
      </c>
      <c r="AR402" s="43" t="str">
        <f t="shared" si="198"/>
        <v/>
      </c>
      <c r="AS402" s="43" t="str">
        <f t="shared" si="198"/>
        <v/>
      </c>
      <c r="AT402" s="43" t="str">
        <f t="shared" si="198"/>
        <v/>
      </c>
      <c r="AU402" s="43" t="str">
        <f t="shared" si="198"/>
        <v/>
      </c>
      <c r="AV402" s="43" t="str">
        <f t="shared" si="199"/>
        <v/>
      </c>
      <c r="AW402" s="43" t="str">
        <f t="shared" si="199"/>
        <v/>
      </c>
      <c r="AX402" s="43" t="str">
        <f t="shared" si="199"/>
        <v/>
      </c>
      <c r="AY402" s="43" t="str">
        <f t="shared" si="199"/>
        <v/>
      </c>
      <c r="AZ402" s="43" t="str">
        <f t="shared" si="199"/>
        <v/>
      </c>
      <c r="BA402" s="43" t="str">
        <f t="shared" si="199"/>
        <v/>
      </c>
      <c r="BB402" s="43"/>
      <c r="BC402" s="43"/>
      <c r="BD402" s="43"/>
      <c r="BE402" s="43"/>
      <c r="BF402" s="43"/>
      <c r="BG402" s="43"/>
      <c r="BW402" s="1250"/>
    </row>
    <row r="403" spans="1:75" x14ac:dyDescent="0.25">
      <c r="A403" s="1251"/>
      <c r="B403" s="462">
        <v>397</v>
      </c>
      <c r="C403" s="462"/>
      <c r="D403" s="1244"/>
      <c r="E403" s="1050"/>
      <c r="F403" s="1244"/>
      <c r="H403" s="43" t="str">
        <f t="shared" si="195"/>
        <v/>
      </c>
      <c r="I403" s="43" t="str">
        <f t="shared" si="195"/>
        <v/>
      </c>
      <c r="J403" s="43" t="str">
        <f t="shared" si="195"/>
        <v/>
      </c>
      <c r="K403" s="43" t="str">
        <f t="shared" si="195"/>
        <v/>
      </c>
      <c r="L403" s="43" t="str">
        <f t="shared" si="195"/>
        <v/>
      </c>
      <c r="M403" s="43" t="str">
        <f t="shared" si="195"/>
        <v/>
      </c>
      <c r="N403" s="43" t="str">
        <f t="shared" si="195"/>
        <v/>
      </c>
      <c r="O403" s="43" t="str">
        <f t="shared" si="195"/>
        <v/>
      </c>
      <c r="P403" s="43" t="str">
        <f t="shared" si="195"/>
        <v/>
      </c>
      <c r="Q403" s="43" t="str">
        <f t="shared" si="195"/>
        <v/>
      </c>
      <c r="R403" s="43" t="str">
        <f t="shared" si="196"/>
        <v/>
      </c>
      <c r="S403" s="43" t="str">
        <f t="shared" si="196"/>
        <v/>
      </c>
      <c r="T403" s="43" t="str">
        <f t="shared" si="196"/>
        <v/>
      </c>
      <c r="U403" s="43" t="str">
        <f t="shared" si="196"/>
        <v/>
      </c>
      <c r="V403" s="43" t="str">
        <f t="shared" si="196"/>
        <v/>
      </c>
      <c r="W403" s="43" t="str">
        <f t="shared" si="196"/>
        <v/>
      </c>
      <c r="X403" s="43" t="str">
        <f t="shared" si="196"/>
        <v/>
      </c>
      <c r="Y403" s="43" t="str">
        <f t="shared" si="196"/>
        <v/>
      </c>
      <c r="Z403" s="43" t="str">
        <f t="shared" si="196"/>
        <v/>
      </c>
      <c r="AA403" s="43" t="str">
        <f t="shared" si="196"/>
        <v/>
      </c>
      <c r="AB403" s="43" t="str">
        <f t="shared" si="197"/>
        <v/>
      </c>
      <c r="AC403" s="43" t="str">
        <f t="shared" si="197"/>
        <v/>
      </c>
      <c r="AD403" s="43" t="str">
        <f t="shared" si="197"/>
        <v/>
      </c>
      <c r="AE403" s="43" t="str">
        <f t="shared" si="197"/>
        <v/>
      </c>
      <c r="AF403" s="43" t="str">
        <f t="shared" si="197"/>
        <v/>
      </c>
      <c r="AG403" s="43" t="str">
        <f t="shared" si="197"/>
        <v/>
      </c>
      <c r="AH403" s="43" t="str">
        <f t="shared" si="197"/>
        <v/>
      </c>
      <c r="AI403" s="43" t="str">
        <f t="shared" si="197"/>
        <v/>
      </c>
      <c r="AJ403" s="43" t="str">
        <f t="shared" si="197"/>
        <v/>
      </c>
      <c r="AK403" s="43" t="str">
        <f t="shared" si="197"/>
        <v/>
      </c>
      <c r="AL403" s="43" t="str">
        <f t="shared" si="198"/>
        <v/>
      </c>
      <c r="AM403" s="43" t="str">
        <f t="shared" si="198"/>
        <v/>
      </c>
      <c r="AN403" s="43" t="str">
        <f t="shared" si="198"/>
        <v/>
      </c>
      <c r="AO403" s="43" t="str">
        <f t="shared" si="198"/>
        <v/>
      </c>
      <c r="AP403" s="43" t="str">
        <f t="shared" si="198"/>
        <v/>
      </c>
      <c r="AQ403" s="43" t="str">
        <f t="shared" si="198"/>
        <v/>
      </c>
      <c r="AR403" s="43" t="str">
        <f t="shared" si="198"/>
        <v/>
      </c>
      <c r="AS403" s="43" t="str">
        <f t="shared" si="198"/>
        <v/>
      </c>
      <c r="AT403" s="43" t="str">
        <f t="shared" si="198"/>
        <v/>
      </c>
      <c r="AU403" s="43" t="str">
        <f t="shared" si="198"/>
        <v/>
      </c>
      <c r="AV403" s="43" t="str">
        <f t="shared" si="199"/>
        <v/>
      </c>
      <c r="AW403" s="43" t="str">
        <f t="shared" si="199"/>
        <v/>
      </c>
      <c r="AX403" s="43" t="str">
        <f t="shared" si="199"/>
        <v/>
      </c>
      <c r="AY403" s="43" t="str">
        <f t="shared" si="199"/>
        <v/>
      </c>
      <c r="AZ403" s="43" t="str">
        <f t="shared" si="199"/>
        <v/>
      </c>
      <c r="BA403" s="43" t="str">
        <f t="shared" si="199"/>
        <v/>
      </c>
      <c r="BB403" s="43"/>
      <c r="BC403" s="43"/>
      <c r="BD403" s="43"/>
      <c r="BE403" s="43"/>
      <c r="BF403" s="43"/>
      <c r="BG403" s="43"/>
      <c r="BW403" s="1250"/>
    </row>
    <row r="404" spans="1:75" x14ac:dyDescent="0.25">
      <c r="A404" s="1251"/>
      <c r="B404" s="462">
        <v>398</v>
      </c>
      <c r="C404" s="462"/>
      <c r="D404" s="1244"/>
      <c r="E404" s="1050"/>
      <c r="F404" s="1244"/>
      <c r="H404" s="43" t="str">
        <f t="shared" si="195"/>
        <v/>
      </c>
      <c r="I404" s="43" t="str">
        <f t="shared" si="195"/>
        <v/>
      </c>
      <c r="J404" s="43" t="str">
        <f t="shared" si="195"/>
        <v/>
      </c>
      <c r="K404" s="43" t="str">
        <f t="shared" si="195"/>
        <v/>
      </c>
      <c r="L404" s="43" t="str">
        <f t="shared" si="195"/>
        <v/>
      </c>
      <c r="M404" s="43" t="str">
        <f t="shared" si="195"/>
        <v/>
      </c>
      <c r="N404" s="43" t="str">
        <f t="shared" si="195"/>
        <v/>
      </c>
      <c r="O404" s="43" t="str">
        <f t="shared" si="195"/>
        <v/>
      </c>
      <c r="P404" s="43" t="str">
        <f t="shared" si="195"/>
        <v/>
      </c>
      <c r="Q404" s="43" t="str">
        <f t="shared" si="195"/>
        <v/>
      </c>
      <c r="R404" s="43" t="str">
        <f t="shared" si="196"/>
        <v/>
      </c>
      <c r="S404" s="43" t="str">
        <f t="shared" si="196"/>
        <v/>
      </c>
      <c r="T404" s="43" t="str">
        <f t="shared" si="196"/>
        <v/>
      </c>
      <c r="U404" s="43" t="str">
        <f t="shared" si="196"/>
        <v/>
      </c>
      <c r="V404" s="43" t="str">
        <f t="shared" si="196"/>
        <v/>
      </c>
      <c r="W404" s="43" t="str">
        <f t="shared" si="196"/>
        <v/>
      </c>
      <c r="X404" s="43" t="str">
        <f t="shared" si="196"/>
        <v/>
      </c>
      <c r="Y404" s="43" t="str">
        <f t="shared" si="196"/>
        <v/>
      </c>
      <c r="Z404" s="43" t="str">
        <f t="shared" si="196"/>
        <v/>
      </c>
      <c r="AA404" s="43" t="str">
        <f t="shared" si="196"/>
        <v/>
      </c>
      <c r="AB404" s="43" t="str">
        <f t="shared" si="197"/>
        <v/>
      </c>
      <c r="AC404" s="43" t="str">
        <f t="shared" si="197"/>
        <v/>
      </c>
      <c r="AD404" s="43" t="str">
        <f t="shared" si="197"/>
        <v/>
      </c>
      <c r="AE404" s="43" t="str">
        <f t="shared" si="197"/>
        <v/>
      </c>
      <c r="AF404" s="43" t="str">
        <f t="shared" si="197"/>
        <v/>
      </c>
      <c r="AG404" s="43" t="str">
        <f t="shared" si="197"/>
        <v/>
      </c>
      <c r="AH404" s="43" t="str">
        <f t="shared" si="197"/>
        <v/>
      </c>
      <c r="AI404" s="43" t="str">
        <f t="shared" si="197"/>
        <v/>
      </c>
      <c r="AJ404" s="43" t="str">
        <f t="shared" si="197"/>
        <v/>
      </c>
      <c r="AK404" s="43" t="str">
        <f t="shared" si="197"/>
        <v/>
      </c>
      <c r="AL404" s="43" t="str">
        <f t="shared" si="198"/>
        <v/>
      </c>
      <c r="AM404" s="43" t="str">
        <f t="shared" si="198"/>
        <v/>
      </c>
      <c r="AN404" s="43" t="str">
        <f t="shared" si="198"/>
        <v/>
      </c>
      <c r="AO404" s="43" t="str">
        <f t="shared" si="198"/>
        <v/>
      </c>
      <c r="AP404" s="43" t="str">
        <f t="shared" si="198"/>
        <v/>
      </c>
      <c r="AQ404" s="43" t="str">
        <f t="shared" si="198"/>
        <v/>
      </c>
      <c r="AR404" s="43" t="str">
        <f t="shared" si="198"/>
        <v/>
      </c>
      <c r="AS404" s="43" t="str">
        <f t="shared" si="198"/>
        <v/>
      </c>
      <c r="AT404" s="43" t="str">
        <f t="shared" si="198"/>
        <v/>
      </c>
      <c r="AU404" s="43" t="str">
        <f t="shared" si="198"/>
        <v/>
      </c>
      <c r="AV404" s="43" t="str">
        <f t="shared" si="199"/>
        <v/>
      </c>
      <c r="AW404" s="43" t="str">
        <f t="shared" si="199"/>
        <v/>
      </c>
      <c r="AX404" s="43" t="str">
        <f t="shared" si="199"/>
        <v/>
      </c>
      <c r="AY404" s="43" t="str">
        <f t="shared" si="199"/>
        <v/>
      </c>
      <c r="AZ404" s="43" t="str">
        <f t="shared" si="199"/>
        <v/>
      </c>
      <c r="BA404" s="43" t="str">
        <f t="shared" si="199"/>
        <v/>
      </c>
      <c r="BB404" s="43"/>
      <c r="BC404" s="43"/>
      <c r="BD404" s="43"/>
      <c r="BE404" s="43"/>
      <c r="BF404" s="43"/>
      <c r="BG404" s="43"/>
      <c r="BW404" s="1250"/>
    </row>
    <row r="405" spans="1:75" x14ac:dyDescent="0.25">
      <c r="A405" s="1251"/>
      <c r="B405" s="462">
        <v>399</v>
      </c>
      <c r="C405" s="462"/>
      <c r="D405" s="1244"/>
      <c r="E405" s="1050"/>
      <c r="F405" s="1244"/>
      <c r="H405" s="43" t="str">
        <f t="shared" si="195"/>
        <v/>
      </c>
      <c r="I405" s="43" t="str">
        <f t="shared" si="195"/>
        <v/>
      </c>
      <c r="J405" s="43" t="str">
        <f t="shared" si="195"/>
        <v/>
      </c>
      <c r="K405" s="43" t="str">
        <f t="shared" si="195"/>
        <v/>
      </c>
      <c r="L405" s="43" t="str">
        <f t="shared" si="195"/>
        <v/>
      </c>
      <c r="M405" s="43" t="str">
        <f t="shared" si="195"/>
        <v/>
      </c>
      <c r="N405" s="43" t="str">
        <f t="shared" si="195"/>
        <v/>
      </c>
      <c r="O405" s="43" t="str">
        <f t="shared" si="195"/>
        <v/>
      </c>
      <c r="P405" s="43" t="str">
        <f t="shared" si="195"/>
        <v/>
      </c>
      <c r="Q405" s="43" t="str">
        <f t="shared" si="195"/>
        <v/>
      </c>
      <c r="R405" s="43" t="str">
        <f t="shared" si="196"/>
        <v/>
      </c>
      <c r="S405" s="43" t="str">
        <f t="shared" si="196"/>
        <v/>
      </c>
      <c r="T405" s="43" t="str">
        <f t="shared" si="196"/>
        <v/>
      </c>
      <c r="U405" s="43" t="str">
        <f t="shared" si="196"/>
        <v/>
      </c>
      <c r="V405" s="43" t="str">
        <f t="shared" si="196"/>
        <v/>
      </c>
      <c r="W405" s="43" t="str">
        <f t="shared" si="196"/>
        <v/>
      </c>
      <c r="X405" s="43" t="str">
        <f t="shared" si="196"/>
        <v/>
      </c>
      <c r="Y405" s="43" t="str">
        <f t="shared" si="196"/>
        <v/>
      </c>
      <c r="Z405" s="43" t="str">
        <f t="shared" si="196"/>
        <v/>
      </c>
      <c r="AA405" s="43" t="str">
        <f t="shared" si="196"/>
        <v/>
      </c>
      <c r="AB405" s="43" t="str">
        <f t="shared" si="197"/>
        <v/>
      </c>
      <c r="AC405" s="43" t="str">
        <f t="shared" si="197"/>
        <v/>
      </c>
      <c r="AD405" s="43" t="str">
        <f t="shared" si="197"/>
        <v/>
      </c>
      <c r="AE405" s="43" t="str">
        <f t="shared" si="197"/>
        <v/>
      </c>
      <c r="AF405" s="43" t="str">
        <f t="shared" si="197"/>
        <v/>
      </c>
      <c r="AG405" s="43" t="str">
        <f t="shared" si="197"/>
        <v/>
      </c>
      <c r="AH405" s="43" t="str">
        <f t="shared" si="197"/>
        <v/>
      </c>
      <c r="AI405" s="43" t="str">
        <f t="shared" si="197"/>
        <v/>
      </c>
      <c r="AJ405" s="43" t="str">
        <f t="shared" si="197"/>
        <v/>
      </c>
      <c r="AK405" s="43" t="str">
        <f t="shared" si="197"/>
        <v/>
      </c>
      <c r="AL405" s="43" t="str">
        <f t="shared" si="198"/>
        <v/>
      </c>
      <c r="AM405" s="43" t="str">
        <f t="shared" si="198"/>
        <v/>
      </c>
      <c r="AN405" s="43" t="str">
        <f t="shared" si="198"/>
        <v/>
      </c>
      <c r="AO405" s="43" t="str">
        <f t="shared" si="198"/>
        <v/>
      </c>
      <c r="AP405" s="43" t="str">
        <f t="shared" si="198"/>
        <v/>
      </c>
      <c r="AQ405" s="43" t="str">
        <f t="shared" si="198"/>
        <v/>
      </c>
      <c r="AR405" s="43" t="str">
        <f t="shared" si="198"/>
        <v/>
      </c>
      <c r="AS405" s="43" t="str">
        <f t="shared" si="198"/>
        <v/>
      </c>
      <c r="AT405" s="43" t="str">
        <f t="shared" si="198"/>
        <v/>
      </c>
      <c r="AU405" s="43" t="str">
        <f t="shared" si="198"/>
        <v/>
      </c>
      <c r="AV405" s="43" t="str">
        <f t="shared" si="199"/>
        <v/>
      </c>
      <c r="AW405" s="43" t="str">
        <f t="shared" si="199"/>
        <v/>
      </c>
      <c r="AX405" s="43" t="str">
        <f t="shared" si="199"/>
        <v/>
      </c>
      <c r="AY405" s="43" t="str">
        <f t="shared" si="199"/>
        <v/>
      </c>
      <c r="AZ405" s="43" t="str">
        <f t="shared" si="199"/>
        <v/>
      </c>
      <c r="BA405" s="43" t="str">
        <f t="shared" si="199"/>
        <v/>
      </c>
      <c r="BB405" s="43"/>
      <c r="BC405" s="43"/>
      <c r="BD405" s="43"/>
      <c r="BE405" s="43"/>
      <c r="BF405" s="43"/>
      <c r="BG405" s="43"/>
      <c r="BW405" s="1250"/>
    </row>
    <row r="406" spans="1:75" x14ac:dyDescent="0.25">
      <c r="A406" s="1251"/>
      <c r="B406" s="462">
        <v>400</v>
      </c>
      <c r="C406" s="462"/>
      <c r="D406" s="1244"/>
      <c r="E406" s="1050"/>
      <c r="F406" s="1244"/>
      <c r="H406" s="43" t="str">
        <f t="shared" si="195"/>
        <v/>
      </c>
      <c r="I406" s="43" t="str">
        <f t="shared" si="195"/>
        <v/>
      </c>
      <c r="J406" s="43" t="str">
        <f t="shared" si="195"/>
        <v/>
      </c>
      <c r="K406" s="43" t="str">
        <f t="shared" si="195"/>
        <v/>
      </c>
      <c r="L406" s="43" t="str">
        <f t="shared" si="195"/>
        <v/>
      </c>
      <c r="M406" s="43" t="str">
        <f t="shared" si="195"/>
        <v/>
      </c>
      <c r="N406" s="43" t="str">
        <f t="shared" si="195"/>
        <v/>
      </c>
      <c r="O406" s="43" t="str">
        <f t="shared" si="195"/>
        <v/>
      </c>
      <c r="P406" s="43" t="str">
        <f t="shared" si="195"/>
        <v/>
      </c>
      <c r="Q406" s="43" t="str">
        <f t="shared" si="195"/>
        <v/>
      </c>
      <c r="R406" s="43" t="str">
        <f t="shared" si="196"/>
        <v/>
      </c>
      <c r="S406" s="43" t="str">
        <f t="shared" si="196"/>
        <v/>
      </c>
      <c r="T406" s="43" t="str">
        <f t="shared" si="196"/>
        <v/>
      </c>
      <c r="U406" s="43" t="str">
        <f t="shared" si="196"/>
        <v/>
      </c>
      <c r="V406" s="43" t="str">
        <f t="shared" si="196"/>
        <v/>
      </c>
      <c r="W406" s="43" t="str">
        <f t="shared" si="196"/>
        <v/>
      </c>
      <c r="X406" s="43" t="str">
        <f t="shared" si="196"/>
        <v/>
      </c>
      <c r="Y406" s="43" t="str">
        <f t="shared" si="196"/>
        <v/>
      </c>
      <c r="Z406" s="43" t="str">
        <f t="shared" si="196"/>
        <v/>
      </c>
      <c r="AA406" s="43" t="str">
        <f t="shared" si="196"/>
        <v/>
      </c>
      <c r="AB406" s="43" t="str">
        <f t="shared" si="197"/>
        <v/>
      </c>
      <c r="AC406" s="43" t="str">
        <f t="shared" si="197"/>
        <v/>
      </c>
      <c r="AD406" s="43" t="str">
        <f t="shared" si="197"/>
        <v/>
      </c>
      <c r="AE406" s="43" t="str">
        <f t="shared" si="197"/>
        <v/>
      </c>
      <c r="AF406" s="43" t="str">
        <f t="shared" si="197"/>
        <v/>
      </c>
      <c r="AG406" s="43" t="str">
        <f t="shared" si="197"/>
        <v/>
      </c>
      <c r="AH406" s="43" t="str">
        <f t="shared" si="197"/>
        <v/>
      </c>
      <c r="AI406" s="43" t="str">
        <f t="shared" si="197"/>
        <v/>
      </c>
      <c r="AJ406" s="43" t="str">
        <f t="shared" si="197"/>
        <v/>
      </c>
      <c r="AK406" s="43" t="str">
        <f t="shared" si="197"/>
        <v/>
      </c>
      <c r="AL406" s="43" t="str">
        <f t="shared" si="198"/>
        <v/>
      </c>
      <c r="AM406" s="43" t="str">
        <f t="shared" si="198"/>
        <v/>
      </c>
      <c r="AN406" s="43" t="str">
        <f t="shared" si="198"/>
        <v/>
      </c>
      <c r="AO406" s="43" t="str">
        <f t="shared" si="198"/>
        <v/>
      </c>
      <c r="AP406" s="43" t="str">
        <f t="shared" si="198"/>
        <v/>
      </c>
      <c r="AQ406" s="43" t="str">
        <f t="shared" si="198"/>
        <v/>
      </c>
      <c r="AR406" s="43" t="str">
        <f t="shared" si="198"/>
        <v/>
      </c>
      <c r="AS406" s="43" t="str">
        <f t="shared" si="198"/>
        <v/>
      </c>
      <c r="AT406" s="43" t="str">
        <f t="shared" si="198"/>
        <v/>
      </c>
      <c r="AU406" s="43" t="str">
        <f t="shared" si="198"/>
        <v/>
      </c>
      <c r="AV406" s="43" t="str">
        <f t="shared" si="199"/>
        <v/>
      </c>
      <c r="AW406" s="43" t="str">
        <f t="shared" si="199"/>
        <v/>
      </c>
      <c r="AX406" s="43" t="str">
        <f t="shared" si="199"/>
        <v/>
      </c>
      <c r="AY406" s="43" t="str">
        <f t="shared" si="199"/>
        <v/>
      </c>
      <c r="AZ406" s="43" t="str">
        <f t="shared" si="199"/>
        <v/>
      </c>
      <c r="BA406" s="43" t="str">
        <f t="shared" si="199"/>
        <v/>
      </c>
      <c r="BB406" s="43"/>
      <c r="BC406" s="43"/>
      <c r="BD406" s="43"/>
      <c r="BE406" s="43"/>
      <c r="BF406" s="43"/>
      <c r="BG406" s="43"/>
      <c r="BW406" s="1250"/>
    </row>
    <row r="407" spans="1:75" x14ac:dyDescent="0.25">
      <c r="A407" s="1251"/>
      <c r="B407" s="462">
        <v>401</v>
      </c>
      <c r="C407" s="462"/>
      <c r="D407" s="1244"/>
      <c r="E407" s="1050"/>
      <c r="F407" s="1244"/>
      <c r="H407" s="43" t="str">
        <f t="shared" ref="H407:Q416" si="200">IF($D407=H$6,$B407&amp;", ","")</f>
        <v/>
      </c>
      <c r="I407" s="43" t="str">
        <f t="shared" si="200"/>
        <v/>
      </c>
      <c r="J407" s="43" t="str">
        <f t="shared" si="200"/>
        <v/>
      </c>
      <c r="K407" s="43" t="str">
        <f t="shared" si="200"/>
        <v/>
      </c>
      <c r="L407" s="43" t="str">
        <f t="shared" si="200"/>
        <v/>
      </c>
      <c r="M407" s="43" t="str">
        <f t="shared" si="200"/>
        <v/>
      </c>
      <c r="N407" s="43" t="str">
        <f t="shared" si="200"/>
        <v/>
      </c>
      <c r="O407" s="43" t="str">
        <f t="shared" si="200"/>
        <v/>
      </c>
      <c r="P407" s="43" t="str">
        <f t="shared" si="200"/>
        <v/>
      </c>
      <c r="Q407" s="43" t="str">
        <f t="shared" si="200"/>
        <v/>
      </c>
      <c r="R407" s="43" t="str">
        <f t="shared" ref="R407:AA416" si="201">IF($D407=R$6,$B407&amp;", ","")</f>
        <v/>
      </c>
      <c r="S407" s="43" t="str">
        <f t="shared" si="201"/>
        <v/>
      </c>
      <c r="T407" s="43" t="str">
        <f t="shared" si="201"/>
        <v/>
      </c>
      <c r="U407" s="43" t="str">
        <f t="shared" si="201"/>
        <v/>
      </c>
      <c r="V407" s="43" t="str">
        <f t="shared" si="201"/>
        <v/>
      </c>
      <c r="W407" s="43" t="str">
        <f t="shared" si="201"/>
        <v/>
      </c>
      <c r="X407" s="43" t="str">
        <f t="shared" si="201"/>
        <v/>
      </c>
      <c r="Y407" s="43" t="str">
        <f t="shared" si="201"/>
        <v/>
      </c>
      <c r="Z407" s="43" t="str">
        <f t="shared" si="201"/>
        <v/>
      </c>
      <c r="AA407" s="43" t="str">
        <f t="shared" si="201"/>
        <v/>
      </c>
      <c r="AB407" s="43" t="str">
        <f t="shared" ref="AB407:AK416" si="202">IF($D407=AB$6,$B407&amp;", ","")</f>
        <v/>
      </c>
      <c r="AC407" s="43" t="str">
        <f t="shared" si="202"/>
        <v/>
      </c>
      <c r="AD407" s="43" t="str">
        <f t="shared" si="202"/>
        <v/>
      </c>
      <c r="AE407" s="43" t="str">
        <f t="shared" si="202"/>
        <v/>
      </c>
      <c r="AF407" s="43" t="str">
        <f t="shared" si="202"/>
        <v/>
      </c>
      <c r="AG407" s="43" t="str">
        <f t="shared" si="202"/>
        <v/>
      </c>
      <c r="AH407" s="43" t="str">
        <f t="shared" si="202"/>
        <v/>
      </c>
      <c r="AI407" s="43" t="str">
        <f t="shared" si="202"/>
        <v/>
      </c>
      <c r="AJ407" s="43" t="str">
        <f t="shared" si="202"/>
        <v/>
      </c>
      <c r="AK407" s="43" t="str">
        <f t="shared" si="202"/>
        <v/>
      </c>
      <c r="AL407" s="43" t="str">
        <f t="shared" ref="AL407:AU416" si="203">IF($D407=AL$6,$B407&amp;", ","")</f>
        <v/>
      </c>
      <c r="AM407" s="43" t="str">
        <f t="shared" si="203"/>
        <v/>
      </c>
      <c r="AN407" s="43" t="str">
        <f t="shared" si="203"/>
        <v/>
      </c>
      <c r="AO407" s="43" t="str">
        <f t="shared" si="203"/>
        <v/>
      </c>
      <c r="AP407" s="43" t="str">
        <f t="shared" si="203"/>
        <v/>
      </c>
      <c r="AQ407" s="43" t="str">
        <f t="shared" si="203"/>
        <v/>
      </c>
      <c r="AR407" s="43" t="str">
        <f t="shared" si="203"/>
        <v/>
      </c>
      <c r="AS407" s="43" t="str">
        <f t="shared" si="203"/>
        <v/>
      </c>
      <c r="AT407" s="43" t="str">
        <f t="shared" si="203"/>
        <v/>
      </c>
      <c r="AU407" s="43" t="str">
        <f t="shared" si="203"/>
        <v/>
      </c>
      <c r="AV407" s="43" t="str">
        <f t="shared" ref="AV407:BA416" si="204">IF($D407=AV$6,$B407&amp;", ","")</f>
        <v/>
      </c>
      <c r="AW407" s="43" t="str">
        <f t="shared" si="204"/>
        <v/>
      </c>
      <c r="AX407" s="43" t="str">
        <f t="shared" si="204"/>
        <v/>
      </c>
      <c r="AY407" s="43" t="str">
        <f t="shared" si="204"/>
        <v/>
      </c>
      <c r="AZ407" s="43" t="str">
        <f t="shared" si="204"/>
        <v/>
      </c>
      <c r="BA407" s="43" t="str">
        <f t="shared" si="204"/>
        <v/>
      </c>
      <c r="BB407" s="43"/>
      <c r="BC407" s="43"/>
      <c r="BD407" s="43"/>
      <c r="BE407" s="43"/>
      <c r="BF407" s="43"/>
      <c r="BG407" s="43"/>
      <c r="BW407" s="1250"/>
    </row>
    <row r="408" spans="1:75" x14ac:dyDescent="0.25">
      <c r="A408" s="1251"/>
      <c r="B408" s="462">
        <v>402</v>
      </c>
      <c r="C408" s="462"/>
      <c r="D408" s="1244"/>
      <c r="E408" s="1050"/>
      <c r="F408" s="1244"/>
      <c r="H408" s="43" t="str">
        <f t="shared" si="200"/>
        <v/>
      </c>
      <c r="I408" s="43" t="str">
        <f t="shared" si="200"/>
        <v/>
      </c>
      <c r="J408" s="43" t="str">
        <f t="shared" si="200"/>
        <v/>
      </c>
      <c r="K408" s="43" t="str">
        <f t="shared" si="200"/>
        <v/>
      </c>
      <c r="L408" s="43" t="str">
        <f t="shared" si="200"/>
        <v/>
      </c>
      <c r="M408" s="43" t="str">
        <f t="shared" si="200"/>
        <v/>
      </c>
      <c r="N408" s="43" t="str">
        <f t="shared" si="200"/>
        <v/>
      </c>
      <c r="O408" s="43" t="str">
        <f t="shared" si="200"/>
        <v/>
      </c>
      <c r="P408" s="43" t="str">
        <f t="shared" si="200"/>
        <v/>
      </c>
      <c r="Q408" s="43" t="str">
        <f t="shared" si="200"/>
        <v/>
      </c>
      <c r="R408" s="43" t="str">
        <f t="shared" si="201"/>
        <v/>
      </c>
      <c r="S408" s="43" t="str">
        <f t="shared" si="201"/>
        <v/>
      </c>
      <c r="T408" s="43" t="str">
        <f t="shared" si="201"/>
        <v/>
      </c>
      <c r="U408" s="43" t="str">
        <f t="shared" si="201"/>
        <v/>
      </c>
      <c r="V408" s="43" t="str">
        <f t="shared" si="201"/>
        <v/>
      </c>
      <c r="W408" s="43" t="str">
        <f t="shared" si="201"/>
        <v/>
      </c>
      <c r="X408" s="43" t="str">
        <f t="shared" si="201"/>
        <v/>
      </c>
      <c r="Y408" s="43" t="str">
        <f t="shared" si="201"/>
        <v/>
      </c>
      <c r="Z408" s="43" t="str">
        <f t="shared" si="201"/>
        <v/>
      </c>
      <c r="AA408" s="43" t="str">
        <f t="shared" si="201"/>
        <v/>
      </c>
      <c r="AB408" s="43" t="str">
        <f t="shared" si="202"/>
        <v/>
      </c>
      <c r="AC408" s="43" t="str">
        <f t="shared" si="202"/>
        <v/>
      </c>
      <c r="AD408" s="43" t="str">
        <f t="shared" si="202"/>
        <v/>
      </c>
      <c r="AE408" s="43" t="str">
        <f t="shared" si="202"/>
        <v/>
      </c>
      <c r="AF408" s="43" t="str">
        <f t="shared" si="202"/>
        <v/>
      </c>
      <c r="AG408" s="43" t="str">
        <f t="shared" si="202"/>
        <v/>
      </c>
      <c r="AH408" s="43" t="str">
        <f t="shared" si="202"/>
        <v/>
      </c>
      <c r="AI408" s="43" t="str">
        <f t="shared" si="202"/>
        <v/>
      </c>
      <c r="AJ408" s="43" t="str">
        <f t="shared" si="202"/>
        <v/>
      </c>
      <c r="AK408" s="43" t="str">
        <f t="shared" si="202"/>
        <v/>
      </c>
      <c r="AL408" s="43" t="str">
        <f t="shared" si="203"/>
        <v/>
      </c>
      <c r="AM408" s="43" t="str">
        <f t="shared" si="203"/>
        <v/>
      </c>
      <c r="AN408" s="43" t="str">
        <f t="shared" si="203"/>
        <v/>
      </c>
      <c r="AO408" s="43" t="str">
        <f t="shared" si="203"/>
        <v/>
      </c>
      <c r="AP408" s="43" t="str">
        <f t="shared" si="203"/>
        <v/>
      </c>
      <c r="AQ408" s="43" t="str">
        <f t="shared" si="203"/>
        <v/>
      </c>
      <c r="AR408" s="43" t="str">
        <f t="shared" si="203"/>
        <v/>
      </c>
      <c r="AS408" s="43" t="str">
        <f t="shared" si="203"/>
        <v/>
      </c>
      <c r="AT408" s="43" t="str">
        <f t="shared" si="203"/>
        <v/>
      </c>
      <c r="AU408" s="43" t="str">
        <f t="shared" si="203"/>
        <v/>
      </c>
      <c r="AV408" s="43" t="str">
        <f t="shared" si="204"/>
        <v/>
      </c>
      <c r="AW408" s="43" t="str">
        <f t="shared" si="204"/>
        <v/>
      </c>
      <c r="AX408" s="43" t="str">
        <f t="shared" si="204"/>
        <v/>
      </c>
      <c r="AY408" s="43" t="str">
        <f t="shared" si="204"/>
        <v/>
      </c>
      <c r="AZ408" s="43" t="str">
        <f t="shared" si="204"/>
        <v/>
      </c>
      <c r="BA408" s="43" t="str">
        <f t="shared" si="204"/>
        <v/>
      </c>
      <c r="BB408" s="43"/>
      <c r="BC408" s="43"/>
      <c r="BD408" s="43"/>
      <c r="BE408" s="43"/>
      <c r="BF408" s="43"/>
      <c r="BG408" s="43"/>
      <c r="BW408" s="1250"/>
    </row>
    <row r="409" spans="1:75" x14ac:dyDescent="0.25">
      <c r="A409" s="1251"/>
      <c r="B409" s="462">
        <v>403</v>
      </c>
      <c r="C409" s="462"/>
      <c r="D409" s="1244"/>
      <c r="E409" s="1050"/>
      <c r="F409" s="1244"/>
      <c r="H409" s="43" t="str">
        <f t="shared" si="200"/>
        <v/>
      </c>
      <c r="I409" s="43" t="str">
        <f t="shared" si="200"/>
        <v/>
      </c>
      <c r="J409" s="43" t="str">
        <f t="shared" si="200"/>
        <v/>
      </c>
      <c r="K409" s="43" t="str">
        <f t="shared" si="200"/>
        <v/>
      </c>
      <c r="L409" s="43" t="str">
        <f t="shared" si="200"/>
        <v/>
      </c>
      <c r="M409" s="43" t="str">
        <f t="shared" si="200"/>
        <v/>
      </c>
      <c r="N409" s="43" t="str">
        <f t="shared" si="200"/>
        <v/>
      </c>
      <c r="O409" s="43" t="str">
        <f t="shared" si="200"/>
        <v/>
      </c>
      <c r="P409" s="43" t="str">
        <f t="shared" si="200"/>
        <v/>
      </c>
      <c r="Q409" s="43" t="str">
        <f t="shared" si="200"/>
        <v/>
      </c>
      <c r="R409" s="43" t="str">
        <f t="shared" si="201"/>
        <v/>
      </c>
      <c r="S409" s="43" t="str">
        <f t="shared" si="201"/>
        <v/>
      </c>
      <c r="T409" s="43" t="str">
        <f t="shared" si="201"/>
        <v/>
      </c>
      <c r="U409" s="43" t="str">
        <f t="shared" si="201"/>
        <v/>
      </c>
      <c r="V409" s="43" t="str">
        <f t="shared" si="201"/>
        <v/>
      </c>
      <c r="W409" s="43" t="str">
        <f t="shared" si="201"/>
        <v/>
      </c>
      <c r="X409" s="43" t="str">
        <f t="shared" si="201"/>
        <v/>
      </c>
      <c r="Y409" s="43" t="str">
        <f t="shared" si="201"/>
        <v/>
      </c>
      <c r="Z409" s="43" t="str">
        <f t="shared" si="201"/>
        <v/>
      </c>
      <c r="AA409" s="43" t="str">
        <f t="shared" si="201"/>
        <v/>
      </c>
      <c r="AB409" s="43" t="str">
        <f t="shared" si="202"/>
        <v/>
      </c>
      <c r="AC409" s="43" t="str">
        <f t="shared" si="202"/>
        <v/>
      </c>
      <c r="AD409" s="43" t="str">
        <f t="shared" si="202"/>
        <v/>
      </c>
      <c r="AE409" s="43" t="str">
        <f t="shared" si="202"/>
        <v/>
      </c>
      <c r="AF409" s="43" t="str">
        <f t="shared" si="202"/>
        <v/>
      </c>
      <c r="AG409" s="43" t="str">
        <f t="shared" si="202"/>
        <v/>
      </c>
      <c r="AH409" s="43" t="str">
        <f t="shared" si="202"/>
        <v/>
      </c>
      <c r="AI409" s="43" t="str">
        <f t="shared" si="202"/>
        <v/>
      </c>
      <c r="AJ409" s="43" t="str">
        <f t="shared" si="202"/>
        <v/>
      </c>
      <c r="AK409" s="43" t="str">
        <f t="shared" si="202"/>
        <v/>
      </c>
      <c r="AL409" s="43" t="str">
        <f t="shared" si="203"/>
        <v/>
      </c>
      <c r="AM409" s="43" t="str">
        <f t="shared" si="203"/>
        <v/>
      </c>
      <c r="AN409" s="43" t="str">
        <f t="shared" si="203"/>
        <v/>
      </c>
      <c r="AO409" s="43" t="str">
        <f t="shared" si="203"/>
        <v/>
      </c>
      <c r="AP409" s="43" t="str">
        <f t="shared" si="203"/>
        <v/>
      </c>
      <c r="AQ409" s="43" t="str">
        <f t="shared" si="203"/>
        <v/>
      </c>
      <c r="AR409" s="43" t="str">
        <f t="shared" si="203"/>
        <v/>
      </c>
      <c r="AS409" s="43" t="str">
        <f t="shared" si="203"/>
        <v/>
      </c>
      <c r="AT409" s="43" t="str">
        <f t="shared" si="203"/>
        <v/>
      </c>
      <c r="AU409" s="43" t="str">
        <f t="shared" si="203"/>
        <v/>
      </c>
      <c r="AV409" s="43" t="str">
        <f t="shared" si="204"/>
        <v/>
      </c>
      <c r="AW409" s="43" t="str">
        <f t="shared" si="204"/>
        <v/>
      </c>
      <c r="AX409" s="43" t="str">
        <f t="shared" si="204"/>
        <v/>
      </c>
      <c r="AY409" s="43" t="str">
        <f t="shared" si="204"/>
        <v/>
      </c>
      <c r="AZ409" s="43" t="str">
        <f t="shared" si="204"/>
        <v/>
      </c>
      <c r="BA409" s="43" t="str">
        <f t="shared" si="204"/>
        <v/>
      </c>
      <c r="BB409" s="43"/>
      <c r="BC409" s="43"/>
      <c r="BD409" s="43"/>
      <c r="BE409" s="43"/>
      <c r="BF409" s="43"/>
      <c r="BG409" s="43"/>
      <c r="BW409" s="1250"/>
    </row>
    <row r="410" spans="1:75" x14ac:dyDescent="0.25">
      <c r="A410" s="1251"/>
      <c r="B410" s="462">
        <v>404</v>
      </c>
      <c r="C410" s="462"/>
      <c r="D410" s="1244"/>
      <c r="E410" s="1050"/>
      <c r="F410" s="1244"/>
      <c r="H410" s="43" t="str">
        <f t="shared" si="200"/>
        <v/>
      </c>
      <c r="I410" s="43" t="str">
        <f t="shared" si="200"/>
        <v/>
      </c>
      <c r="J410" s="43" t="str">
        <f t="shared" si="200"/>
        <v/>
      </c>
      <c r="K410" s="43" t="str">
        <f t="shared" si="200"/>
        <v/>
      </c>
      <c r="L410" s="43" t="str">
        <f t="shared" si="200"/>
        <v/>
      </c>
      <c r="M410" s="43" t="str">
        <f t="shared" si="200"/>
        <v/>
      </c>
      <c r="N410" s="43" t="str">
        <f t="shared" si="200"/>
        <v/>
      </c>
      <c r="O410" s="43" t="str">
        <f t="shared" si="200"/>
        <v/>
      </c>
      <c r="P410" s="43" t="str">
        <f t="shared" si="200"/>
        <v/>
      </c>
      <c r="Q410" s="43" t="str">
        <f t="shared" si="200"/>
        <v/>
      </c>
      <c r="R410" s="43" t="str">
        <f t="shared" si="201"/>
        <v/>
      </c>
      <c r="S410" s="43" t="str">
        <f t="shared" si="201"/>
        <v/>
      </c>
      <c r="T410" s="43" t="str">
        <f t="shared" si="201"/>
        <v/>
      </c>
      <c r="U410" s="43" t="str">
        <f t="shared" si="201"/>
        <v/>
      </c>
      <c r="V410" s="43" t="str">
        <f t="shared" si="201"/>
        <v/>
      </c>
      <c r="W410" s="43" t="str">
        <f t="shared" si="201"/>
        <v/>
      </c>
      <c r="X410" s="43" t="str">
        <f t="shared" si="201"/>
        <v/>
      </c>
      <c r="Y410" s="43" t="str">
        <f t="shared" si="201"/>
        <v/>
      </c>
      <c r="Z410" s="43" t="str">
        <f t="shared" si="201"/>
        <v/>
      </c>
      <c r="AA410" s="43" t="str">
        <f t="shared" si="201"/>
        <v/>
      </c>
      <c r="AB410" s="43" t="str">
        <f t="shared" si="202"/>
        <v/>
      </c>
      <c r="AC410" s="43" t="str">
        <f t="shared" si="202"/>
        <v/>
      </c>
      <c r="AD410" s="43" t="str">
        <f t="shared" si="202"/>
        <v/>
      </c>
      <c r="AE410" s="43" t="str">
        <f t="shared" si="202"/>
        <v/>
      </c>
      <c r="AF410" s="43" t="str">
        <f t="shared" si="202"/>
        <v/>
      </c>
      <c r="AG410" s="43" t="str">
        <f t="shared" si="202"/>
        <v/>
      </c>
      <c r="AH410" s="43" t="str">
        <f t="shared" si="202"/>
        <v/>
      </c>
      <c r="AI410" s="43" t="str">
        <f t="shared" si="202"/>
        <v/>
      </c>
      <c r="AJ410" s="43" t="str">
        <f t="shared" si="202"/>
        <v/>
      </c>
      <c r="AK410" s="43" t="str">
        <f t="shared" si="202"/>
        <v/>
      </c>
      <c r="AL410" s="43" t="str">
        <f t="shared" si="203"/>
        <v/>
      </c>
      <c r="AM410" s="43" t="str">
        <f t="shared" si="203"/>
        <v/>
      </c>
      <c r="AN410" s="43" t="str">
        <f t="shared" si="203"/>
        <v/>
      </c>
      <c r="AO410" s="43" t="str">
        <f t="shared" si="203"/>
        <v/>
      </c>
      <c r="AP410" s="43" t="str">
        <f t="shared" si="203"/>
        <v/>
      </c>
      <c r="AQ410" s="43" t="str">
        <f t="shared" si="203"/>
        <v/>
      </c>
      <c r="AR410" s="43" t="str">
        <f t="shared" si="203"/>
        <v/>
      </c>
      <c r="AS410" s="43" t="str">
        <f t="shared" si="203"/>
        <v/>
      </c>
      <c r="AT410" s="43" t="str">
        <f t="shared" si="203"/>
        <v/>
      </c>
      <c r="AU410" s="43" t="str">
        <f t="shared" si="203"/>
        <v/>
      </c>
      <c r="AV410" s="43" t="str">
        <f t="shared" si="204"/>
        <v/>
      </c>
      <c r="AW410" s="43" t="str">
        <f t="shared" si="204"/>
        <v/>
      </c>
      <c r="AX410" s="43" t="str">
        <f t="shared" si="204"/>
        <v/>
      </c>
      <c r="AY410" s="43" t="str">
        <f t="shared" si="204"/>
        <v/>
      </c>
      <c r="AZ410" s="43" t="str">
        <f t="shared" si="204"/>
        <v/>
      </c>
      <c r="BA410" s="43" t="str">
        <f t="shared" si="204"/>
        <v/>
      </c>
      <c r="BB410" s="43"/>
      <c r="BC410" s="43"/>
      <c r="BD410" s="43"/>
      <c r="BE410" s="43"/>
      <c r="BF410" s="43"/>
      <c r="BG410" s="43"/>
      <c r="BW410" s="1250"/>
    </row>
    <row r="411" spans="1:75" x14ac:dyDescent="0.25">
      <c r="A411" s="1251"/>
      <c r="B411" s="462">
        <v>405</v>
      </c>
      <c r="C411" s="462"/>
      <c r="D411" s="1244"/>
      <c r="E411" s="1050"/>
      <c r="F411" s="1244"/>
      <c r="H411" s="43" t="str">
        <f t="shared" si="200"/>
        <v/>
      </c>
      <c r="I411" s="43" t="str">
        <f t="shared" si="200"/>
        <v/>
      </c>
      <c r="J411" s="43" t="str">
        <f t="shared" si="200"/>
        <v/>
      </c>
      <c r="K411" s="43" t="str">
        <f t="shared" si="200"/>
        <v/>
      </c>
      <c r="L411" s="43" t="str">
        <f t="shared" si="200"/>
        <v/>
      </c>
      <c r="M411" s="43" t="str">
        <f t="shared" si="200"/>
        <v/>
      </c>
      <c r="N411" s="43" t="str">
        <f t="shared" si="200"/>
        <v/>
      </c>
      <c r="O411" s="43" t="str">
        <f t="shared" si="200"/>
        <v/>
      </c>
      <c r="P411" s="43" t="str">
        <f t="shared" si="200"/>
        <v/>
      </c>
      <c r="Q411" s="43" t="str">
        <f t="shared" si="200"/>
        <v/>
      </c>
      <c r="R411" s="43" t="str">
        <f t="shared" si="201"/>
        <v/>
      </c>
      <c r="S411" s="43" t="str">
        <f t="shared" si="201"/>
        <v/>
      </c>
      <c r="T411" s="43" t="str">
        <f t="shared" si="201"/>
        <v/>
      </c>
      <c r="U411" s="43" t="str">
        <f t="shared" si="201"/>
        <v/>
      </c>
      <c r="V411" s="43" t="str">
        <f t="shared" si="201"/>
        <v/>
      </c>
      <c r="W411" s="43" t="str">
        <f t="shared" si="201"/>
        <v/>
      </c>
      <c r="X411" s="43" t="str">
        <f t="shared" si="201"/>
        <v/>
      </c>
      <c r="Y411" s="43" t="str">
        <f t="shared" si="201"/>
        <v/>
      </c>
      <c r="Z411" s="43" t="str">
        <f t="shared" si="201"/>
        <v/>
      </c>
      <c r="AA411" s="43" t="str">
        <f t="shared" si="201"/>
        <v/>
      </c>
      <c r="AB411" s="43" t="str">
        <f t="shared" si="202"/>
        <v/>
      </c>
      <c r="AC411" s="43" t="str">
        <f t="shared" si="202"/>
        <v/>
      </c>
      <c r="AD411" s="43" t="str">
        <f t="shared" si="202"/>
        <v/>
      </c>
      <c r="AE411" s="43" t="str">
        <f t="shared" si="202"/>
        <v/>
      </c>
      <c r="AF411" s="43" t="str">
        <f t="shared" si="202"/>
        <v/>
      </c>
      <c r="AG411" s="43" t="str">
        <f t="shared" si="202"/>
        <v/>
      </c>
      <c r="AH411" s="43" t="str">
        <f t="shared" si="202"/>
        <v/>
      </c>
      <c r="AI411" s="43" t="str">
        <f t="shared" si="202"/>
        <v/>
      </c>
      <c r="AJ411" s="43" t="str">
        <f t="shared" si="202"/>
        <v/>
      </c>
      <c r="AK411" s="43" t="str">
        <f t="shared" si="202"/>
        <v/>
      </c>
      <c r="AL411" s="43" t="str">
        <f t="shared" si="203"/>
        <v/>
      </c>
      <c r="AM411" s="43" t="str">
        <f t="shared" si="203"/>
        <v/>
      </c>
      <c r="AN411" s="43" t="str">
        <f t="shared" si="203"/>
        <v/>
      </c>
      <c r="AO411" s="43" t="str">
        <f t="shared" si="203"/>
        <v/>
      </c>
      <c r="AP411" s="43" t="str">
        <f t="shared" si="203"/>
        <v/>
      </c>
      <c r="AQ411" s="43" t="str">
        <f t="shared" si="203"/>
        <v/>
      </c>
      <c r="AR411" s="43" t="str">
        <f t="shared" si="203"/>
        <v/>
      </c>
      <c r="AS411" s="43" t="str">
        <f t="shared" si="203"/>
        <v/>
      </c>
      <c r="AT411" s="43" t="str">
        <f t="shared" si="203"/>
        <v/>
      </c>
      <c r="AU411" s="43" t="str">
        <f t="shared" si="203"/>
        <v/>
      </c>
      <c r="AV411" s="43" t="str">
        <f t="shared" si="204"/>
        <v/>
      </c>
      <c r="AW411" s="43" t="str">
        <f t="shared" si="204"/>
        <v/>
      </c>
      <c r="AX411" s="43" t="str">
        <f t="shared" si="204"/>
        <v/>
      </c>
      <c r="AY411" s="43" t="str">
        <f t="shared" si="204"/>
        <v/>
      </c>
      <c r="AZ411" s="43" t="str">
        <f t="shared" si="204"/>
        <v/>
      </c>
      <c r="BA411" s="43" t="str">
        <f t="shared" si="204"/>
        <v/>
      </c>
      <c r="BB411" s="43"/>
      <c r="BC411" s="43"/>
      <c r="BD411" s="43"/>
      <c r="BE411" s="43"/>
      <c r="BF411" s="43"/>
      <c r="BG411" s="43"/>
      <c r="BW411" s="1250"/>
    </row>
    <row r="412" spans="1:75" x14ac:dyDescent="0.25">
      <c r="A412" s="1251"/>
      <c r="B412" s="462">
        <v>406</v>
      </c>
      <c r="C412" s="462"/>
      <c r="D412" s="1244"/>
      <c r="E412" s="1050"/>
      <c r="F412" s="1244"/>
      <c r="H412" s="43" t="str">
        <f t="shared" si="200"/>
        <v/>
      </c>
      <c r="I412" s="43" t="str">
        <f t="shared" si="200"/>
        <v/>
      </c>
      <c r="J412" s="43" t="str">
        <f t="shared" si="200"/>
        <v/>
      </c>
      <c r="K412" s="43" t="str">
        <f t="shared" si="200"/>
        <v/>
      </c>
      <c r="L412" s="43" t="str">
        <f t="shared" si="200"/>
        <v/>
      </c>
      <c r="M412" s="43" t="str">
        <f t="shared" si="200"/>
        <v/>
      </c>
      <c r="N412" s="43" t="str">
        <f t="shared" si="200"/>
        <v/>
      </c>
      <c r="O412" s="43" t="str">
        <f t="shared" si="200"/>
        <v/>
      </c>
      <c r="P412" s="43" t="str">
        <f t="shared" si="200"/>
        <v/>
      </c>
      <c r="Q412" s="43" t="str">
        <f t="shared" si="200"/>
        <v/>
      </c>
      <c r="R412" s="43" t="str">
        <f t="shared" si="201"/>
        <v/>
      </c>
      <c r="S412" s="43" t="str">
        <f t="shared" si="201"/>
        <v/>
      </c>
      <c r="T412" s="43" t="str">
        <f t="shared" si="201"/>
        <v/>
      </c>
      <c r="U412" s="43" t="str">
        <f t="shared" si="201"/>
        <v/>
      </c>
      <c r="V412" s="43" t="str">
        <f t="shared" si="201"/>
        <v/>
      </c>
      <c r="W412" s="43" t="str">
        <f t="shared" si="201"/>
        <v/>
      </c>
      <c r="X412" s="43" t="str">
        <f t="shared" si="201"/>
        <v/>
      </c>
      <c r="Y412" s="43" t="str">
        <f t="shared" si="201"/>
        <v/>
      </c>
      <c r="Z412" s="43" t="str">
        <f t="shared" si="201"/>
        <v/>
      </c>
      <c r="AA412" s="43" t="str">
        <f t="shared" si="201"/>
        <v/>
      </c>
      <c r="AB412" s="43" t="str">
        <f t="shared" si="202"/>
        <v/>
      </c>
      <c r="AC412" s="43" t="str">
        <f t="shared" si="202"/>
        <v/>
      </c>
      <c r="AD412" s="43" t="str">
        <f t="shared" si="202"/>
        <v/>
      </c>
      <c r="AE412" s="43" t="str">
        <f t="shared" si="202"/>
        <v/>
      </c>
      <c r="AF412" s="43" t="str">
        <f t="shared" si="202"/>
        <v/>
      </c>
      <c r="AG412" s="43" t="str">
        <f t="shared" si="202"/>
        <v/>
      </c>
      <c r="AH412" s="43" t="str">
        <f t="shared" si="202"/>
        <v/>
      </c>
      <c r="AI412" s="43" t="str">
        <f t="shared" si="202"/>
        <v/>
      </c>
      <c r="AJ412" s="43" t="str">
        <f t="shared" si="202"/>
        <v/>
      </c>
      <c r="AK412" s="43" t="str">
        <f t="shared" si="202"/>
        <v/>
      </c>
      <c r="AL412" s="43" t="str">
        <f t="shared" si="203"/>
        <v/>
      </c>
      <c r="AM412" s="43" t="str">
        <f t="shared" si="203"/>
        <v/>
      </c>
      <c r="AN412" s="43" t="str">
        <f t="shared" si="203"/>
        <v/>
      </c>
      <c r="AO412" s="43" t="str">
        <f t="shared" si="203"/>
        <v/>
      </c>
      <c r="AP412" s="43" t="str">
        <f t="shared" si="203"/>
        <v/>
      </c>
      <c r="AQ412" s="43" t="str">
        <f t="shared" si="203"/>
        <v/>
      </c>
      <c r="AR412" s="43" t="str">
        <f t="shared" si="203"/>
        <v/>
      </c>
      <c r="AS412" s="43" t="str">
        <f t="shared" si="203"/>
        <v/>
      </c>
      <c r="AT412" s="43" t="str">
        <f t="shared" si="203"/>
        <v/>
      </c>
      <c r="AU412" s="43" t="str">
        <f t="shared" si="203"/>
        <v/>
      </c>
      <c r="AV412" s="43" t="str">
        <f t="shared" si="204"/>
        <v/>
      </c>
      <c r="AW412" s="43" t="str">
        <f t="shared" si="204"/>
        <v/>
      </c>
      <c r="AX412" s="43" t="str">
        <f t="shared" si="204"/>
        <v/>
      </c>
      <c r="AY412" s="43" t="str">
        <f t="shared" si="204"/>
        <v/>
      </c>
      <c r="AZ412" s="43" t="str">
        <f t="shared" si="204"/>
        <v/>
      </c>
      <c r="BA412" s="43" t="str">
        <f t="shared" si="204"/>
        <v/>
      </c>
      <c r="BB412" s="43"/>
      <c r="BC412" s="43"/>
      <c r="BD412" s="43"/>
      <c r="BE412" s="43"/>
      <c r="BF412" s="43"/>
      <c r="BG412" s="43"/>
      <c r="BW412" s="1250"/>
    </row>
    <row r="413" spans="1:75" x14ac:dyDescent="0.25">
      <c r="A413" s="1251"/>
      <c r="B413" s="462">
        <v>407</v>
      </c>
      <c r="C413" s="462"/>
      <c r="D413" s="1244"/>
      <c r="E413" s="1050"/>
      <c r="F413" s="1244"/>
      <c r="H413" s="43" t="str">
        <f t="shared" si="200"/>
        <v/>
      </c>
      <c r="I413" s="43" t="str">
        <f t="shared" si="200"/>
        <v/>
      </c>
      <c r="J413" s="43" t="str">
        <f t="shared" si="200"/>
        <v/>
      </c>
      <c r="K413" s="43" t="str">
        <f t="shared" si="200"/>
        <v/>
      </c>
      <c r="L413" s="43" t="str">
        <f t="shared" si="200"/>
        <v/>
      </c>
      <c r="M413" s="43" t="str">
        <f t="shared" si="200"/>
        <v/>
      </c>
      <c r="N413" s="43" t="str">
        <f t="shared" si="200"/>
        <v/>
      </c>
      <c r="O413" s="43" t="str">
        <f t="shared" si="200"/>
        <v/>
      </c>
      <c r="P413" s="43" t="str">
        <f t="shared" si="200"/>
        <v/>
      </c>
      <c r="Q413" s="43" t="str">
        <f t="shared" si="200"/>
        <v/>
      </c>
      <c r="R413" s="43" t="str">
        <f t="shared" si="201"/>
        <v/>
      </c>
      <c r="S413" s="43" t="str">
        <f t="shared" si="201"/>
        <v/>
      </c>
      <c r="T413" s="43" t="str">
        <f t="shared" si="201"/>
        <v/>
      </c>
      <c r="U413" s="43" t="str">
        <f t="shared" si="201"/>
        <v/>
      </c>
      <c r="V413" s="43" t="str">
        <f t="shared" si="201"/>
        <v/>
      </c>
      <c r="W413" s="43" t="str">
        <f t="shared" si="201"/>
        <v/>
      </c>
      <c r="X413" s="43" t="str">
        <f t="shared" si="201"/>
        <v/>
      </c>
      <c r="Y413" s="43" t="str">
        <f t="shared" si="201"/>
        <v/>
      </c>
      <c r="Z413" s="43" t="str">
        <f t="shared" si="201"/>
        <v/>
      </c>
      <c r="AA413" s="43" t="str">
        <f t="shared" si="201"/>
        <v/>
      </c>
      <c r="AB413" s="43" t="str">
        <f t="shared" si="202"/>
        <v/>
      </c>
      <c r="AC413" s="43" t="str">
        <f t="shared" si="202"/>
        <v/>
      </c>
      <c r="AD413" s="43" t="str">
        <f t="shared" si="202"/>
        <v/>
      </c>
      <c r="AE413" s="43" t="str">
        <f t="shared" si="202"/>
        <v/>
      </c>
      <c r="AF413" s="43" t="str">
        <f t="shared" si="202"/>
        <v/>
      </c>
      <c r="AG413" s="43" t="str">
        <f t="shared" si="202"/>
        <v/>
      </c>
      <c r="AH413" s="43" t="str">
        <f t="shared" si="202"/>
        <v/>
      </c>
      <c r="AI413" s="43" t="str">
        <f t="shared" si="202"/>
        <v/>
      </c>
      <c r="AJ413" s="43" t="str">
        <f t="shared" si="202"/>
        <v/>
      </c>
      <c r="AK413" s="43" t="str">
        <f t="shared" si="202"/>
        <v/>
      </c>
      <c r="AL413" s="43" t="str">
        <f t="shared" si="203"/>
        <v/>
      </c>
      <c r="AM413" s="43" t="str">
        <f t="shared" si="203"/>
        <v/>
      </c>
      <c r="AN413" s="43" t="str">
        <f t="shared" si="203"/>
        <v/>
      </c>
      <c r="AO413" s="43" t="str">
        <f t="shared" si="203"/>
        <v/>
      </c>
      <c r="AP413" s="43" t="str">
        <f t="shared" si="203"/>
        <v/>
      </c>
      <c r="AQ413" s="43" t="str">
        <f t="shared" si="203"/>
        <v/>
      </c>
      <c r="AR413" s="43" t="str">
        <f t="shared" si="203"/>
        <v/>
      </c>
      <c r="AS413" s="43" t="str">
        <f t="shared" si="203"/>
        <v/>
      </c>
      <c r="AT413" s="43" t="str">
        <f t="shared" si="203"/>
        <v/>
      </c>
      <c r="AU413" s="43" t="str">
        <f t="shared" si="203"/>
        <v/>
      </c>
      <c r="AV413" s="43" t="str">
        <f t="shared" si="204"/>
        <v/>
      </c>
      <c r="AW413" s="43" t="str">
        <f t="shared" si="204"/>
        <v/>
      </c>
      <c r="AX413" s="43" t="str">
        <f t="shared" si="204"/>
        <v/>
      </c>
      <c r="AY413" s="43" t="str">
        <f t="shared" si="204"/>
        <v/>
      </c>
      <c r="AZ413" s="43" t="str">
        <f t="shared" si="204"/>
        <v/>
      </c>
      <c r="BA413" s="43" t="str">
        <f t="shared" si="204"/>
        <v/>
      </c>
      <c r="BB413" s="43"/>
      <c r="BC413" s="43"/>
      <c r="BD413" s="43"/>
      <c r="BE413" s="43"/>
      <c r="BF413" s="43"/>
      <c r="BG413" s="43"/>
      <c r="BW413" s="1250"/>
    </row>
    <row r="414" spans="1:75" x14ac:dyDescent="0.25">
      <c r="A414" s="1251"/>
      <c r="B414" s="462">
        <v>408</v>
      </c>
      <c r="C414" s="462"/>
      <c r="D414" s="1244"/>
      <c r="E414" s="1050"/>
      <c r="F414" s="1244"/>
      <c r="H414" s="43" t="str">
        <f t="shared" si="200"/>
        <v/>
      </c>
      <c r="I414" s="43" t="str">
        <f t="shared" si="200"/>
        <v/>
      </c>
      <c r="J414" s="43" t="str">
        <f t="shared" si="200"/>
        <v/>
      </c>
      <c r="K414" s="43" t="str">
        <f t="shared" si="200"/>
        <v/>
      </c>
      <c r="L414" s="43" t="str">
        <f t="shared" si="200"/>
        <v/>
      </c>
      <c r="M414" s="43" t="str">
        <f t="shared" si="200"/>
        <v/>
      </c>
      <c r="N414" s="43" t="str">
        <f t="shared" si="200"/>
        <v/>
      </c>
      <c r="O414" s="43" t="str">
        <f t="shared" si="200"/>
        <v/>
      </c>
      <c r="P414" s="43" t="str">
        <f t="shared" si="200"/>
        <v/>
      </c>
      <c r="Q414" s="43" t="str">
        <f t="shared" si="200"/>
        <v/>
      </c>
      <c r="R414" s="43" t="str">
        <f t="shared" si="201"/>
        <v/>
      </c>
      <c r="S414" s="43" t="str">
        <f t="shared" si="201"/>
        <v/>
      </c>
      <c r="T414" s="43" t="str">
        <f t="shared" si="201"/>
        <v/>
      </c>
      <c r="U414" s="43" t="str">
        <f t="shared" si="201"/>
        <v/>
      </c>
      <c r="V414" s="43" t="str">
        <f t="shared" si="201"/>
        <v/>
      </c>
      <c r="W414" s="43" t="str">
        <f t="shared" si="201"/>
        <v/>
      </c>
      <c r="X414" s="43" t="str">
        <f t="shared" si="201"/>
        <v/>
      </c>
      <c r="Y414" s="43" t="str">
        <f t="shared" si="201"/>
        <v/>
      </c>
      <c r="Z414" s="43" t="str">
        <f t="shared" si="201"/>
        <v/>
      </c>
      <c r="AA414" s="43" t="str">
        <f t="shared" si="201"/>
        <v/>
      </c>
      <c r="AB414" s="43" t="str">
        <f t="shared" si="202"/>
        <v/>
      </c>
      <c r="AC414" s="43" t="str">
        <f t="shared" si="202"/>
        <v/>
      </c>
      <c r="AD414" s="43" t="str">
        <f t="shared" si="202"/>
        <v/>
      </c>
      <c r="AE414" s="43" t="str">
        <f t="shared" si="202"/>
        <v/>
      </c>
      <c r="AF414" s="43" t="str">
        <f t="shared" si="202"/>
        <v/>
      </c>
      <c r="AG414" s="43" t="str">
        <f t="shared" si="202"/>
        <v/>
      </c>
      <c r="AH414" s="43" t="str">
        <f t="shared" si="202"/>
        <v/>
      </c>
      <c r="AI414" s="43" t="str">
        <f t="shared" si="202"/>
        <v/>
      </c>
      <c r="AJ414" s="43" t="str">
        <f t="shared" si="202"/>
        <v/>
      </c>
      <c r="AK414" s="43" t="str">
        <f t="shared" si="202"/>
        <v/>
      </c>
      <c r="AL414" s="43" t="str">
        <f t="shared" si="203"/>
        <v/>
      </c>
      <c r="AM414" s="43" t="str">
        <f t="shared" si="203"/>
        <v/>
      </c>
      <c r="AN414" s="43" t="str">
        <f t="shared" si="203"/>
        <v/>
      </c>
      <c r="AO414" s="43" t="str">
        <f t="shared" si="203"/>
        <v/>
      </c>
      <c r="AP414" s="43" t="str">
        <f t="shared" si="203"/>
        <v/>
      </c>
      <c r="AQ414" s="43" t="str">
        <f t="shared" si="203"/>
        <v/>
      </c>
      <c r="AR414" s="43" t="str">
        <f t="shared" si="203"/>
        <v/>
      </c>
      <c r="AS414" s="43" t="str">
        <f t="shared" si="203"/>
        <v/>
      </c>
      <c r="AT414" s="43" t="str">
        <f t="shared" si="203"/>
        <v/>
      </c>
      <c r="AU414" s="43" t="str">
        <f t="shared" si="203"/>
        <v/>
      </c>
      <c r="AV414" s="43" t="str">
        <f t="shared" si="204"/>
        <v/>
      </c>
      <c r="AW414" s="43" t="str">
        <f t="shared" si="204"/>
        <v/>
      </c>
      <c r="AX414" s="43" t="str">
        <f t="shared" si="204"/>
        <v/>
      </c>
      <c r="AY414" s="43" t="str">
        <f t="shared" si="204"/>
        <v/>
      </c>
      <c r="AZ414" s="43" t="str">
        <f t="shared" si="204"/>
        <v/>
      </c>
      <c r="BA414" s="43" t="str">
        <f t="shared" si="204"/>
        <v/>
      </c>
      <c r="BB414" s="43"/>
      <c r="BC414" s="43"/>
      <c r="BD414" s="43"/>
      <c r="BE414" s="43"/>
      <c r="BF414" s="43"/>
      <c r="BG414" s="43"/>
      <c r="BW414" s="1250"/>
    </row>
    <row r="415" spans="1:75" x14ac:dyDescent="0.25">
      <c r="A415" s="1251"/>
      <c r="B415" s="462">
        <v>409</v>
      </c>
      <c r="C415" s="462"/>
      <c r="D415" s="1244"/>
      <c r="E415" s="1050"/>
      <c r="F415" s="1244"/>
      <c r="H415" s="43" t="str">
        <f t="shared" si="200"/>
        <v/>
      </c>
      <c r="I415" s="43" t="str">
        <f t="shared" si="200"/>
        <v/>
      </c>
      <c r="J415" s="43" t="str">
        <f t="shared" si="200"/>
        <v/>
      </c>
      <c r="K415" s="43" t="str">
        <f t="shared" si="200"/>
        <v/>
      </c>
      <c r="L415" s="43" t="str">
        <f t="shared" si="200"/>
        <v/>
      </c>
      <c r="M415" s="43" t="str">
        <f t="shared" si="200"/>
        <v/>
      </c>
      <c r="N415" s="43" t="str">
        <f t="shared" si="200"/>
        <v/>
      </c>
      <c r="O415" s="43" t="str">
        <f t="shared" si="200"/>
        <v/>
      </c>
      <c r="P415" s="43" t="str">
        <f t="shared" si="200"/>
        <v/>
      </c>
      <c r="Q415" s="43" t="str">
        <f t="shared" si="200"/>
        <v/>
      </c>
      <c r="R415" s="43" t="str">
        <f t="shared" si="201"/>
        <v/>
      </c>
      <c r="S415" s="43" t="str">
        <f t="shared" si="201"/>
        <v/>
      </c>
      <c r="T415" s="43" t="str">
        <f t="shared" si="201"/>
        <v/>
      </c>
      <c r="U415" s="43" t="str">
        <f t="shared" si="201"/>
        <v/>
      </c>
      <c r="V415" s="43" t="str">
        <f t="shared" si="201"/>
        <v/>
      </c>
      <c r="W415" s="43" t="str">
        <f t="shared" si="201"/>
        <v/>
      </c>
      <c r="X415" s="43" t="str">
        <f t="shared" si="201"/>
        <v/>
      </c>
      <c r="Y415" s="43" t="str">
        <f t="shared" si="201"/>
        <v/>
      </c>
      <c r="Z415" s="43" t="str">
        <f t="shared" si="201"/>
        <v/>
      </c>
      <c r="AA415" s="43" t="str">
        <f t="shared" si="201"/>
        <v/>
      </c>
      <c r="AB415" s="43" t="str">
        <f t="shared" si="202"/>
        <v/>
      </c>
      <c r="AC415" s="43" t="str">
        <f t="shared" si="202"/>
        <v/>
      </c>
      <c r="AD415" s="43" t="str">
        <f t="shared" si="202"/>
        <v/>
      </c>
      <c r="AE415" s="43" t="str">
        <f t="shared" si="202"/>
        <v/>
      </c>
      <c r="AF415" s="43" t="str">
        <f t="shared" si="202"/>
        <v/>
      </c>
      <c r="AG415" s="43" t="str">
        <f t="shared" si="202"/>
        <v/>
      </c>
      <c r="AH415" s="43" t="str">
        <f t="shared" si="202"/>
        <v/>
      </c>
      <c r="AI415" s="43" t="str">
        <f t="shared" si="202"/>
        <v/>
      </c>
      <c r="AJ415" s="43" t="str">
        <f t="shared" si="202"/>
        <v/>
      </c>
      <c r="AK415" s="43" t="str">
        <f t="shared" si="202"/>
        <v/>
      </c>
      <c r="AL415" s="43" t="str">
        <f t="shared" si="203"/>
        <v/>
      </c>
      <c r="AM415" s="43" t="str">
        <f t="shared" si="203"/>
        <v/>
      </c>
      <c r="AN415" s="43" t="str">
        <f t="shared" si="203"/>
        <v/>
      </c>
      <c r="AO415" s="43" t="str">
        <f t="shared" si="203"/>
        <v/>
      </c>
      <c r="AP415" s="43" t="str">
        <f t="shared" si="203"/>
        <v/>
      </c>
      <c r="AQ415" s="43" t="str">
        <f t="shared" si="203"/>
        <v/>
      </c>
      <c r="AR415" s="43" t="str">
        <f t="shared" si="203"/>
        <v/>
      </c>
      <c r="AS415" s="43" t="str">
        <f t="shared" si="203"/>
        <v/>
      </c>
      <c r="AT415" s="43" t="str">
        <f t="shared" si="203"/>
        <v/>
      </c>
      <c r="AU415" s="43" t="str">
        <f t="shared" si="203"/>
        <v/>
      </c>
      <c r="AV415" s="43" t="str">
        <f t="shared" si="204"/>
        <v/>
      </c>
      <c r="AW415" s="43" t="str">
        <f t="shared" si="204"/>
        <v/>
      </c>
      <c r="AX415" s="43" t="str">
        <f t="shared" si="204"/>
        <v/>
      </c>
      <c r="AY415" s="43" t="str">
        <f t="shared" si="204"/>
        <v/>
      </c>
      <c r="AZ415" s="43" t="str">
        <f t="shared" si="204"/>
        <v/>
      </c>
      <c r="BA415" s="43" t="str">
        <f t="shared" si="204"/>
        <v/>
      </c>
      <c r="BB415" s="43"/>
      <c r="BC415" s="43"/>
      <c r="BD415" s="43"/>
      <c r="BE415" s="43"/>
      <c r="BF415" s="43"/>
      <c r="BG415" s="43"/>
      <c r="BW415" s="1250"/>
    </row>
    <row r="416" spans="1:75" x14ac:dyDescent="0.25">
      <c r="A416" s="1251"/>
      <c r="B416" s="462">
        <v>410</v>
      </c>
      <c r="C416" s="462"/>
      <c r="D416" s="1244"/>
      <c r="E416" s="1050"/>
      <c r="F416" s="1244"/>
      <c r="H416" s="43" t="str">
        <f t="shared" si="200"/>
        <v/>
      </c>
      <c r="I416" s="43" t="str">
        <f t="shared" si="200"/>
        <v/>
      </c>
      <c r="J416" s="43" t="str">
        <f t="shared" si="200"/>
        <v/>
      </c>
      <c r="K416" s="43" t="str">
        <f t="shared" si="200"/>
        <v/>
      </c>
      <c r="L416" s="43" t="str">
        <f t="shared" si="200"/>
        <v/>
      </c>
      <c r="M416" s="43" t="str">
        <f t="shared" si="200"/>
        <v/>
      </c>
      <c r="N416" s="43" t="str">
        <f t="shared" si="200"/>
        <v/>
      </c>
      <c r="O416" s="43" t="str">
        <f t="shared" si="200"/>
        <v/>
      </c>
      <c r="P416" s="43" t="str">
        <f t="shared" si="200"/>
        <v/>
      </c>
      <c r="Q416" s="43" t="str">
        <f t="shared" si="200"/>
        <v/>
      </c>
      <c r="R416" s="43" t="str">
        <f t="shared" si="201"/>
        <v/>
      </c>
      <c r="S416" s="43" t="str">
        <f t="shared" si="201"/>
        <v/>
      </c>
      <c r="T416" s="43" t="str">
        <f t="shared" si="201"/>
        <v/>
      </c>
      <c r="U416" s="43" t="str">
        <f t="shared" si="201"/>
        <v/>
      </c>
      <c r="V416" s="43" t="str">
        <f t="shared" si="201"/>
        <v/>
      </c>
      <c r="W416" s="43" t="str">
        <f t="shared" si="201"/>
        <v/>
      </c>
      <c r="X416" s="43" t="str">
        <f t="shared" si="201"/>
        <v/>
      </c>
      <c r="Y416" s="43" t="str">
        <f t="shared" si="201"/>
        <v/>
      </c>
      <c r="Z416" s="43" t="str">
        <f t="shared" si="201"/>
        <v/>
      </c>
      <c r="AA416" s="43" t="str">
        <f t="shared" si="201"/>
        <v/>
      </c>
      <c r="AB416" s="43" t="str">
        <f t="shared" si="202"/>
        <v/>
      </c>
      <c r="AC416" s="43" t="str">
        <f t="shared" si="202"/>
        <v/>
      </c>
      <c r="AD416" s="43" t="str">
        <f t="shared" si="202"/>
        <v/>
      </c>
      <c r="AE416" s="43" t="str">
        <f t="shared" si="202"/>
        <v/>
      </c>
      <c r="AF416" s="43" t="str">
        <f t="shared" si="202"/>
        <v/>
      </c>
      <c r="AG416" s="43" t="str">
        <f t="shared" si="202"/>
        <v/>
      </c>
      <c r="AH416" s="43" t="str">
        <f t="shared" si="202"/>
        <v/>
      </c>
      <c r="AI416" s="43" t="str">
        <f t="shared" si="202"/>
        <v/>
      </c>
      <c r="AJ416" s="43" t="str">
        <f t="shared" si="202"/>
        <v/>
      </c>
      <c r="AK416" s="43" t="str">
        <f t="shared" si="202"/>
        <v/>
      </c>
      <c r="AL416" s="43" t="str">
        <f t="shared" si="203"/>
        <v/>
      </c>
      <c r="AM416" s="43" t="str">
        <f t="shared" si="203"/>
        <v/>
      </c>
      <c r="AN416" s="43" t="str">
        <f t="shared" si="203"/>
        <v/>
      </c>
      <c r="AO416" s="43" t="str">
        <f t="shared" si="203"/>
        <v/>
      </c>
      <c r="AP416" s="43" t="str">
        <f t="shared" si="203"/>
        <v/>
      </c>
      <c r="AQ416" s="43" t="str">
        <f t="shared" si="203"/>
        <v/>
      </c>
      <c r="AR416" s="43" t="str">
        <f t="shared" si="203"/>
        <v/>
      </c>
      <c r="AS416" s="43" t="str">
        <f t="shared" si="203"/>
        <v/>
      </c>
      <c r="AT416" s="43" t="str">
        <f t="shared" si="203"/>
        <v/>
      </c>
      <c r="AU416" s="43" t="str">
        <f t="shared" si="203"/>
        <v/>
      </c>
      <c r="AV416" s="43" t="str">
        <f t="shared" si="204"/>
        <v/>
      </c>
      <c r="AW416" s="43" t="str">
        <f t="shared" si="204"/>
        <v/>
      </c>
      <c r="AX416" s="43" t="str">
        <f t="shared" si="204"/>
        <v/>
      </c>
      <c r="AY416" s="43" t="str">
        <f t="shared" si="204"/>
        <v/>
      </c>
      <c r="AZ416" s="43" t="str">
        <f t="shared" si="204"/>
        <v/>
      </c>
      <c r="BA416" s="43" t="str">
        <f t="shared" si="204"/>
        <v/>
      </c>
      <c r="BB416" s="43"/>
      <c r="BC416" s="43"/>
      <c r="BD416" s="43"/>
      <c r="BE416" s="43"/>
      <c r="BF416" s="43"/>
      <c r="BG416" s="43"/>
      <c r="BW416" s="1250"/>
    </row>
    <row r="417" spans="1:75" x14ac:dyDescent="0.25">
      <c r="A417" s="1251"/>
      <c r="B417" s="462">
        <v>411</v>
      </c>
      <c r="C417" s="462"/>
      <c r="D417" s="1244"/>
      <c r="E417" s="1050"/>
      <c r="F417" s="1244"/>
      <c r="H417" s="43" t="str">
        <f t="shared" ref="H417:Q426" si="205">IF($D417=H$6,$B417&amp;", ","")</f>
        <v/>
      </c>
      <c r="I417" s="43" t="str">
        <f t="shared" si="205"/>
        <v/>
      </c>
      <c r="J417" s="43" t="str">
        <f t="shared" si="205"/>
        <v/>
      </c>
      <c r="K417" s="43" t="str">
        <f t="shared" si="205"/>
        <v/>
      </c>
      <c r="L417" s="43" t="str">
        <f t="shared" si="205"/>
        <v/>
      </c>
      <c r="M417" s="43" t="str">
        <f t="shared" si="205"/>
        <v/>
      </c>
      <c r="N417" s="43" t="str">
        <f t="shared" si="205"/>
        <v/>
      </c>
      <c r="O417" s="43" t="str">
        <f t="shared" si="205"/>
        <v/>
      </c>
      <c r="P417" s="43" t="str">
        <f t="shared" si="205"/>
        <v/>
      </c>
      <c r="Q417" s="43" t="str">
        <f t="shared" si="205"/>
        <v/>
      </c>
      <c r="R417" s="43" t="str">
        <f t="shared" ref="R417:AA426" si="206">IF($D417=R$6,$B417&amp;", ","")</f>
        <v/>
      </c>
      <c r="S417" s="43" t="str">
        <f t="shared" si="206"/>
        <v/>
      </c>
      <c r="T417" s="43" t="str">
        <f t="shared" si="206"/>
        <v/>
      </c>
      <c r="U417" s="43" t="str">
        <f t="shared" si="206"/>
        <v/>
      </c>
      <c r="V417" s="43" t="str">
        <f t="shared" si="206"/>
        <v/>
      </c>
      <c r="W417" s="43" t="str">
        <f t="shared" si="206"/>
        <v/>
      </c>
      <c r="X417" s="43" t="str">
        <f t="shared" si="206"/>
        <v/>
      </c>
      <c r="Y417" s="43" t="str">
        <f t="shared" si="206"/>
        <v/>
      </c>
      <c r="Z417" s="43" t="str">
        <f t="shared" si="206"/>
        <v/>
      </c>
      <c r="AA417" s="43" t="str">
        <f t="shared" si="206"/>
        <v/>
      </c>
      <c r="AB417" s="43" t="str">
        <f t="shared" ref="AB417:AK426" si="207">IF($D417=AB$6,$B417&amp;", ","")</f>
        <v/>
      </c>
      <c r="AC417" s="43" t="str">
        <f t="shared" si="207"/>
        <v/>
      </c>
      <c r="AD417" s="43" t="str">
        <f t="shared" si="207"/>
        <v/>
      </c>
      <c r="AE417" s="43" t="str">
        <f t="shared" si="207"/>
        <v/>
      </c>
      <c r="AF417" s="43" t="str">
        <f t="shared" si="207"/>
        <v/>
      </c>
      <c r="AG417" s="43" t="str">
        <f t="shared" si="207"/>
        <v/>
      </c>
      <c r="AH417" s="43" t="str">
        <f t="shared" si="207"/>
        <v/>
      </c>
      <c r="AI417" s="43" t="str">
        <f t="shared" si="207"/>
        <v/>
      </c>
      <c r="AJ417" s="43" t="str">
        <f t="shared" si="207"/>
        <v/>
      </c>
      <c r="AK417" s="43" t="str">
        <f t="shared" si="207"/>
        <v/>
      </c>
      <c r="AL417" s="43" t="str">
        <f t="shared" ref="AL417:AU426" si="208">IF($D417=AL$6,$B417&amp;", ","")</f>
        <v/>
      </c>
      <c r="AM417" s="43" t="str">
        <f t="shared" si="208"/>
        <v/>
      </c>
      <c r="AN417" s="43" t="str">
        <f t="shared" si="208"/>
        <v/>
      </c>
      <c r="AO417" s="43" t="str">
        <f t="shared" si="208"/>
        <v/>
      </c>
      <c r="AP417" s="43" t="str">
        <f t="shared" si="208"/>
        <v/>
      </c>
      <c r="AQ417" s="43" t="str">
        <f t="shared" si="208"/>
        <v/>
      </c>
      <c r="AR417" s="43" t="str">
        <f t="shared" si="208"/>
        <v/>
      </c>
      <c r="AS417" s="43" t="str">
        <f t="shared" si="208"/>
        <v/>
      </c>
      <c r="AT417" s="43" t="str">
        <f t="shared" si="208"/>
        <v/>
      </c>
      <c r="AU417" s="43" t="str">
        <f t="shared" si="208"/>
        <v/>
      </c>
      <c r="AV417" s="43" t="str">
        <f t="shared" ref="AV417:BA426" si="209">IF($D417=AV$6,$B417&amp;", ","")</f>
        <v/>
      </c>
      <c r="AW417" s="43" t="str">
        <f t="shared" si="209"/>
        <v/>
      </c>
      <c r="AX417" s="43" t="str">
        <f t="shared" si="209"/>
        <v/>
      </c>
      <c r="AY417" s="43" t="str">
        <f t="shared" si="209"/>
        <v/>
      </c>
      <c r="AZ417" s="43" t="str">
        <f t="shared" si="209"/>
        <v/>
      </c>
      <c r="BA417" s="43" t="str">
        <f t="shared" si="209"/>
        <v/>
      </c>
      <c r="BB417" s="43"/>
      <c r="BC417" s="43"/>
      <c r="BD417" s="43"/>
      <c r="BE417" s="43"/>
      <c r="BF417" s="43"/>
      <c r="BG417" s="43"/>
      <c r="BW417" s="1250"/>
    </row>
    <row r="418" spans="1:75" x14ac:dyDescent="0.25">
      <c r="A418" s="1251"/>
      <c r="B418" s="462">
        <v>412</v>
      </c>
      <c r="C418" s="462"/>
      <c r="D418" s="1244"/>
      <c r="E418" s="1050"/>
      <c r="F418" s="1244"/>
      <c r="H418" s="43" t="str">
        <f t="shared" si="205"/>
        <v/>
      </c>
      <c r="I418" s="43" t="str">
        <f t="shared" si="205"/>
        <v/>
      </c>
      <c r="J418" s="43" t="str">
        <f t="shared" si="205"/>
        <v/>
      </c>
      <c r="K418" s="43" t="str">
        <f t="shared" si="205"/>
        <v/>
      </c>
      <c r="L418" s="43" t="str">
        <f t="shared" si="205"/>
        <v/>
      </c>
      <c r="M418" s="43" t="str">
        <f t="shared" si="205"/>
        <v/>
      </c>
      <c r="N418" s="43" t="str">
        <f t="shared" si="205"/>
        <v/>
      </c>
      <c r="O418" s="43" t="str">
        <f t="shared" si="205"/>
        <v/>
      </c>
      <c r="P418" s="43" t="str">
        <f t="shared" si="205"/>
        <v/>
      </c>
      <c r="Q418" s="43" t="str">
        <f t="shared" si="205"/>
        <v/>
      </c>
      <c r="R418" s="43" t="str">
        <f t="shared" si="206"/>
        <v/>
      </c>
      <c r="S418" s="43" t="str">
        <f t="shared" si="206"/>
        <v/>
      </c>
      <c r="T418" s="43" t="str">
        <f t="shared" si="206"/>
        <v/>
      </c>
      <c r="U418" s="43" t="str">
        <f t="shared" si="206"/>
        <v/>
      </c>
      <c r="V418" s="43" t="str">
        <f t="shared" si="206"/>
        <v/>
      </c>
      <c r="W418" s="43" t="str">
        <f t="shared" si="206"/>
        <v/>
      </c>
      <c r="X418" s="43" t="str">
        <f t="shared" si="206"/>
        <v/>
      </c>
      <c r="Y418" s="43" t="str">
        <f t="shared" si="206"/>
        <v/>
      </c>
      <c r="Z418" s="43" t="str">
        <f t="shared" si="206"/>
        <v/>
      </c>
      <c r="AA418" s="43" t="str">
        <f t="shared" si="206"/>
        <v/>
      </c>
      <c r="AB418" s="43" t="str">
        <f t="shared" si="207"/>
        <v/>
      </c>
      <c r="AC418" s="43" t="str">
        <f t="shared" si="207"/>
        <v/>
      </c>
      <c r="AD418" s="43" t="str">
        <f t="shared" si="207"/>
        <v/>
      </c>
      <c r="AE418" s="43" t="str">
        <f t="shared" si="207"/>
        <v/>
      </c>
      <c r="AF418" s="43" t="str">
        <f t="shared" si="207"/>
        <v/>
      </c>
      <c r="AG418" s="43" t="str">
        <f t="shared" si="207"/>
        <v/>
      </c>
      <c r="AH418" s="43" t="str">
        <f t="shared" si="207"/>
        <v/>
      </c>
      <c r="AI418" s="43" t="str">
        <f t="shared" si="207"/>
        <v/>
      </c>
      <c r="AJ418" s="43" t="str">
        <f t="shared" si="207"/>
        <v/>
      </c>
      <c r="AK418" s="43" t="str">
        <f t="shared" si="207"/>
        <v/>
      </c>
      <c r="AL418" s="43" t="str">
        <f t="shared" si="208"/>
        <v/>
      </c>
      <c r="AM418" s="43" t="str">
        <f t="shared" si="208"/>
        <v/>
      </c>
      <c r="AN418" s="43" t="str">
        <f t="shared" si="208"/>
        <v/>
      </c>
      <c r="AO418" s="43" t="str">
        <f t="shared" si="208"/>
        <v/>
      </c>
      <c r="AP418" s="43" t="str">
        <f t="shared" si="208"/>
        <v/>
      </c>
      <c r="AQ418" s="43" t="str">
        <f t="shared" si="208"/>
        <v/>
      </c>
      <c r="AR418" s="43" t="str">
        <f t="shared" si="208"/>
        <v/>
      </c>
      <c r="AS418" s="43" t="str">
        <f t="shared" si="208"/>
        <v/>
      </c>
      <c r="AT418" s="43" t="str">
        <f t="shared" si="208"/>
        <v/>
      </c>
      <c r="AU418" s="43" t="str">
        <f t="shared" si="208"/>
        <v/>
      </c>
      <c r="AV418" s="43" t="str">
        <f t="shared" si="209"/>
        <v/>
      </c>
      <c r="AW418" s="43" t="str">
        <f t="shared" si="209"/>
        <v/>
      </c>
      <c r="AX418" s="43" t="str">
        <f t="shared" si="209"/>
        <v/>
      </c>
      <c r="AY418" s="43" t="str">
        <f t="shared" si="209"/>
        <v/>
      </c>
      <c r="AZ418" s="43" t="str">
        <f t="shared" si="209"/>
        <v/>
      </c>
      <c r="BA418" s="43" t="str">
        <f t="shared" si="209"/>
        <v/>
      </c>
      <c r="BB418" s="43"/>
      <c r="BC418" s="43"/>
      <c r="BD418" s="43"/>
      <c r="BE418" s="43"/>
      <c r="BF418" s="43"/>
      <c r="BG418" s="43"/>
      <c r="BW418" s="1250"/>
    </row>
    <row r="419" spans="1:75" x14ac:dyDescent="0.25">
      <c r="A419" s="1251"/>
      <c r="B419" s="462">
        <v>413</v>
      </c>
      <c r="C419" s="462"/>
      <c r="D419" s="1244"/>
      <c r="E419" s="1050"/>
      <c r="F419" s="1244"/>
      <c r="H419" s="43" t="str">
        <f t="shared" si="205"/>
        <v/>
      </c>
      <c r="I419" s="43" t="str">
        <f t="shared" si="205"/>
        <v/>
      </c>
      <c r="J419" s="43" t="str">
        <f t="shared" si="205"/>
        <v/>
      </c>
      <c r="K419" s="43" t="str">
        <f t="shared" si="205"/>
        <v/>
      </c>
      <c r="L419" s="43" t="str">
        <f t="shared" si="205"/>
        <v/>
      </c>
      <c r="M419" s="43" t="str">
        <f t="shared" si="205"/>
        <v/>
      </c>
      <c r="N419" s="43" t="str">
        <f t="shared" si="205"/>
        <v/>
      </c>
      <c r="O419" s="43" t="str">
        <f t="shared" si="205"/>
        <v/>
      </c>
      <c r="P419" s="43" t="str">
        <f t="shared" si="205"/>
        <v/>
      </c>
      <c r="Q419" s="43" t="str">
        <f t="shared" si="205"/>
        <v/>
      </c>
      <c r="R419" s="43" t="str">
        <f t="shared" si="206"/>
        <v/>
      </c>
      <c r="S419" s="43" t="str">
        <f t="shared" si="206"/>
        <v/>
      </c>
      <c r="T419" s="43" t="str">
        <f t="shared" si="206"/>
        <v/>
      </c>
      <c r="U419" s="43" t="str">
        <f t="shared" si="206"/>
        <v/>
      </c>
      <c r="V419" s="43" t="str">
        <f t="shared" si="206"/>
        <v/>
      </c>
      <c r="W419" s="43" t="str">
        <f t="shared" si="206"/>
        <v/>
      </c>
      <c r="X419" s="43" t="str">
        <f t="shared" si="206"/>
        <v/>
      </c>
      <c r="Y419" s="43" t="str">
        <f t="shared" si="206"/>
        <v/>
      </c>
      <c r="Z419" s="43" t="str">
        <f t="shared" si="206"/>
        <v/>
      </c>
      <c r="AA419" s="43" t="str">
        <f t="shared" si="206"/>
        <v/>
      </c>
      <c r="AB419" s="43" t="str">
        <f t="shared" si="207"/>
        <v/>
      </c>
      <c r="AC419" s="43" t="str">
        <f t="shared" si="207"/>
        <v/>
      </c>
      <c r="AD419" s="43" t="str">
        <f t="shared" si="207"/>
        <v/>
      </c>
      <c r="AE419" s="43" t="str">
        <f t="shared" si="207"/>
        <v/>
      </c>
      <c r="AF419" s="43" t="str">
        <f t="shared" si="207"/>
        <v/>
      </c>
      <c r="AG419" s="43" t="str">
        <f t="shared" si="207"/>
        <v/>
      </c>
      <c r="AH419" s="43" t="str">
        <f t="shared" si="207"/>
        <v/>
      </c>
      <c r="AI419" s="43" t="str">
        <f t="shared" si="207"/>
        <v/>
      </c>
      <c r="AJ419" s="43" t="str">
        <f t="shared" si="207"/>
        <v/>
      </c>
      <c r="AK419" s="43" t="str">
        <f t="shared" si="207"/>
        <v/>
      </c>
      <c r="AL419" s="43" t="str">
        <f t="shared" si="208"/>
        <v/>
      </c>
      <c r="AM419" s="43" t="str">
        <f t="shared" si="208"/>
        <v/>
      </c>
      <c r="AN419" s="43" t="str">
        <f t="shared" si="208"/>
        <v/>
      </c>
      <c r="AO419" s="43" t="str">
        <f t="shared" si="208"/>
        <v/>
      </c>
      <c r="AP419" s="43" t="str">
        <f t="shared" si="208"/>
        <v/>
      </c>
      <c r="AQ419" s="43" t="str">
        <f t="shared" si="208"/>
        <v/>
      </c>
      <c r="AR419" s="43" t="str">
        <f t="shared" si="208"/>
        <v/>
      </c>
      <c r="AS419" s="43" t="str">
        <f t="shared" si="208"/>
        <v/>
      </c>
      <c r="AT419" s="43" t="str">
        <f t="shared" si="208"/>
        <v/>
      </c>
      <c r="AU419" s="43" t="str">
        <f t="shared" si="208"/>
        <v/>
      </c>
      <c r="AV419" s="43" t="str">
        <f t="shared" si="209"/>
        <v/>
      </c>
      <c r="AW419" s="43" t="str">
        <f t="shared" si="209"/>
        <v/>
      </c>
      <c r="AX419" s="43" t="str">
        <f t="shared" si="209"/>
        <v/>
      </c>
      <c r="AY419" s="43" t="str">
        <f t="shared" si="209"/>
        <v/>
      </c>
      <c r="AZ419" s="43" t="str">
        <f t="shared" si="209"/>
        <v/>
      </c>
      <c r="BA419" s="43" t="str">
        <f t="shared" si="209"/>
        <v/>
      </c>
      <c r="BB419" s="43"/>
      <c r="BC419" s="43"/>
      <c r="BD419" s="43"/>
      <c r="BE419" s="43"/>
      <c r="BF419" s="43"/>
      <c r="BG419" s="43"/>
      <c r="BW419" s="1250"/>
    </row>
    <row r="420" spans="1:75" x14ac:dyDescent="0.25">
      <c r="A420" s="1251"/>
      <c r="B420" s="462">
        <v>414</v>
      </c>
      <c r="C420" s="462"/>
      <c r="D420" s="1244"/>
      <c r="E420" s="1050"/>
      <c r="F420" s="1244"/>
      <c r="H420" s="43" t="str">
        <f t="shared" si="205"/>
        <v/>
      </c>
      <c r="I420" s="43" t="str">
        <f t="shared" si="205"/>
        <v/>
      </c>
      <c r="J420" s="43" t="str">
        <f t="shared" si="205"/>
        <v/>
      </c>
      <c r="K420" s="43" t="str">
        <f t="shared" si="205"/>
        <v/>
      </c>
      <c r="L420" s="43" t="str">
        <f t="shared" si="205"/>
        <v/>
      </c>
      <c r="M420" s="43" t="str">
        <f t="shared" si="205"/>
        <v/>
      </c>
      <c r="N420" s="43" t="str">
        <f t="shared" si="205"/>
        <v/>
      </c>
      <c r="O420" s="43" t="str">
        <f t="shared" si="205"/>
        <v/>
      </c>
      <c r="P420" s="43" t="str">
        <f t="shared" si="205"/>
        <v/>
      </c>
      <c r="Q420" s="43" t="str">
        <f t="shared" si="205"/>
        <v/>
      </c>
      <c r="R420" s="43" t="str">
        <f t="shared" si="206"/>
        <v/>
      </c>
      <c r="S420" s="43" t="str">
        <f t="shared" si="206"/>
        <v/>
      </c>
      <c r="T420" s="43" t="str">
        <f t="shared" si="206"/>
        <v/>
      </c>
      <c r="U420" s="43" t="str">
        <f t="shared" si="206"/>
        <v/>
      </c>
      <c r="V420" s="43" t="str">
        <f t="shared" si="206"/>
        <v/>
      </c>
      <c r="W420" s="43" t="str">
        <f t="shared" si="206"/>
        <v/>
      </c>
      <c r="X420" s="43" t="str">
        <f t="shared" si="206"/>
        <v/>
      </c>
      <c r="Y420" s="43" t="str">
        <f t="shared" si="206"/>
        <v/>
      </c>
      <c r="Z420" s="43" t="str">
        <f t="shared" si="206"/>
        <v/>
      </c>
      <c r="AA420" s="43" t="str">
        <f t="shared" si="206"/>
        <v/>
      </c>
      <c r="AB420" s="43" t="str">
        <f t="shared" si="207"/>
        <v/>
      </c>
      <c r="AC420" s="43" t="str">
        <f t="shared" si="207"/>
        <v/>
      </c>
      <c r="AD420" s="43" t="str">
        <f t="shared" si="207"/>
        <v/>
      </c>
      <c r="AE420" s="43" t="str">
        <f t="shared" si="207"/>
        <v/>
      </c>
      <c r="AF420" s="43" t="str">
        <f t="shared" si="207"/>
        <v/>
      </c>
      <c r="AG420" s="43" t="str">
        <f t="shared" si="207"/>
        <v/>
      </c>
      <c r="AH420" s="43" t="str">
        <f t="shared" si="207"/>
        <v/>
      </c>
      <c r="AI420" s="43" t="str">
        <f t="shared" si="207"/>
        <v/>
      </c>
      <c r="AJ420" s="43" t="str">
        <f t="shared" si="207"/>
        <v/>
      </c>
      <c r="AK420" s="43" t="str">
        <f t="shared" si="207"/>
        <v/>
      </c>
      <c r="AL420" s="43" t="str">
        <f t="shared" si="208"/>
        <v/>
      </c>
      <c r="AM420" s="43" t="str">
        <f t="shared" si="208"/>
        <v/>
      </c>
      <c r="AN420" s="43" t="str">
        <f t="shared" si="208"/>
        <v/>
      </c>
      <c r="AO420" s="43" t="str">
        <f t="shared" si="208"/>
        <v/>
      </c>
      <c r="AP420" s="43" t="str">
        <f t="shared" si="208"/>
        <v/>
      </c>
      <c r="AQ420" s="43" t="str">
        <f t="shared" si="208"/>
        <v/>
      </c>
      <c r="AR420" s="43" t="str">
        <f t="shared" si="208"/>
        <v/>
      </c>
      <c r="AS420" s="43" t="str">
        <f t="shared" si="208"/>
        <v/>
      </c>
      <c r="AT420" s="43" t="str">
        <f t="shared" si="208"/>
        <v/>
      </c>
      <c r="AU420" s="43" t="str">
        <f t="shared" si="208"/>
        <v/>
      </c>
      <c r="AV420" s="43" t="str">
        <f t="shared" si="209"/>
        <v/>
      </c>
      <c r="AW420" s="43" t="str">
        <f t="shared" si="209"/>
        <v/>
      </c>
      <c r="AX420" s="43" t="str">
        <f t="shared" si="209"/>
        <v/>
      </c>
      <c r="AY420" s="43" t="str">
        <f t="shared" si="209"/>
        <v/>
      </c>
      <c r="AZ420" s="43" t="str">
        <f t="shared" si="209"/>
        <v/>
      </c>
      <c r="BA420" s="43" t="str">
        <f t="shared" si="209"/>
        <v/>
      </c>
      <c r="BB420" s="43"/>
      <c r="BC420" s="43"/>
      <c r="BD420" s="43"/>
      <c r="BE420" s="43"/>
      <c r="BF420" s="43"/>
      <c r="BG420" s="43"/>
      <c r="BW420" s="1250"/>
    </row>
    <row r="421" spans="1:75" x14ac:dyDescent="0.25">
      <c r="A421" s="1251"/>
      <c r="B421" s="462">
        <v>415</v>
      </c>
      <c r="C421" s="462"/>
      <c r="D421" s="1244"/>
      <c r="E421" s="1050"/>
      <c r="F421" s="1244"/>
      <c r="H421" s="43" t="str">
        <f t="shared" si="205"/>
        <v/>
      </c>
      <c r="I421" s="43" t="str">
        <f t="shared" si="205"/>
        <v/>
      </c>
      <c r="J421" s="43" t="str">
        <f t="shared" si="205"/>
        <v/>
      </c>
      <c r="K421" s="43" t="str">
        <f t="shared" si="205"/>
        <v/>
      </c>
      <c r="L421" s="43" t="str">
        <f t="shared" si="205"/>
        <v/>
      </c>
      <c r="M421" s="43" t="str">
        <f t="shared" si="205"/>
        <v/>
      </c>
      <c r="N421" s="43" t="str">
        <f t="shared" si="205"/>
        <v/>
      </c>
      <c r="O421" s="43" t="str">
        <f t="shared" si="205"/>
        <v/>
      </c>
      <c r="P421" s="43" t="str">
        <f t="shared" si="205"/>
        <v/>
      </c>
      <c r="Q421" s="43" t="str">
        <f t="shared" si="205"/>
        <v/>
      </c>
      <c r="R421" s="43" t="str">
        <f t="shared" si="206"/>
        <v/>
      </c>
      <c r="S421" s="43" t="str">
        <f t="shared" si="206"/>
        <v/>
      </c>
      <c r="T421" s="43" t="str">
        <f t="shared" si="206"/>
        <v/>
      </c>
      <c r="U421" s="43" t="str">
        <f t="shared" si="206"/>
        <v/>
      </c>
      <c r="V421" s="43" t="str">
        <f t="shared" si="206"/>
        <v/>
      </c>
      <c r="W421" s="43" t="str">
        <f t="shared" si="206"/>
        <v/>
      </c>
      <c r="X421" s="43" t="str">
        <f t="shared" si="206"/>
        <v/>
      </c>
      <c r="Y421" s="43" t="str">
        <f t="shared" si="206"/>
        <v/>
      </c>
      <c r="Z421" s="43" t="str">
        <f t="shared" si="206"/>
        <v/>
      </c>
      <c r="AA421" s="43" t="str">
        <f t="shared" si="206"/>
        <v/>
      </c>
      <c r="AB421" s="43" t="str">
        <f t="shared" si="207"/>
        <v/>
      </c>
      <c r="AC421" s="43" t="str">
        <f t="shared" si="207"/>
        <v/>
      </c>
      <c r="AD421" s="43" t="str">
        <f t="shared" si="207"/>
        <v/>
      </c>
      <c r="AE421" s="43" t="str">
        <f t="shared" si="207"/>
        <v/>
      </c>
      <c r="AF421" s="43" t="str">
        <f t="shared" si="207"/>
        <v/>
      </c>
      <c r="AG421" s="43" t="str">
        <f t="shared" si="207"/>
        <v/>
      </c>
      <c r="AH421" s="43" t="str">
        <f t="shared" si="207"/>
        <v/>
      </c>
      <c r="AI421" s="43" t="str">
        <f t="shared" si="207"/>
        <v/>
      </c>
      <c r="AJ421" s="43" t="str">
        <f t="shared" si="207"/>
        <v/>
      </c>
      <c r="AK421" s="43" t="str">
        <f t="shared" si="207"/>
        <v/>
      </c>
      <c r="AL421" s="43" t="str">
        <f t="shared" si="208"/>
        <v/>
      </c>
      <c r="AM421" s="43" t="str">
        <f t="shared" si="208"/>
        <v/>
      </c>
      <c r="AN421" s="43" t="str">
        <f t="shared" si="208"/>
        <v/>
      </c>
      <c r="AO421" s="43" t="str">
        <f t="shared" si="208"/>
        <v/>
      </c>
      <c r="AP421" s="43" t="str">
        <f t="shared" si="208"/>
        <v/>
      </c>
      <c r="AQ421" s="43" t="str">
        <f t="shared" si="208"/>
        <v/>
      </c>
      <c r="AR421" s="43" t="str">
        <f t="shared" si="208"/>
        <v/>
      </c>
      <c r="AS421" s="43" t="str">
        <f t="shared" si="208"/>
        <v/>
      </c>
      <c r="AT421" s="43" t="str">
        <f t="shared" si="208"/>
        <v/>
      </c>
      <c r="AU421" s="43" t="str">
        <f t="shared" si="208"/>
        <v/>
      </c>
      <c r="AV421" s="43" t="str">
        <f t="shared" si="209"/>
        <v/>
      </c>
      <c r="AW421" s="43" t="str">
        <f t="shared" si="209"/>
        <v/>
      </c>
      <c r="AX421" s="43" t="str">
        <f t="shared" si="209"/>
        <v/>
      </c>
      <c r="AY421" s="43" t="str">
        <f t="shared" si="209"/>
        <v/>
      </c>
      <c r="AZ421" s="43" t="str">
        <f t="shared" si="209"/>
        <v/>
      </c>
      <c r="BA421" s="43" t="str">
        <f t="shared" si="209"/>
        <v/>
      </c>
      <c r="BB421" s="43"/>
      <c r="BC421" s="43"/>
      <c r="BD421" s="43"/>
      <c r="BE421" s="43"/>
      <c r="BF421" s="43"/>
      <c r="BG421" s="43"/>
      <c r="BW421" s="1250"/>
    </row>
    <row r="422" spans="1:75" x14ac:dyDescent="0.25">
      <c r="A422" s="1251"/>
      <c r="B422" s="462">
        <v>416</v>
      </c>
      <c r="C422" s="462"/>
      <c r="D422" s="1244"/>
      <c r="E422" s="1050"/>
      <c r="F422" s="1244"/>
      <c r="H422" s="43" t="str">
        <f t="shared" si="205"/>
        <v/>
      </c>
      <c r="I422" s="43" t="str">
        <f t="shared" si="205"/>
        <v/>
      </c>
      <c r="J422" s="43" t="str">
        <f t="shared" si="205"/>
        <v/>
      </c>
      <c r="K422" s="43" t="str">
        <f t="shared" si="205"/>
        <v/>
      </c>
      <c r="L422" s="43" t="str">
        <f t="shared" si="205"/>
        <v/>
      </c>
      <c r="M422" s="43" t="str">
        <f t="shared" si="205"/>
        <v/>
      </c>
      <c r="N422" s="43" t="str">
        <f t="shared" si="205"/>
        <v/>
      </c>
      <c r="O422" s="43" t="str">
        <f t="shared" si="205"/>
        <v/>
      </c>
      <c r="P422" s="43" t="str">
        <f t="shared" si="205"/>
        <v/>
      </c>
      <c r="Q422" s="43" t="str">
        <f t="shared" si="205"/>
        <v/>
      </c>
      <c r="R422" s="43" t="str">
        <f t="shared" si="206"/>
        <v/>
      </c>
      <c r="S422" s="43" t="str">
        <f t="shared" si="206"/>
        <v/>
      </c>
      <c r="T422" s="43" t="str">
        <f t="shared" si="206"/>
        <v/>
      </c>
      <c r="U422" s="43" t="str">
        <f t="shared" si="206"/>
        <v/>
      </c>
      <c r="V422" s="43" t="str">
        <f t="shared" si="206"/>
        <v/>
      </c>
      <c r="W422" s="43" t="str">
        <f t="shared" si="206"/>
        <v/>
      </c>
      <c r="X422" s="43" t="str">
        <f t="shared" si="206"/>
        <v/>
      </c>
      <c r="Y422" s="43" t="str">
        <f t="shared" si="206"/>
        <v/>
      </c>
      <c r="Z422" s="43" t="str">
        <f t="shared" si="206"/>
        <v/>
      </c>
      <c r="AA422" s="43" t="str">
        <f t="shared" si="206"/>
        <v/>
      </c>
      <c r="AB422" s="43" t="str">
        <f t="shared" si="207"/>
        <v/>
      </c>
      <c r="AC422" s="43" t="str">
        <f t="shared" si="207"/>
        <v/>
      </c>
      <c r="AD422" s="43" t="str">
        <f t="shared" si="207"/>
        <v/>
      </c>
      <c r="AE422" s="43" t="str">
        <f t="shared" si="207"/>
        <v/>
      </c>
      <c r="AF422" s="43" t="str">
        <f t="shared" si="207"/>
        <v/>
      </c>
      <c r="AG422" s="43" t="str">
        <f t="shared" si="207"/>
        <v/>
      </c>
      <c r="AH422" s="43" t="str">
        <f t="shared" si="207"/>
        <v/>
      </c>
      <c r="AI422" s="43" t="str">
        <f t="shared" si="207"/>
        <v/>
      </c>
      <c r="AJ422" s="43" t="str">
        <f t="shared" si="207"/>
        <v/>
      </c>
      <c r="AK422" s="43" t="str">
        <f t="shared" si="207"/>
        <v/>
      </c>
      <c r="AL422" s="43" t="str">
        <f t="shared" si="208"/>
        <v/>
      </c>
      <c r="AM422" s="43" t="str">
        <f t="shared" si="208"/>
        <v/>
      </c>
      <c r="AN422" s="43" t="str">
        <f t="shared" si="208"/>
        <v/>
      </c>
      <c r="AO422" s="43" t="str">
        <f t="shared" si="208"/>
        <v/>
      </c>
      <c r="AP422" s="43" t="str">
        <f t="shared" si="208"/>
        <v/>
      </c>
      <c r="AQ422" s="43" t="str">
        <f t="shared" si="208"/>
        <v/>
      </c>
      <c r="AR422" s="43" t="str">
        <f t="shared" si="208"/>
        <v/>
      </c>
      <c r="AS422" s="43" t="str">
        <f t="shared" si="208"/>
        <v/>
      </c>
      <c r="AT422" s="43" t="str">
        <f t="shared" si="208"/>
        <v/>
      </c>
      <c r="AU422" s="43" t="str">
        <f t="shared" si="208"/>
        <v/>
      </c>
      <c r="AV422" s="43" t="str">
        <f t="shared" si="209"/>
        <v/>
      </c>
      <c r="AW422" s="43" t="str">
        <f t="shared" si="209"/>
        <v/>
      </c>
      <c r="AX422" s="43" t="str">
        <f t="shared" si="209"/>
        <v/>
      </c>
      <c r="AY422" s="43" t="str">
        <f t="shared" si="209"/>
        <v/>
      </c>
      <c r="AZ422" s="43" t="str">
        <f t="shared" si="209"/>
        <v/>
      </c>
      <c r="BA422" s="43" t="str">
        <f t="shared" si="209"/>
        <v/>
      </c>
      <c r="BB422" s="43"/>
      <c r="BC422" s="43"/>
      <c r="BD422" s="43"/>
      <c r="BE422" s="43"/>
      <c r="BF422" s="43"/>
      <c r="BG422" s="43"/>
      <c r="BW422" s="1250"/>
    </row>
    <row r="423" spans="1:75" x14ac:dyDescent="0.25">
      <c r="A423" s="1251"/>
      <c r="B423" s="462">
        <v>417</v>
      </c>
      <c r="C423" s="462"/>
      <c r="D423" s="1244"/>
      <c r="E423" s="1050"/>
      <c r="F423" s="1244"/>
      <c r="H423" s="43" t="str">
        <f t="shared" si="205"/>
        <v/>
      </c>
      <c r="I423" s="43" t="str">
        <f t="shared" si="205"/>
        <v/>
      </c>
      <c r="J423" s="43" t="str">
        <f t="shared" si="205"/>
        <v/>
      </c>
      <c r="K423" s="43" t="str">
        <f t="shared" si="205"/>
        <v/>
      </c>
      <c r="L423" s="43" t="str">
        <f t="shared" si="205"/>
        <v/>
      </c>
      <c r="M423" s="43" t="str">
        <f t="shared" si="205"/>
        <v/>
      </c>
      <c r="N423" s="43" t="str">
        <f t="shared" si="205"/>
        <v/>
      </c>
      <c r="O423" s="43" t="str">
        <f t="shared" si="205"/>
        <v/>
      </c>
      <c r="P423" s="43" t="str">
        <f t="shared" si="205"/>
        <v/>
      </c>
      <c r="Q423" s="43" t="str">
        <f t="shared" si="205"/>
        <v/>
      </c>
      <c r="R423" s="43" t="str">
        <f t="shared" si="206"/>
        <v/>
      </c>
      <c r="S423" s="43" t="str">
        <f t="shared" si="206"/>
        <v/>
      </c>
      <c r="T423" s="43" t="str">
        <f t="shared" si="206"/>
        <v/>
      </c>
      <c r="U423" s="43" t="str">
        <f t="shared" si="206"/>
        <v/>
      </c>
      <c r="V423" s="43" t="str">
        <f t="shared" si="206"/>
        <v/>
      </c>
      <c r="W423" s="43" t="str">
        <f t="shared" si="206"/>
        <v/>
      </c>
      <c r="X423" s="43" t="str">
        <f t="shared" si="206"/>
        <v/>
      </c>
      <c r="Y423" s="43" t="str">
        <f t="shared" si="206"/>
        <v/>
      </c>
      <c r="Z423" s="43" t="str">
        <f t="shared" si="206"/>
        <v/>
      </c>
      <c r="AA423" s="43" t="str">
        <f t="shared" si="206"/>
        <v/>
      </c>
      <c r="AB423" s="43" t="str">
        <f t="shared" si="207"/>
        <v/>
      </c>
      <c r="AC423" s="43" t="str">
        <f t="shared" si="207"/>
        <v/>
      </c>
      <c r="AD423" s="43" t="str">
        <f t="shared" si="207"/>
        <v/>
      </c>
      <c r="AE423" s="43" t="str">
        <f t="shared" si="207"/>
        <v/>
      </c>
      <c r="AF423" s="43" t="str">
        <f t="shared" si="207"/>
        <v/>
      </c>
      <c r="AG423" s="43" t="str">
        <f t="shared" si="207"/>
        <v/>
      </c>
      <c r="AH423" s="43" t="str">
        <f t="shared" si="207"/>
        <v/>
      </c>
      <c r="AI423" s="43" t="str">
        <f t="shared" si="207"/>
        <v/>
      </c>
      <c r="AJ423" s="43" t="str">
        <f t="shared" si="207"/>
        <v/>
      </c>
      <c r="AK423" s="43" t="str">
        <f t="shared" si="207"/>
        <v/>
      </c>
      <c r="AL423" s="43" t="str">
        <f t="shared" si="208"/>
        <v/>
      </c>
      <c r="AM423" s="43" t="str">
        <f t="shared" si="208"/>
        <v/>
      </c>
      <c r="AN423" s="43" t="str">
        <f t="shared" si="208"/>
        <v/>
      </c>
      <c r="AO423" s="43" t="str">
        <f t="shared" si="208"/>
        <v/>
      </c>
      <c r="AP423" s="43" t="str">
        <f t="shared" si="208"/>
        <v/>
      </c>
      <c r="AQ423" s="43" t="str">
        <f t="shared" si="208"/>
        <v/>
      </c>
      <c r="AR423" s="43" t="str">
        <f t="shared" si="208"/>
        <v/>
      </c>
      <c r="AS423" s="43" t="str">
        <f t="shared" si="208"/>
        <v/>
      </c>
      <c r="AT423" s="43" t="str">
        <f t="shared" si="208"/>
        <v/>
      </c>
      <c r="AU423" s="43" t="str">
        <f t="shared" si="208"/>
        <v/>
      </c>
      <c r="AV423" s="43" t="str">
        <f t="shared" si="209"/>
        <v/>
      </c>
      <c r="AW423" s="43" t="str">
        <f t="shared" si="209"/>
        <v/>
      </c>
      <c r="AX423" s="43" t="str">
        <f t="shared" si="209"/>
        <v/>
      </c>
      <c r="AY423" s="43" t="str">
        <f t="shared" si="209"/>
        <v/>
      </c>
      <c r="AZ423" s="43" t="str">
        <f t="shared" si="209"/>
        <v/>
      </c>
      <c r="BA423" s="43" t="str">
        <f t="shared" si="209"/>
        <v/>
      </c>
      <c r="BB423" s="43"/>
      <c r="BC423" s="43"/>
      <c r="BD423" s="43"/>
      <c r="BE423" s="43"/>
      <c r="BF423" s="43"/>
      <c r="BG423" s="43"/>
      <c r="BW423" s="1250"/>
    </row>
    <row r="424" spans="1:75" x14ac:dyDescent="0.25">
      <c r="A424" s="1251"/>
      <c r="B424" s="462">
        <v>418</v>
      </c>
      <c r="C424" s="462"/>
      <c r="D424" s="1244"/>
      <c r="E424" s="1050"/>
      <c r="F424" s="1244"/>
      <c r="H424" s="43" t="str">
        <f t="shared" si="205"/>
        <v/>
      </c>
      <c r="I424" s="43" t="str">
        <f t="shared" si="205"/>
        <v/>
      </c>
      <c r="J424" s="43" t="str">
        <f t="shared" si="205"/>
        <v/>
      </c>
      <c r="K424" s="43" t="str">
        <f t="shared" si="205"/>
        <v/>
      </c>
      <c r="L424" s="43" t="str">
        <f t="shared" si="205"/>
        <v/>
      </c>
      <c r="M424" s="43" t="str">
        <f t="shared" si="205"/>
        <v/>
      </c>
      <c r="N424" s="43" t="str">
        <f t="shared" si="205"/>
        <v/>
      </c>
      <c r="O424" s="43" t="str">
        <f t="shared" si="205"/>
        <v/>
      </c>
      <c r="P424" s="43" t="str">
        <f t="shared" si="205"/>
        <v/>
      </c>
      <c r="Q424" s="43" t="str">
        <f t="shared" si="205"/>
        <v/>
      </c>
      <c r="R424" s="43" t="str">
        <f t="shared" si="206"/>
        <v/>
      </c>
      <c r="S424" s="43" t="str">
        <f t="shared" si="206"/>
        <v/>
      </c>
      <c r="T424" s="43" t="str">
        <f t="shared" si="206"/>
        <v/>
      </c>
      <c r="U424" s="43" t="str">
        <f t="shared" si="206"/>
        <v/>
      </c>
      <c r="V424" s="43" t="str">
        <f t="shared" si="206"/>
        <v/>
      </c>
      <c r="W424" s="43" t="str">
        <f t="shared" si="206"/>
        <v/>
      </c>
      <c r="X424" s="43" t="str">
        <f t="shared" si="206"/>
        <v/>
      </c>
      <c r="Y424" s="43" t="str">
        <f t="shared" si="206"/>
        <v/>
      </c>
      <c r="Z424" s="43" t="str">
        <f t="shared" si="206"/>
        <v/>
      </c>
      <c r="AA424" s="43" t="str">
        <f t="shared" si="206"/>
        <v/>
      </c>
      <c r="AB424" s="43" t="str">
        <f t="shared" si="207"/>
        <v/>
      </c>
      <c r="AC424" s="43" t="str">
        <f t="shared" si="207"/>
        <v/>
      </c>
      <c r="AD424" s="43" t="str">
        <f t="shared" si="207"/>
        <v/>
      </c>
      <c r="AE424" s="43" t="str">
        <f t="shared" si="207"/>
        <v/>
      </c>
      <c r="AF424" s="43" t="str">
        <f t="shared" si="207"/>
        <v/>
      </c>
      <c r="AG424" s="43" t="str">
        <f t="shared" si="207"/>
        <v/>
      </c>
      <c r="AH424" s="43" t="str">
        <f t="shared" si="207"/>
        <v/>
      </c>
      <c r="AI424" s="43" t="str">
        <f t="shared" si="207"/>
        <v/>
      </c>
      <c r="AJ424" s="43" t="str">
        <f t="shared" si="207"/>
        <v/>
      </c>
      <c r="AK424" s="43" t="str">
        <f t="shared" si="207"/>
        <v/>
      </c>
      <c r="AL424" s="43" t="str">
        <f t="shared" si="208"/>
        <v/>
      </c>
      <c r="AM424" s="43" t="str">
        <f t="shared" si="208"/>
        <v/>
      </c>
      <c r="AN424" s="43" t="str">
        <f t="shared" si="208"/>
        <v/>
      </c>
      <c r="AO424" s="43" t="str">
        <f t="shared" si="208"/>
        <v/>
      </c>
      <c r="AP424" s="43" t="str">
        <f t="shared" si="208"/>
        <v/>
      </c>
      <c r="AQ424" s="43" t="str">
        <f t="shared" si="208"/>
        <v/>
      </c>
      <c r="AR424" s="43" t="str">
        <f t="shared" si="208"/>
        <v/>
      </c>
      <c r="AS424" s="43" t="str">
        <f t="shared" si="208"/>
        <v/>
      </c>
      <c r="AT424" s="43" t="str">
        <f t="shared" si="208"/>
        <v/>
      </c>
      <c r="AU424" s="43" t="str">
        <f t="shared" si="208"/>
        <v/>
      </c>
      <c r="AV424" s="43" t="str">
        <f t="shared" si="209"/>
        <v/>
      </c>
      <c r="AW424" s="43" t="str">
        <f t="shared" si="209"/>
        <v/>
      </c>
      <c r="AX424" s="43" t="str">
        <f t="shared" si="209"/>
        <v/>
      </c>
      <c r="AY424" s="43" t="str">
        <f t="shared" si="209"/>
        <v/>
      </c>
      <c r="AZ424" s="43" t="str">
        <f t="shared" si="209"/>
        <v/>
      </c>
      <c r="BA424" s="43" t="str">
        <f t="shared" si="209"/>
        <v/>
      </c>
      <c r="BB424" s="43"/>
      <c r="BC424" s="43"/>
      <c r="BD424" s="43"/>
      <c r="BE424" s="43"/>
      <c r="BF424" s="43"/>
      <c r="BG424" s="43"/>
      <c r="BW424" s="1250"/>
    </row>
    <row r="425" spans="1:75" x14ac:dyDescent="0.25">
      <c r="A425" s="1251"/>
      <c r="B425" s="462">
        <v>419</v>
      </c>
      <c r="C425" s="462"/>
      <c r="D425" s="1244"/>
      <c r="E425" s="1050"/>
      <c r="F425" s="1244"/>
      <c r="H425" s="43" t="str">
        <f t="shared" si="205"/>
        <v/>
      </c>
      <c r="I425" s="43" t="str">
        <f t="shared" si="205"/>
        <v/>
      </c>
      <c r="J425" s="43" t="str">
        <f t="shared" si="205"/>
        <v/>
      </c>
      <c r="K425" s="43" t="str">
        <f t="shared" si="205"/>
        <v/>
      </c>
      <c r="L425" s="43" t="str">
        <f t="shared" si="205"/>
        <v/>
      </c>
      <c r="M425" s="43" t="str">
        <f t="shared" si="205"/>
        <v/>
      </c>
      <c r="N425" s="43" t="str">
        <f t="shared" si="205"/>
        <v/>
      </c>
      <c r="O425" s="43" t="str">
        <f t="shared" si="205"/>
        <v/>
      </c>
      <c r="P425" s="43" t="str">
        <f t="shared" si="205"/>
        <v/>
      </c>
      <c r="Q425" s="43" t="str">
        <f t="shared" si="205"/>
        <v/>
      </c>
      <c r="R425" s="43" t="str">
        <f t="shared" si="206"/>
        <v/>
      </c>
      <c r="S425" s="43" t="str">
        <f t="shared" si="206"/>
        <v/>
      </c>
      <c r="T425" s="43" t="str">
        <f t="shared" si="206"/>
        <v/>
      </c>
      <c r="U425" s="43" t="str">
        <f t="shared" si="206"/>
        <v/>
      </c>
      <c r="V425" s="43" t="str">
        <f t="shared" si="206"/>
        <v/>
      </c>
      <c r="W425" s="43" t="str">
        <f t="shared" si="206"/>
        <v/>
      </c>
      <c r="X425" s="43" t="str">
        <f t="shared" si="206"/>
        <v/>
      </c>
      <c r="Y425" s="43" t="str">
        <f t="shared" si="206"/>
        <v/>
      </c>
      <c r="Z425" s="43" t="str">
        <f t="shared" si="206"/>
        <v/>
      </c>
      <c r="AA425" s="43" t="str">
        <f t="shared" si="206"/>
        <v/>
      </c>
      <c r="AB425" s="43" t="str">
        <f t="shared" si="207"/>
        <v/>
      </c>
      <c r="AC425" s="43" t="str">
        <f t="shared" si="207"/>
        <v/>
      </c>
      <c r="AD425" s="43" t="str">
        <f t="shared" si="207"/>
        <v/>
      </c>
      <c r="AE425" s="43" t="str">
        <f t="shared" si="207"/>
        <v/>
      </c>
      <c r="AF425" s="43" t="str">
        <f t="shared" si="207"/>
        <v/>
      </c>
      <c r="AG425" s="43" t="str">
        <f t="shared" si="207"/>
        <v/>
      </c>
      <c r="AH425" s="43" t="str">
        <f t="shared" si="207"/>
        <v/>
      </c>
      <c r="AI425" s="43" t="str">
        <f t="shared" si="207"/>
        <v/>
      </c>
      <c r="AJ425" s="43" t="str">
        <f t="shared" si="207"/>
        <v/>
      </c>
      <c r="AK425" s="43" t="str">
        <f t="shared" si="207"/>
        <v/>
      </c>
      <c r="AL425" s="43" t="str">
        <f t="shared" si="208"/>
        <v/>
      </c>
      <c r="AM425" s="43" t="str">
        <f t="shared" si="208"/>
        <v/>
      </c>
      <c r="AN425" s="43" t="str">
        <f t="shared" si="208"/>
        <v/>
      </c>
      <c r="AO425" s="43" t="str">
        <f t="shared" si="208"/>
        <v/>
      </c>
      <c r="AP425" s="43" t="str">
        <f t="shared" si="208"/>
        <v/>
      </c>
      <c r="AQ425" s="43" t="str">
        <f t="shared" si="208"/>
        <v/>
      </c>
      <c r="AR425" s="43" t="str">
        <f t="shared" si="208"/>
        <v/>
      </c>
      <c r="AS425" s="43" t="str">
        <f t="shared" si="208"/>
        <v/>
      </c>
      <c r="AT425" s="43" t="str">
        <f t="shared" si="208"/>
        <v/>
      </c>
      <c r="AU425" s="43" t="str">
        <f t="shared" si="208"/>
        <v/>
      </c>
      <c r="AV425" s="43" t="str">
        <f t="shared" si="209"/>
        <v/>
      </c>
      <c r="AW425" s="43" t="str">
        <f t="shared" si="209"/>
        <v/>
      </c>
      <c r="AX425" s="43" t="str">
        <f t="shared" si="209"/>
        <v/>
      </c>
      <c r="AY425" s="43" t="str">
        <f t="shared" si="209"/>
        <v/>
      </c>
      <c r="AZ425" s="43" t="str">
        <f t="shared" si="209"/>
        <v/>
      </c>
      <c r="BA425" s="43" t="str">
        <f t="shared" si="209"/>
        <v/>
      </c>
      <c r="BB425" s="43"/>
      <c r="BC425" s="43"/>
      <c r="BD425" s="43"/>
      <c r="BE425" s="43"/>
      <c r="BF425" s="43"/>
      <c r="BG425" s="43"/>
      <c r="BW425" s="1250"/>
    </row>
    <row r="426" spans="1:75" x14ac:dyDescent="0.25">
      <c r="A426" s="1251"/>
      <c r="B426" s="462">
        <v>420</v>
      </c>
      <c r="C426" s="462"/>
      <c r="D426" s="1244"/>
      <c r="E426" s="1050"/>
      <c r="F426" s="1244"/>
      <c r="H426" s="43" t="str">
        <f t="shared" si="205"/>
        <v/>
      </c>
      <c r="I426" s="43" t="str">
        <f t="shared" si="205"/>
        <v/>
      </c>
      <c r="J426" s="43" t="str">
        <f t="shared" si="205"/>
        <v/>
      </c>
      <c r="K426" s="43" t="str">
        <f t="shared" si="205"/>
        <v/>
      </c>
      <c r="L426" s="43" t="str">
        <f t="shared" si="205"/>
        <v/>
      </c>
      <c r="M426" s="43" t="str">
        <f t="shared" si="205"/>
        <v/>
      </c>
      <c r="N426" s="43" t="str">
        <f t="shared" si="205"/>
        <v/>
      </c>
      <c r="O426" s="43" t="str">
        <f t="shared" si="205"/>
        <v/>
      </c>
      <c r="P426" s="43" t="str">
        <f t="shared" si="205"/>
        <v/>
      </c>
      <c r="Q426" s="43" t="str">
        <f t="shared" si="205"/>
        <v/>
      </c>
      <c r="R426" s="43" t="str">
        <f t="shared" si="206"/>
        <v/>
      </c>
      <c r="S426" s="43" t="str">
        <f t="shared" si="206"/>
        <v/>
      </c>
      <c r="T426" s="43" t="str">
        <f t="shared" si="206"/>
        <v/>
      </c>
      <c r="U426" s="43" t="str">
        <f t="shared" si="206"/>
        <v/>
      </c>
      <c r="V426" s="43" t="str">
        <f t="shared" si="206"/>
        <v/>
      </c>
      <c r="W426" s="43" t="str">
        <f t="shared" si="206"/>
        <v/>
      </c>
      <c r="X426" s="43" t="str">
        <f t="shared" si="206"/>
        <v/>
      </c>
      <c r="Y426" s="43" t="str">
        <f t="shared" si="206"/>
        <v/>
      </c>
      <c r="Z426" s="43" t="str">
        <f t="shared" si="206"/>
        <v/>
      </c>
      <c r="AA426" s="43" t="str">
        <f t="shared" si="206"/>
        <v/>
      </c>
      <c r="AB426" s="43" t="str">
        <f t="shared" si="207"/>
        <v/>
      </c>
      <c r="AC426" s="43" t="str">
        <f t="shared" si="207"/>
        <v/>
      </c>
      <c r="AD426" s="43" t="str">
        <f t="shared" si="207"/>
        <v/>
      </c>
      <c r="AE426" s="43" t="str">
        <f t="shared" si="207"/>
        <v/>
      </c>
      <c r="AF426" s="43" t="str">
        <f t="shared" si="207"/>
        <v/>
      </c>
      <c r="AG426" s="43" t="str">
        <f t="shared" si="207"/>
        <v/>
      </c>
      <c r="AH426" s="43" t="str">
        <f t="shared" si="207"/>
        <v/>
      </c>
      <c r="AI426" s="43" t="str">
        <f t="shared" si="207"/>
        <v/>
      </c>
      <c r="AJ426" s="43" t="str">
        <f t="shared" si="207"/>
        <v/>
      </c>
      <c r="AK426" s="43" t="str">
        <f t="shared" si="207"/>
        <v/>
      </c>
      <c r="AL426" s="43" t="str">
        <f t="shared" si="208"/>
        <v/>
      </c>
      <c r="AM426" s="43" t="str">
        <f t="shared" si="208"/>
        <v/>
      </c>
      <c r="AN426" s="43" t="str">
        <f t="shared" si="208"/>
        <v/>
      </c>
      <c r="AO426" s="43" t="str">
        <f t="shared" si="208"/>
        <v/>
      </c>
      <c r="AP426" s="43" t="str">
        <f t="shared" si="208"/>
        <v/>
      </c>
      <c r="AQ426" s="43" t="str">
        <f t="shared" si="208"/>
        <v/>
      </c>
      <c r="AR426" s="43" t="str">
        <f t="shared" si="208"/>
        <v/>
      </c>
      <c r="AS426" s="43" t="str">
        <f t="shared" si="208"/>
        <v/>
      </c>
      <c r="AT426" s="43" t="str">
        <f t="shared" si="208"/>
        <v/>
      </c>
      <c r="AU426" s="43" t="str">
        <f t="shared" si="208"/>
        <v/>
      </c>
      <c r="AV426" s="43" t="str">
        <f t="shared" si="209"/>
        <v/>
      </c>
      <c r="AW426" s="43" t="str">
        <f t="shared" si="209"/>
        <v/>
      </c>
      <c r="AX426" s="43" t="str">
        <f t="shared" si="209"/>
        <v/>
      </c>
      <c r="AY426" s="43" t="str">
        <f t="shared" si="209"/>
        <v/>
      </c>
      <c r="AZ426" s="43" t="str">
        <f t="shared" si="209"/>
        <v/>
      </c>
      <c r="BA426" s="43" t="str">
        <f t="shared" si="209"/>
        <v/>
      </c>
      <c r="BB426" s="43"/>
      <c r="BC426" s="43"/>
      <c r="BD426" s="43"/>
      <c r="BE426" s="43"/>
      <c r="BF426" s="43"/>
      <c r="BG426" s="43"/>
      <c r="BW426" s="1250"/>
    </row>
    <row r="427" spans="1:75" x14ac:dyDescent="0.25">
      <c r="A427" s="1251"/>
      <c r="B427" s="462">
        <v>421</v>
      </c>
      <c r="C427" s="462"/>
      <c r="D427" s="1244"/>
      <c r="E427" s="1050"/>
      <c r="F427" s="1244"/>
      <c r="H427" s="43" t="str">
        <f t="shared" ref="H427:Q436" si="210">IF($D427=H$6,$B427&amp;", ","")</f>
        <v/>
      </c>
      <c r="I427" s="43" t="str">
        <f t="shared" si="210"/>
        <v/>
      </c>
      <c r="J427" s="43" t="str">
        <f t="shared" si="210"/>
        <v/>
      </c>
      <c r="K427" s="43" t="str">
        <f t="shared" si="210"/>
        <v/>
      </c>
      <c r="L427" s="43" t="str">
        <f t="shared" si="210"/>
        <v/>
      </c>
      <c r="M427" s="43" t="str">
        <f t="shared" si="210"/>
        <v/>
      </c>
      <c r="N427" s="43" t="str">
        <f t="shared" si="210"/>
        <v/>
      </c>
      <c r="O427" s="43" t="str">
        <f t="shared" si="210"/>
        <v/>
      </c>
      <c r="P427" s="43" t="str">
        <f t="shared" si="210"/>
        <v/>
      </c>
      <c r="Q427" s="43" t="str">
        <f t="shared" si="210"/>
        <v/>
      </c>
      <c r="R427" s="43" t="str">
        <f t="shared" ref="R427:AA436" si="211">IF($D427=R$6,$B427&amp;", ","")</f>
        <v/>
      </c>
      <c r="S427" s="43" t="str">
        <f t="shared" si="211"/>
        <v/>
      </c>
      <c r="T427" s="43" t="str">
        <f t="shared" si="211"/>
        <v/>
      </c>
      <c r="U427" s="43" t="str">
        <f t="shared" si="211"/>
        <v/>
      </c>
      <c r="V427" s="43" t="str">
        <f t="shared" si="211"/>
        <v/>
      </c>
      <c r="W427" s="43" t="str">
        <f t="shared" si="211"/>
        <v/>
      </c>
      <c r="X427" s="43" t="str">
        <f t="shared" si="211"/>
        <v/>
      </c>
      <c r="Y427" s="43" t="str">
        <f t="shared" si="211"/>
        <v/>
      </c>
      <c r="Z427" s="43" t="str">
        <f t="shared" si="211"/>
        <v/>
      </c>
      <c r="AA427" s="43" t="str">
        <f t="shared" si="211"/>
        <v/>
      </c>
      <c r="AB427" s="43" t="str">
        <f t="shared" ref="AB427:AK436" si="212">IF($D427=AB$6,$B427&amp;", ","")</f>
        <v/>
      </c>
      <c r="AC427" s="43" t="str">
        <f t="shared" si="212"/>
        <v/>
      </c>
      <c r="AD427" s="43" t="str">
        <f t="shared" si="212"/>
        <v/>
      </c>
      <c r="AE427" s="43" t="str">
        <f t="shared" si="212"/>
        <v/>
      </c>
      <c r="AF427" s="43" t="str">
        <f t="shared" si="212"/>
        <v/>
      </c>
      <c r="AG427" s="43" t="str">
        <f t="shared" si="212"/>
        <v/>
      </c>
      <c r="AH427" s="43" t="str">
        <f t="shared" si="212"/>
        <v/>
      </c>
      <c r="AI427" s="43" t="str">
        <f t="shared" si="212"/>
        <v/>
      </c>
      <c r="AJ427" s="43" t="str">
        <f t="shared" si="212"/>
        <v/>
      </c>
      <c r="AK427" s="43" t="str">
        <f t="shared" si="212"/>
        <v/>
      </c>
      <c r="AL427" s="43" t="str">
        <f t="shared" ref="AL427:AU436" si="213">IF($D427=AL$6,$B427&amp;", ","")</f>
        <v/>
      </c>
      <c r="AM427" s="43" t="str">
        <f t="shared" si="213"/>
        <v/>
      </c>
      <c r="AN427" s="43" t="str">
        <f t="shared" si="213"/>
        <v/>
      </c>
      <c r="AO427" s="43" t="str">
        <f t="shared" si="213"/>
        <v/>
      </c>
      <c r="AP427" s="43" t="str">
        <f t="shared" si="213"/>
        <v/>
      </c>
      <c r="AQ427" s="43" t="str">
        <f t="shared" si="213"/>
        <v/>
      </c>
      <c r="AR427" s="43" t="str">
        <f t="shared" si="213"/>
        <v/>
      </c>
      <c r="AS427" s="43" t="str">
        <f t="shared" si="213"/>
        <v/>
      </c>
      <c r="AT427" s="43" t="str">
        <f t="shared" si="213"/>
        <v/>
      </c>
      <c r="AU427" s="43" t="str">
        <f t="shared" si="213"/>
        <v/>
      </c>
      <c r="AV427" s="43" t="str">
        <f t="shared" ref="AV427:BA436" si="214">IF($D427=AV$6,$B427&amp;", ","")</f>
        <v/>
      </c>
      <c r="AW427" s="43" t="str">
        <f t="shared" si="214"/>
        <v/>
      </c>
      <c r="AX427" s="43" t="str">
        <f t="shared" si="214"/>
        <v/>
      </c>
      <c r="AY427" s="43" t="str">
        <f t="shared" si="214"/>
        <v/>
      </c>
      <c r="AZ427" s="43" t="str">
        <f t="shared" si="214"/>
        <v/>
      </c>
      <c r="BA427" s="43" t="str">
        <f t="shared" si="214"/>
        <v/>
      </c>
      <c r="BB427" s="43"/>
      <c r="BC427" s="43"/>
      <c r="BD427" s="43"/>
      <c r="BE427" s="43"/>
      <c r="BF427" s="43"/>
      <c r="BG427" s="43"/>
      <c r="BW427" s="1250"/>
    </row>
    <row r="428" spans="1:75" x14ac:dyDescent="0.25">
      <c r="A428" s="1251"/>
      <c r="B428" s="462">
        <v>422</v>
      </c>
      <c r="C428" s="462"/>
      <c r="D428" s="1244"/>
      <c r="E428" s="1050"/>
      <c r="F428" s="1244"/>
      <c r="H428" s="43" t="str">
        <f t="shared" si="210"/>
        <v/>
      </c>
      <c r="I428" s="43" t="str">
        <f t="shared" si="210"/>
        <v/>
      </c>
      <c r="J428" s="43" t="str">
        <f t="shared" si="210"/>
        <v/>
      </c>
      <c r="K428" s="43" t="str">
        <f t="shared" si="210"/>
        <v/>
      </c>
      <c r="L428" s="43" t="str">
        <f t="shared" si="210"/>
        <v/>
      </c>
      <c r="M428" s="43" t="str">
        <f t="shared" si="210"/>
        <v/>
      </c>
      <c r="N428" s="43" t="str">
        <f t="shared" si="210"/>
        <v/>
      </c>
      <c r="O428" s="43" t="str">
        <f t="shared" si="210"/>
        <v/>
      </c>
      <c r="P428" s="43" t="str">
        <f t="shared" si="210"/>
        <v/>
      </c>
      <c r="Q428" s="43" t="str">
        <f t="shared" si="210"/>
        <v/>
      </c>
      <c r="R428" s="43" t="str">
        <f t="shared" si="211"/>
        <v/>
      </c>
      <c r="S428" s="43" t="str">
        <f t="shared" si="211"/>
        <v/>
      </c>
      <c r="T428" s="43" t="str">
        <f t="shared" si="211"/>
        <v/>
      </c>
      <c r="U428" s="43" t="str">
        <f t="shared" si="211"/>
        <v/>
      </c>
      <c r="V428" s="43" t="str">
        <f t="shared" si="211"/>
        <v/>
      </c>
      <c r="W428" s="43" t="str">
        <f t="shared" si="211"/>
        <v/>
      </c>
      <c r="X428" s="43" t="str">
        <f t="shared" si="211"/>
        <v/>
      </c>
      <c r="Y428" s="43" t="str">
        <f t="shared" si="211"/>
        <v/>
      </c>
      <c r="Z428" s="43" t="str">
        <f t="shared" si="211"/>
        <v/>
      </c>
      <c r="AA428" s="43" t="str">
        <f t="shared" si="211"/>
        <v/>
      </c>
      <c r="AB428" s="43" t="str">
        <f t="shared" si="212"/>
        <v/>
      </c>
      <c r="AC428" s="43" t="str">
        <f t="shared" si="212"/>
        <v/>
      </c>
      <c r="AD428" s="43" t="str">
        <f t="shared" si="212"/>
        <v/>
      </c>
      <c r="AE428" s="43" t="str">
        <f t="shared" si="212"/>
        <v/>
      </c>
      <c r="AF428" s="43" t="str">
        <f t="shared" si="212"/>
        <v/>
      </c>
      <c r="AG428" s="43" t="str">
        <f t="shared" si="212"/>
        <v/>
      </c>
      <c r="AH428" s="43" t="str">
        <f t="shared" si="212"/>
        <v/>
      </c>
      <c r="AI428" s="43" t="str">
        <f t="shared" si="212"/>
        <v/>
      </c>
      <c r="AJ428" s="43" t="str">
        <f t="shared" si="212"/>
        <v/>
      </c>
      <c r="AK428" s="43" t="str">
        <f t="shared" si="212"/>
        <v/>
      </c>
      <c r="AL428" s="43" t="str">
        <f t="shared" si="213"/>
        <v/>
      </c>
      <c r="AM428" s="43" t="str">
        <f t="shared" si="213"/>
        <v/>
      </c>
      <c r="AN428" s="43" t="str">
        <f t="shared" si="213"/>
        <v/>
      </c>
      <c r="AO428" s="43" t="str">
        <f t="shared" si="213"/>
        <v/>
      </c>
      <c r="AP428" s="43" t="str">
        <f t="shared" si="213"/>
        <v/>
      </c>
      <c r="AQ428" s="43" t="str">
        <f t="shared" si="213"/>
        <v/>
      </c>
      <c r="AR428" s="43" t="str">
        <f t="shared" si="213"/>
        <v/>
      </c>
      <c r="AS428" s="43" t="str">
        <f t="shared" si="213"/>
        <v/>
      </c>
      <c r="AT428" s="43" t="str">
        <f t="shared" si="213"/>
        <v/>
      </c>
      <c r="AU428" s="43" t="str">
        <f t="shared" si="213"/>
        <v/>
      </c>
      <c r="AV428" s="43" t="str">
        <f t="shared" si="214"/>
        <v/>
      </c>
      <c r="AW428" s="43" t="str">
        <f t="shared" si="214"/>
        <v/>
      </c>
      <c r="AX428" s="43" t="str">
        <f t="shared" si="214"/>
        <v/>
      </c>
      <c r="AY428" s="43" t="str">
        <f t="shared" si="214"/>
        <v/>
      </c>
      <c r="AZ428" s="43" t="str">
        <f t="shared" si="214"/>
        <v/>
      </c>
      <c r="BA428" s="43" t="str">
        <f t="shared" si="214"/>
        <v/>
      </c>
      <c r="BB428" s="43"/>
      <c r="BC428" s="43"/>
      <c r="BD428" s="43"/>
      <c r="BE428" s="43"/>
      <c r="BF428" s="43"/>
      <c r="BG428" s="43"/>
      <c r="BW428" s="1250"/>
    </row>
    <row r="429" spans="1:75" x14ac:dyDescent="0.25">
      <c r="A429" s="1251"/>
      <c r="B429" s="462">
        <v>423</v>
      </c>
      <c r="C429" s="462"/>
      <c r="D429" s="1244"/>
      <c r="E429" s="1050"/>
      <c r="F429" s="1244"/>
      <c r="H429" s="43" t="str">
        <f t="shared" si="210"/>
        <v/>
      </c>
      <c r="I429" s="43" t="str">
        <f t="shared" si="210"/>
        <v/>
      </c>
      <c r="J429" s="43" t="str">
        <f t="shared" si="210"/>
        <v/>
      </c>
      <c r="K429" s="43" t="str">
        <f t="shared" si="210"/>
        <v/>
      </c>
      <c r="L429" s="43" t="str">
        <f t="shared" si="210"/>
        <v/>
      </c>
      <c r="M429" s="43" t="str">
        <f t="shared" si="210"/>
        <v/>
      </c>
      <c r="N429" s="43" t="str">
        <f t="shared" si="210"/>
        <v/>
      </c>
      <c r="O429" s="43" t="str">
        <f t="shared" si="210"/>
        <v/>
      </c>
      <c r="P429" s="43" t="str">
        <f t="shared" si="210"/>
        <v/>
      </c>
      <c r="Q429" s="43" t="str">
        <f t="shared" si="210"/>
        <v/>
      </c>
      <c r="R429" s="43" t="str">
        <f t="shared" si="211"/>
        <v/>
      </c>
      <c r="S429" s="43" t="str">
        <f t="shared" si="211"/>
        <v/>
      </c>
      <c r="T429" s="43" t="str">
        <f t="shared" si="211"/>
        <v/>
      </c>
      <c r="U429" s="43" t="str">
        <f t="shared" si="211"/>
        <v/>
      </c>
      <c r="V429" s="43" t="str">
        <f t="shared" si="211"/>
        <v/>
      </c>
      <c r="W429" s="43" t="str">
        <f t="shared" si="211"/>
        <v/>
      </c>
      <c r="X429" s="43" t="str">
        <f t="shared" si="211"/>
        <v/>
      </c>
      <c r="Y429" s="43" t="str">
        <f t="shared" si="211"/>
        <v/>
      </c>
      <c r="Z429" s="43" t="str">
        <f t="shared" si="211"/>
        <v/>
      </c>
      <c r="AA429" s="43" t="str">
        <f t="shared" si="211"/>
        <v/>
      </c>
      <c r="AB429" s="43" t="str">
        <f t="shared" si="212"/>
        <v/>
      </c>
      <c r="AC429" s="43" t="str">
        <f t="shared" si="212"/>
        <v/>
      </c>
      <c r="AD429" s="43" t="str">
        <f t="shared" si="212"/>
        <v/>
      </c>
      <c r="AE429" s="43" t="str">
        <f t="shared" si="212"/>
        <v/>
      </c>
      <c r="AF429" s="43" t="str">
        <f t="shared" si="212"/>
        <v/>
      </c>
      <c r="AG429" s="43" t="str">
        <f t="shared" si="212"/>
        <v/>
      </c>
      <c r="AH429" s="43" t="str">
        <f t="shared" si="212"/>
        <v/>
      </c>
      <c r="AI429" s="43" t="str">
        <f t="shared" si="212"/>
        <v/>
      </c>
      <c r="AJ429" s="43" t="str">
        <f t="shared" si="212"/>
        <v/>
      </c>
      <c r="AK429" s="43" t="str">
        <f t="shared" si="212"/>
        <v/>
      </c>
      <c r="AL429" s="43" t="str">
        <f t="shared" si="213"/>
        <v/>
      </c>
      <c r="AM429" s="43" t="str">
        <f t="shared" si="213"/>
        <v/>
      </c>
      <c r="AN429" s="43" t="str">
        <f t="shared" si="213"/>
        <v/>
      </c>
      <c r="AO429" s="43" t="str">
        <f t="shared" si="213"/>
        <v/>
      </c>
      <c r="AP429" s="43" t="str">
        <f t="shared" si="213"/>
        <v/>
      </c>
      <c r="AQ429" s="43" t="str">
        <f t="shared" si="213"/>
        <v/>
      </c>
      <c r="AR429" s="43" t="str">
        <f t="shared" si="213"/>
        <v/>
      </c>
      <c r="AS429" s="43" t="str">
        <f t="shared" si="213"/>
        <v/>
      </c>
      <c r="AT429" s="43" t="str">
        <f t="shared" si="213"/>
        <v/>
      </c>
      <c r="AU429" s="43" t="str">
        <f t="shared" si="213"/>
        <v/>
      </c>
      <c r="AV429" s="43" t="str">
        <f t="shared" si="214"/>
        <v/>
      </c>
      <c r="AW429" s="43" t="str">
        <f t="shared" si="214"/>
        <v/>
      </c>
      <c r="AX429" s="43" t="str">
        <f t="shared" si="214"/>
        <v/>
      </c>
      <c r="AY429" s="43" t="str">
        <f t="shared" si="214"/>
        <v/>
      </c>
      <c r="AZ429" s="43" t="str">
        <f t="shared" si="214"/>
        <v/>
      </c>
      <c r="BA429" s="43" t="str">
        <f t="shared" si="214"/>
        <v/>
      </c>
      <c r="BB429" s="43"/>
      <c r="BC429" s="43"/>
      <c r="BD429" s="43"/>
      <c r="BE429" s="43"/>
      <c r="BF429" s="43"/>
      <c r="BG429" s="43"/>
      <c r="BW429" s="1250"/>
    </row>
    <row r="430" spans="1:75" x14ac:dyDescent="0.25">
      <c r="A430" s="1251"/>
      <c r="B430" s="462">
        <v>424</v>
      </c>
      <c r="C430" s="462"/>
      <c r="D430" s="1244"/>
      <c r="E430" s="1050"/>
      <c r="F430" s="1244"/>
      <c r="H430" s="43" t="str">
        <f t="shared" si="210"/>
        <v/>
      </c>
      <c r="I430" s="43" t="str">
        <f t="shared" si="210"/>
        <v/>
      </c>
      <c r="J430" s="43" t="str">
        <f t="shared" si="210"/>
        <v/>
      </c>
      <c r="K430" s="43" t="str">
        <f t="shared" si="210"/>
        <v/>
      </c>
      <c r="L430" s="43" t="str">
        <f t="shared" si="210"/>
        <v/>
      </c>
      <c r="M430" s="43" t="str">
        <f t="shared" si="210"/>
        <v/>
      </c>
      <c r="N430" s="43" t="str">
        <f t="shared" si="210"/>
        <v/>
      </c>
      <c r="O430" s="43" t="str">
        <f t="shared" si="210"/>
        <v/>
      </c>
      <c r="P430" s="43" t="str">
        <f t="shared" si="210"/>
        <v/>
      </c>
      <c r="Q430" s="43" t="str">
        <f t="shared" si="210"/>
        <v/>
      </c>
      <c r="R430" s="43" t="str">
        <f t="shared" si="211"/>
        <v/>
      </c>
      <c r="S430" s="43" t="str">
        <f t="shared" si="211"/>
        <v/>
      </c>
      <c r="T430" s="43" t="str">
        <f t="shared" si="211"/>
        <v/>
      </c>
      <c r="U430" s="43" t="str">
        <f t="shared" si="211"/>
        <v/>
      </c>
      <c r="V430" s="43" t="str">
        <f t="shared" si="211"/>
        <v/>
      </c>
      <c r="W430" s="43" t="str">
        <f t="shared" si="211"/>
        <v/>
      </c>
      <c r="X430" s="43" t="str">
        <f t="shared" si="211"/>
        <v/>
      </c>
      <c r="Y430" s="43" t="str">
        <f t="shared" si="211"/>
        <v/>
      </c>
      <c r="Z430" s="43" t="str">
        <f t="shared" si="211"/>
        <v/>
      </c>
      <c r="AA430" s="43" t="str">
        <f t="shared" si="211"/>
        <v/>
      </c>
      <c r="AB430" s="43" t="str">
        <f t="shared" si="212"/>
        <v/>
      </c>
      <c r="AC430" s="43" t="str">
        <f t="shared" si="212"/>
        <v/>
      </c>
      <c r="AD430" s="43" t="str">
        <f t="shared" si="212"/>
        <v/>
      </c>
      <c r="AE430" s="43" t="str">
        <f t="shared" si="212"/>
        <v/>
      </c>
      <c r="AF430" s="43" t="str">
        <f t="shared" si="212"/>
        <v/>
      </c>
      <c r="AG430" s="43" t="str">
        <f t="shared" si="212"/>
        <v/>
      </c>
      <c r="AH430" s="43" t="str">
        <f t="shared" si="212"/>
        <v/>
      </c>
      <c r="AI430" s="43" t="str">
        <f t="shared" si="212"/>
        <v/>
      </c>
      <c r="AJ430" s="43" t="str">
        <f t="shared" si="212"/>
        <v/>
      </c>
      <c r="AK430" s="43" t="str">
        <f t="shared" si="212"/>
        <v/>
      </c>
      <c r="AL430" s="43" t="str">
        <f t="shared" si="213"/>
        <v/>
      </c>
      <c r="AM430" s="43" t="str">
        <f t="shared" si="213"/>
        <v/>
      </c>
      <c r="AN430" s="43" t="str">
        <f t="shared" si="213"/>
        <v/>
      </c>
      <c r="AO430" s="43" t="str">
        <f t="shared" si="213"/>
        <v/>
      </c>
      <c r="AP430" s="43" t="str">
        <f t="shared" si="213"/>
        <v/>
      </c>
      <c r="AQ430" s="43" t="str">
        <f t="shared" si="213"/>
        <v/>
      </c>
      <c r="AR430" s="43" t="str">
        <f t="shared" si="213"/>
        <v/>
      </c>
      <c r="AS430" s="43" t="str">
        <f t="shared" si="213"/>
        <v/>
      </c>
      <c r="AT430" s="43" t="str">
        <f t="shared" si="213"/>
        <v/>
      </c>
      <c r="AU430" s="43" t="str">
        <f t="shared" si="213"/>
        <v/>
      </c>
      <c r="AV430" s="43" t="str">
        <f t="shared" si="214"/>
        <v/>
      </c>
      <c r="AW430" s="43" t="str">
        <f t="shared" si="214"/>
        <v/>
      </c>
      <c r="AX430" s="43" t="str">
        <f t="shared" si="214"/>
        <v/>
      </c>
      <c r="AY430" s="43" t="str">
        <f t="shared" si="214"/>
        <v/>
      </c>
      <c r="AZ430" s="43" t="str">
        <f t="shared" si="214"/>
        <v/>
      </c>
      <c r="BA430" s="43" t="str">
        <f t="shared" si="214"/>
        <v/>
      </c>
      <c r="BB430" s="43"/>
      <c r="BC430" s="43"/>
      <c r="BD430" s="43"/>
      <c r="BE430" s="43"/>
      <c r="BF430" s="43"/>
      <c r="BG430" s="43"/>
      <c r="BW430" s="1250"/>
    </row>
    <row r="431" spans="1:75" x14ac:dyDescent="0.25">
      <c r="A431" s="1251"/>
      <c r="B431" s="462">
        <v>425</v>
      </c>
      <c r="C431" s="462"/>
      <c r="D431" s="1244"/>
      <c r="E431" s="1050"/>
      <c r="F431" s="1244"/>
      <c r="H431" s="43" t="str">
        <f t="shared" si="210"/>
        <v/>
      </c>
      <c r="I431" s="43" t="str">
        <f t="shared" si="210"/>
        <v/>
      </c>
      <c r="J431" s="43" t="str">
        <f t="shared" si="210"/>
        <v/>
      </c>
      <c r="K431" s="43" t="str">
        <f t="shared" si="210"/>
        <v/>
      </c>
      <c r="L431" s="43" t="str">
        <f t="shared" si="210"/>
        <v/>
      </c>
      <c r="M431" s="43" t="str">
        <f t="shared" si="210"/>
        <v/>
      </c>
      <c r="N431" s="43" t="str">
        <f t="shared" si="210"/>
        <v/>
      </c>
      <c r="O431" s="43" t="str">
        <f t="shared" si="210"/>
        <v/>
      </c>
      <c r="P431" s="43" t="str">
        <f t="shared" si="210"/>
        <v/>
      </c>
      <c r="Q431" s="43" t="str">
        <f t="shared" si="210"/>
        <v/>
      </c>
      <c r="R431" s="43" t="str">
        <f t="shared" si="211"/>
        <v/>
      </c>
      <c r="S431" s="43" t="str">
        <f t="shared" si="211"/>
        <v/>
      </c>
      <c r="T431" s="43" t="str">
        <f t="shared" si="211"/>
        <v/>
      </c>
      <c r="U431" s="43" t="str">
        <f t="shared" si="211"/>
        <v/>
      </c>
      <c r="V431" s="43" t="str">
        <f t="shared" si="211"/>
        <v/>
      </c>
      <c r="W431" s="43" t="str">
        <f t="shared" si="211"/>
        <v/>
      </c>
      <c r="X431" s="43" t="str">
        <f t="shared" si="211"/>
        <v/>
      </c>
      <c r="Y431" s="43" t="str">
        <f t="shared" si="211"/>
        <v/>
      </c>
      <c r="Z431" s="43" t="str">
        <f t="shared" si="211"/>
        <v/>
      </c>
      <c r="AA431" s="43" t="str">
        <f t="shared" si="211"/>
        <v/>
      </c>
      <c r="AB431" s="43" t="str">
        <f t="shared" si="212"/>
        <v/>
      </c>
      <c r="AC431" s="43" t="str">
        <f t="shared" si="212"/>
        <v/>
      </c>
      <c r="AD431" s="43" t="str">
        <f t="shared" si="212"/>
        <v/>
      </c>
      <c r="AE431" s="43" t="str">
        <f t="shared" si="212"/>
        <v/>
      </c>
      <c r="AF431" s="43" t="str">
        <f t="shared" si="212"/>
        <v/>
      </c>
      <c r="AG431" s="43" t="str">
        <f t="shared" si="212"/>
        <v/>
      </c>
      <c r="AH431" s="43" t="str">
        <f t="shared" si="212"/>
        <v/>
      </c>
      <c r="AI431" s="43" t="str">
        <f t="shared" si="212"/>
        <v/>
      </c>
      <c r="AJ431" s="43" t="str">
        <f t="shared" si="212"/>
        <v/>
      </c>
      <c r="AK431" s="43" t="str">
        <f t="shared" si="212"/>
        <v/>
      </c>
      <c r="AL431" s="43" t="str">
        <f t="shared" si="213"/>
        <v/>
      </c>
      <c r="AM431" s="43" t="str">
        <f t="shared" si="213"/>
        <v/>
      </c>
      <c r="AN431" s="43" t="str">
        <f t="shared" si="213"/>
        <v/>
      </c>
      <c r="AO431" s="43" t="str">
        <f t="shared" si="213"/>
        <v/>
      </c>
      <c r="AP431" s="43" t="str">
        <f t="shared" si="213"/>
        <v/>
      </c>
      <c r="AQ431" s="43" t="str">
        <f t="shared" si="213"/>
        <v/>
      </c>
      <c r="AR431" s="43" t="str">
        <f t="shared" si="213"/>
        <v/>
      </c>
      <c r="AS431" s="43" t="str">
        <f t="shared" si="213"/>
        <v/>
      </c>
      <c r="AT431" s="43" t="str">
        <f t="shared" si="213"/>
        <v/>
      </c>
      <c r="AU431" s="43" t="str">
        <f t="shared" si="213"/>
        <v/>
      </c>
      <c r="AV431" s="43" t="str">
        <f t="shared" si="214"/>
        <v/>
      </c>
      <c r="AW431" s="43" t="str">
        <f t="shared" si="214"/>
        <v/>
      </c>
      <c r="AX431" s="43" t="str">
        <f t="shared" si="214"/>
        <v/>
      </c>
      <c r="AY431" s="43" t="str">
        <f t="shared" si="214"/>
        <v/>
      </c>
      <c r="AZ431" s="43" t="str">
        <f t="shared" si="214"/>
        <v/>
      </c>
      <c r="BA431" s="43" t="str">
        <f t="shared" si="214"/>
        <v/>
      </c>
      <c r="BB431" s="43"/>
      <c r="BC431" s="43"/>
      <c r="BD431" s="43"/>
      <c r="BE431" s="43"/>
      <c r="BF431" s="43"/>
      <c r="BG431" s="43"/>
      <c r="BW431" s="1250"/>
    </row>
    <row r="432" spans="1:75" x14ac:dyDescent="0.25">
      <c r="A432" s="1251"/>
      <c r="B432" s="462">
        <v>426</v>
      </c>
      <c r="C432" s="462"/>
      <c r="D432" s="1244"/>
      <c r="E432" s="1050"/>
      <c r="F432" s="1244"/>
      <c r="H432" s="43" t="str">
        <f t="shared" si="210"/>
        <v/>
      </c>
      <c r="I432" s="43" t="str">
        <f t="shared" si="210"/>
        <v/>
      </c>
      <c r="J432" s="43" t="str">
        <f t="shared" si="210"/>
        <v/>
      </c>
      <c r="K432" s="43" t="str">
        <f t="shared" si="210"/>
        <v/>
      </c>
      <c r="L432" s="43" t="str">
        <f t="shared" si="210"/>
        <v/>
      </c>
      <c r="M432" s="43" t="str">
        <f t="shared" si="210"/>
        <v/>
      </c>
      <c r="N432" s="43" t="str">
        <f t="shared" si="210"/>
        <v/>
      </c>
      <c r="O432" s="43" t="str">
        <f t="shared" si="210"/>
        <v/>
      </c>
      <c r="P432" s="43" t="str">
        <f t="shared" si="210"/>
        <v/>
      </c>
      <c r="Q432" s="43" t="str">
        <f t="shared" si="210"/>
        <v/>
      </c>
      <c r="R432" s="43" t="str">
        <f t="shared" si="211"/>
        <v/>
      </c>
      <c r="S432" s="43" t="str">
        <f t="shared" si="211"/>
        <v/>
      </c>
      <c r="T432" s="43" t="str">
        <f t="shared" si="211"/>
        <v/>
      </c>
      <c r="U432" s="43" t="str">
        <f t="shared" si="211"/>
        <v/>
      </c>
      <c r="V432" s="43" t="str">
        <f t="shared" si="211"/>
        <v/>
      </c>
      <c r="W432" s="43" t="str">
        <f t="shared" si="211"/>
        <v/>
      </c>
      <c r="X432" s="43" t="str">
        <f t="shared" si="211"/>
        <v/>
      </c>
      <c r="Y432" s="43" t="str">
        <f t="shared" si="211"/>
        <v/>
      </c>
      <c r="Z432" s="43" t="str">
        <f t="shared" si="211"/>
        <v/>
      </c>
      <c r="AA432" s="43" t="str">
        <f t="shared" si="211"/>
        <v/>
      </c>
      <c r="AB432" s="43" t="str">
        <f t="shared" si="212"/>
        <v/>
      </c>
      <c r="AC432" s="43" t="str">
        <f t="shared" si="212"/>
        <v/>
      </c>
      <c r="AD432" s="43" t="str">
        <f t="shared" si="212"/>
        <v/>
      </c>
      <c r="AE432" s="43" t="str">
        <f t="shared" si="212"/>
        <v/>
      </c>
      <c r="AF432" s="43" t="str">
        <f t="shared" si="212"/>
        <v/>
      </c>
      <c r="AG432" s="43" t="str">
        <f t="shared" si="212"/>
        <v/>
      </c>
      <c r="AH432" s="43" t="str">
        <f t="shared" si="212"/>
        <v/>
      </c>
      <c r="AI432" s="43" t="str">
        <f t="shared" si="212"/>
        <v/>
      </c>
      <c r="AJ432" s="43" t="str">
        <f t="shared" si="212"/>
        <v/>
      </c>
      <c r="AK432" s="43" t="str">
        <f t="shared" si="212"/>
        <v/>
      </c>
      <c r="AL432" s="43" t="str">
        <f t="shared" si="213"/>
        <v/>
      </c>
      <c r="AM432" s="43" t="str">
        <f t="shared" si="213"/>
        <v/>
      </c>
      <c r="AN432" s="43" t="str">
        <f t="shared" si="213"/>
        <v/>
      </c>
      <c r="AO432" s="43" t="str">
        <f t="shared" si="213"/>
        <v/>
      </c>
      <c r="AP432" s="43" t="str">
        <f t="shared" si="213"/>
        <v/>
      </c>
      <c r="AQ432" s="43" t="str">
        <f t="shared" si="213"/>
        <v/>
      </c>
      <c r="AR432" s="43" t="str">
        <f t="shared" si="213"/>
        <v/>
      </c>
      <c r="AS432" s="43" t="str">
        <f t="shared" si="213"/>
        <v/>
      </c>
      <c r="AT432" s="43" t="str">
        <f t="shared" si="213"/>
        <v/>
      </c>
      <c r="AU432" s="43" t="str">
        <f t="shared" si="213"/>
        <v/>
      </c>
      <c r="AV432" s="43" t="str">
        <f t="shared" si="214"/>
        <v/>
      </c>
      <c r="AW432" s="43" t="str">
        <f t="shared" si="214"/>
        <v/>
      </c>
      <c r="AX432" s="43" t="str">
        <f t="shared" si="214"/>
        <v/>
      </c>
      <c r="AY432" s="43" t="str">
        <f t="shared" si="214"/>
        <v/>
      </c>
      <c r="AZ432" s="43" t="str">
        <f t="shared" si="214"/>
        <v/>
      </c>
      <c r="BA432" s="43" t="str">
        <f t="shared" si="214"/>
        <v/>
      </c>
      <c r="BB432" s="43"/>
      <c r="BC432" s="43"/>
      <c r="BD432" s="43"/>
      <c r="BE432" s="43"/>
      <c r="BF432" s="43"/>
      <c r="BG432" s="43"/>
      <c r="BW432" s="1250"/>
    </row>
    <row r="433" spans="1:75" x14ac:dyDescent="0.25">
      <c r="A433" s="1251"/>
      <c r="B433" s="462">
        <v>427</v>
      </c>
      <c r="C433" s="462"/>
      <c r="D433" s="1244"/>
      <c r="E433" s="1050"/>
      <c r="F433" s="1244"/>
      <c r="H433" s="43" t="str">
        <f t="shared" si="210"/>
        <v/>
      </c>
      <c r="I433" s="43" t="str">
        <f t="shared" si="210"/>
        <v/>
      </c>
      <c r="J433" s="43" t="str">
        <f t="shared" si="210"/>
        <v/>
      </c>
      <c r="K433" s="43" t="str">
        <f t="shared" si="210"/>
        <v/>
      </c>
      <c r="L433" s="43" t="str">
        <f t="shared" si="210"/>
        <v/>
      </c>
      <c r="M433" s="43" t="str">
        <f t="shared" si="210"/>
        <v/>
      </c>
      <c r="N433" s="43" t="str">
        <f t="shared" si="210"/>
        <v/>
      </c>
      <c r="O433" s="43" t="str">
        <f t="shared" si="210"/>
        <v/>
      </c>
      <c r="P433" s="43" t="str">
        <f t="shared" si="210"/>
        <v/>
      </c>
      <c r="Q433" s="43" t="str">
        <f t="shared" si="210"/>
        <v/>
      </c>
      <c r="R433" s="43" t="str">
        <f t="shared" si="211"/>
        <v/>
      </c>
      <c r="S433" s="43" t="str">
        <f t="shared" si="211"/>
        <v/>
      </c>
      <c r="T433" s="43" t="str">
        <f t="shared" si="211"/>
        <v/>
      </c>
      <c r="U433" s="43" t="str">
        <f t="shared" si="211"/>
        <v/>
      </c>
      <c r="V433" s="43" t="str">
        <f t="shared" si="211"/>
        <v/>
      </c>
      <c r="W433" s="43" t="str">
        <f t="shared" si="211"/>
        <v/>
      </c>
      <c r="X433" s="43" t="str">
        <f t="shared" si="211"/>
        <v/>
      </c>
      <c r="Y433" s="43" t="str">
        <f t="shared" si="211"/>
        <v/>
      </c>
      <c r="Z433" s="43" t="str">
        <f t="shared" si="211"/>
        <v/>
      </c>
      <c r="AA433" s="43" t="str">
        <f t="shared" si="211"/>
        <v/>
      </c>
      <c r="AB433" s="43" t="str">
        <f t="shared" si="212"/>
        <v/>
      </c>
      <c r="AC433" s="43" t="str">
        <f t="shared" si="212"/>
        <v/>
      </c>
      <c r="AD433" s="43" t="str">
        <f t="shared" si="212"/>
        <v/>
      </c>
      <c r="AE433" s="43" t="str">
        <f t="shared" si="212"/>
        <v/>
      </c>
      <c r="AF433" s="43" t="str">
        <f t="shared" si="212"/>
        <v/>
      </c>
      <c r="AG433" s="43" t="str">
        <f t="shared" si="212"/>
        <v/>
      </c>
      <c r="AH433" s="43" t="str">
        <f t="shared" si="212"/>
        <v/>
      </c>
      <c r="AI433" s="43" t="str">
        <f t="shared" si="212"/>
        <v/>
      </c>
      <c r="AJ433" s="43" t="str">
        <f t="shared" si="212"/>
        <v/>
      </c>
      <c r="AK433" s="43" t="str">
        <f t="shared" si="212"/>
        <v/>
      </c>
      <c r="AL433" s="43" t="str">
        <f t="shared" si="213"/>
        <v/>
      </c>
      <c r="AM433" s="43" t="str">
        <f t="shared" si="213"/>
        <v/>
      </c>
      <c r="AN433" s="43" t="str">
        <f t="shared" si="213"/>
        <v/>
      </c>
      <c r="AO433" s="43" t="str">
        <f t="shared" si="213"/>
        <v/>
      </c>
      <c r="AP433" s="43" t="str">
        <f t="shared" si="213"/>
        <v/>
      </c>
      <c r="AQ433" s="43" t="str">
        <f t="shared" si="213"/>
        <v/>
      </c>
      <c r="AR433" s="43" t="str">
        <f t="shared" si="213"/>
        <v/>
      </c>
      <c r="AS433" s="43" t="str">
        <f t="shared" si="213"/>
        <v/>
      </c>
      <c r="AT433" s="43" t="str">
        <f t="shared" si="213"/>
        <v/>
      </c>
      <c r="AU433" s="43" t="str">
        <f t="shared" si="213"/>
        <v/>
      </c>
      <c r="AV433" s="43" t="str">
        <f t="shared" si="214"/>
        <v/>
      </c>
      <c r="AW433" s="43" t="str">
        <f t="shared" si="214"/>
        <v/>
      </c>
      <c r="AX433" s="43" t="str">
        <f t="shared" si="214"/>
        <v/>
      </c>
      <c r="AY433" s="43" t="str">
        <f t="shared" si="214"/>
        <v/>
      </c>
      <c r="AZ433" s="43" t="str">
        <f t="shared" si="214"/>
        <v/>
      </c>
      <c r="BA433" s="43" t="str">
        <f t="shared" si="214"/>
        <v/>
      </c>
      <c r="BB433" s="43"/>
      <c r="BC433" s="43"/>
      <c r="BD433" s="43"/>
      <c r="BE433" s="43"/>
      <c r="BF433" s="43"/>
      <c r="BG433" s="43"/>
      <c r="BW433" s="1250"/>
    </row>
    <row r="434" spans="1:75" x14ac:dyDescent="0.25">
      <c r="A434" s="1251"/>
      <c r="B434" s="462">
        <v>428</v>
      </c>
      <c r="C434" s="462"/>
      <c r="D434" s="1244"/>
      <c r="E434" s="1050"/>
      <c r="F434" s="1244"/>
      <c r="H434" s="43" t="str">
        <f t="shared" si="210"/>
        <v/>
      </c>
      <c r="I434" s="43" t="str">
        <f t="shared" si="210"/>
        <v/>
      </c>
      <c r="J434" s="43" t="str">
        <f t="shared" si="210"/>
        <v/>
      </c>
      <c r="K434" s="43" t="str">
        <f t="shared" si="210"/>
        <v/>
      </c>
      <c r="L434" s="43" t="str">
        <f t="shared" si="210"/>
        <v/>
      </c>
      <c r="M434" s="43" t="str">
        <f t="shared" si="210"/>
        <v/>
      </c>
      <c r="N434" s="43" t="str">
        <f t="shared" si="210"/>
        <v/>
      </c>
      <c r="O434" s="43" t="str">
        <f t="shared" si="210"/>
        <v/>
      </c>
      <c r="P434" s="43" t="str">
        <f t="shared" si="210"/>
        <v/>
      </c>
      <c r="Q434" s="43" t="str">
        <f t="shared" si="210"/>
        <v/>
      </c>
      <c r="R434" s="43" t="str">
        <f t="shared" si="211"/>
        <v/>
      </c>
      <c r="S434" s="43" t="str">
        <f t="shared" si="211"/>
        <v/>
      </c>
      <c r="T434" s="43" t="str">
        <f t="shared" si="211"/>
        <v/>
      </c>
      <c r="U434" s="43" t="str">
        <f t="shared" si="211"/>
        <v/>
      </c>
      <c r="V434" s="43" t="str">
        <f t="shared" si="211"/>
        <v/>
      </c>
      <c r="W434" s="43" t="str">
        <f t="shared" si="211"/>
        <v/>
      </c>
      <c r="X434" s="43" t="str">
        <f t="shared" si="211"/>
        <v/>
      </c>
      <c r="Y434" s="43" t="str">
        <f t="shared" si="211"/>
        <v/>
      </c>
      <c r="Z434" s="43" t="str">
        <f t="shared" si="211"/>
        <v/>
      </c>
      <c r="AA434" s="43" t="str">
        <f t="shared" si="211"/>
        <v/>
      </c>
      <c r="AB434" s="43" t="str">
        <f t="shared" si="212"/>
        <v/>
      </c>
      <c r="AC434" s="43" t="str">
        <f t="shared" si="212"/>
        <v/>
      </c>
      <c r="AD434" s="43" t="str">
        <f t="shared" si="212"/>
        <v/>
      </c>
      <c r="AE434" s="43" t="str">
        <f t="shared" si="212"/>
        <v/>
      </c>
      <c r="AF434" s="43" t="str">
        <f t="shared" si="212"/>
        <v/>
      </c>
      <c r="AG434" s="43" t="str">
        <f t="shared" si="212"/>
        <v/>
      </c>
      <c r="AH434" s="43" t="str">
        <f t="shared" si="212"/>
        <v/>
      </c>
      <c r="AI434" s="43" t="str">
        <f t="shared" si="212"/>
        <v/>
      </c>
      <c r="AJ434" s="43" t="str">
        <f t="shared" si="212"/>
        <v/>
      </c>
      <c r="AK434" s="43" t="str">
        <f t="shared" si="212"/>
        <v/>
      </c>
      <c r="AL434" s="43" t="str">
        <f t="shared" si="213"/>
        <v/>
      </c>
      <c r="AM434" s="43" t="str">
        <f t="shared" si="213"/>
        <v/>
      </c>
      <c r="AN434" s="43" t="str">
        <f t="shared" si="213"/>
        <v/>
      </c>
      <c r="AO434" s="43" t="str">
        <f t="shared" si="213"/>
        <v/>
      </c>
      <c r="AP434" s="43" t="str">
        <f t="shared" si="213"/>
        <v/>
      </c>
      <c r="AQ434" s="43" t="str">
        <f t="shared" si="213"/>
        <v/>
      </c>
      <c r="AR434" s="43" t="str">
        <f t="shared" si="213"/>
        <v/>
      </c>
      <c r="AS434" s="43" t="str">
        <f t="shared" si="213"/>
        <v/>
      </c>
      <c r="AT434" s="43" t="str">
        <f t="shared" si="213"/>
        <v/>
      </c>
      <c r="AU434" s="43" t="str">
        <f t="shared" si="213"/>
        <v/>
      </c>
      <c r="AV434" s="43" t="str">
        <f t="shared" si="214"/>
        <v/>
      </c>
      <c r="AW434" s="43" t="str">
        <f t="shared" si="214"/>
        <v/>
      </c>
      <c r="AX434" s="43" t="str">
        <f t="shared" si="214"/>
        <v/>
      </c>
      <c r="AY434" s="43" t="str">
        <f t="shared" si="214"/>
        <v/>
      </c>
      <c r="AZ434" s="43" t="str">
        <f t="shared" si="214"/>
        <v/>
      </c>
      <c r="BA434" s="43" t="str">
        <f t="shared" si="214"/>
        <v/>
      </c>
      <c r="BB434" s="43"/>
      <c r="BC434" s="43"/>
      <c r="BD434" s="43"/>
      <c r="BE434" s="43"/>
      <c r="BF434" s="43"/>
      <c r="BG434" s="43"/>
      <c r="BW434" s="1250"/>
    </row>
    <row r="435" spans="1:75" x14ac:dyDescent="0.25">
      <c r="A435" s="1251"/>
      <c r="B435" s="462">
        <v>429</v>
      </c>
      <c r="C435" s="462"/>
      <c r="D435" s="1244"/>
      <c r="E435" s="1050"/>
      <c r="F435" s="1244"/>
      <c r="H435" s="43" t="str">
        <f t="shared" si="210"/>
        <v/>
      </c>
      <c r="I435" s="43" t="str">
        <f t="shared" si="210"/>
        <v/>
      </c>
      <c r="J435" s="43" t="str">
        <f t="shared" si="210"/>
        <v/>
      </c>
      <c r="K435" s="43" t="str">
        <f t="shared" si="210"/>
        <v/>
      </c>
      <c r="L435" s="43" t="str">
        <f t="shared" si="210"/>
        <v/>
      </c>
      <c r="M435" s="43" t="str">
        <f t="shared" si="210"/>
        <v/>
      </c>
      <c r="N435" s="43" t="str">
        <f t="shared" si="210"/>
        <v/>
      </c>
      <c r="O435" s="43" t="str">
        <f t="shared" si="210"/>
        <v/>
      </c>
      <c r="P435" s="43" t="str">
        <f t="shared" si="210"/>
        <v/>
      </c>
      <c r="Q435" s="43" t="str">
        <f t="shared" si="210"/>
        <v/>
      </c>
      <c r="R435" s="43" t="str">
        <f t="shared" si="211"/>
        <v/>
      </c>
      <c r="S435" s="43" t="str">
        <f t="shared" si="211"/>
        <v/>
      </c>
      <c r="T435" s="43" t="str">
        <f t="shared" si="211"/>
        <v/>
      </c>
      <c r="U435" s="43" t="str">
        <f t="shared" si="211"/>
        <v/>
      </c>
      <c r="V435" s="43" t="str">
        <f t="shared" si="211"/>
        <v/>
      </c>
      <c r="W435" s="43" t="str">
        <f t="shared" si="211"/>
        <v/>
      </c>
      <c r="X435" s="43" t="str">
        <f t="shared" si="211"/>
        <v/>
      </c>
      <c r="Y435" s="43" t="str">
        <f t="shared" si="211"/>
        <v/>
      </c>
      <c r="Z435" s="43" t="str">
        <f t="shared" si="211"/>
        <v/>
      </c>
      <c r="AA435" s="43" t="str">
        <f t="shared" si="211"/>
        <v/>
      </c>
      <c r="AB435" s="43" t="str">
        <f t="shared" si="212"/>
        <v/>
      </c>
      <c r="AC435" s="43" t="str">
        <f t="shared" si="212"/>
        <v/>
      </c>
      <c r="AD435" s="43" t="str">
        <f t="shared" si="212"/>
        <v/>
      </c>
      <c r="AE435" s="43" t="str">
        <f t="shared" si="212"/>
        <v/>
      </c>
      <c r="AF435" s="43" t="str">
        <f t="shared" si="212"/>
        <v/>
      </c>
      <c r="AG435" s="43" t="str">
        <f t="shared" si="212"/>
        <v/>
      </c>
      <c r="AH435" s="43" t="str">
        <f t="shared" si="212"/>
        <v/>
      </c>
      <c r="AI435" s="43" t="str">
        <f t="shared" si="212"/>
        <v/>
      </c>
      <c r="AJ435" s="43" t="str">
        <f t="shared" si="212"/>
        <v/>
      </c>
      <c r="AK435" s="43" t="str">
        <f t="shared" si="212"/>
        <v/>
      </c>
      <c r="AL435" s="43" t="str">
        <f t="shared" si="213"/>
        <v/>
      </c>
      <c r="AM435" s="43" t="str">
        <f t="shared" si="213"/>
        <v/>
      </c>
      <c r="AN435" s="43" t="str">
        <f t="shared" si="213"/>
        <v/>
      </c>
      <c r="AO435" s="43" t="str">
        <f t="shared" si="213"/>
        <v/>
      </c>
      <c r="AP435" s="43" t="str">
        <f t="shared" si="213"/>
        <v/>
      </c>
      <c r="AQ435" s="43" t="str">
        <f t="shared" si="213"/>
        <v/>
      </c>
      <c r="AR435" s="43" t="str">
        <f t="shared" si="213"/>
        <v/>
      </c>
      <c r="AS435" s="43" t="str">
        <f t="shared" si="213"/>
        <v/>
      </c>
      <c r="AT435" s="43" t="str">
        <f t="shared" si="213"/>
        <v/>
      </c>
      <c r="AU435" s="43" t="str">
        <f t="shared" si="213"/>
        <v/>
      </c>
      <c r="AV435" s="43" t="str">
        <f t="shared" si="214"/>
        <v/>
      </c>
      <c r="AW435" s="43" t="str">
        <f t="shared" si="214"/>
        <v/>
      </c>
      <c r="AX435" s="43" t="str">
        <f t="shared" si="214"/>
        <v/>
      </c>
      <c r="AY435" s="43" t="str">
        <f t="shared" si="214"/>
        <v/>
      </c>
      <c r="AZ435" s="43" t="str">
        <f t="shared" si="214"/>
        <v/>
      </c>
      <c r="BA435" s="43" t="str">
        <f t="shared" si="214"/>
        <v/>
      </c>
      <c r="BB435" s="43"/>
      <c r="BC435" s="43"/>
      <c r="BD435" s="43"/>
      <c r="BE435" s="43"/>
      <c r="BF435" s="43"/>
      <c r="BG435" s="43"/>
      <c r="BW435" s="1250"/>
    </row>
    <row r="436" spans="1:75" x14ac:dyDescent="0.25">
      <c r="A436" s="1251"/>
      <c r="B436" s="462">
        <v>430</v>
      </c>
      <c r="C436" s="462"/>
      <c r="D436" s="1244"/>
      <c r="E436" s="1050"/>
      <c r="F436" s="1244"/>
      <c r="H436" s="43" t="str">
        <f t="shared" si="210"/>
        <v/>
      </c>
      <c r="I436" s="43" t="str">
        <f t="shared" si="210"/>
        <v/>
      </c>
      <c r="J436" s="43" t="str">
        <f t="shared" si="210"/>
        <v/>
      </c>
      <c r="K436" s="43" t="str">
        <f t="shared" si="210"/>
        <v/>
      </c>
      <c r="L436" s="43" t="str">
        <f t="shared" si="210"/>
        <v/>
      </c>
      <c r="M436" s="43" t="str">
        <f t="shared" si="210"/>
        <v/>
      </c>
      <c r="N436" s="43" t="str">
        <f t="shared" si="210"/>
        <v/>
      </c>
      <c r="O436" s="43" t="str">
        <f t="shared" si="210"/>
        <v/>
      </c>
      <c r="P436" s="43" t="str">
        <f t="shared" si="210"/>
        <v/>
      </c>
      <c r="Q436" s="43" t="str">
        <f t="shared" si="210"/>
        <v/>
      </c>
      <c r="R436" s="43" t="str">
        <f t="shared" si="211"/>
        <v/>
      </c>
      <c r="S436" s="43" t="str">
        <f t="shared" si="211"/>
        <v/>
      </c>
      <c r="T436" s="43" t="str">
        <f t="shared" si="211"/>
        <v/>
      </c>
      <c r="U436" s="43" t="str">
        <f t="shared" si="211"/>
        <v/>
      </c>
      <c r="V436" s="43" t="str">
        <f t="shared" si="211"/>
        <v/>
      </c>
      <c r="W436" s="43" t="str">
        <f t="shared" si="211"/>
        <v/>
      </c>
      <c r="X436" s="43" t="str">
        <f t="shared" si="211"/>
        <v/>
      </c>
      <c r="Y436" s="43" t="str">
        <f t="shared" si="211"/>
        <v/>
      </c>
      <c r="Z436" s="43" t="str">
        <f t="shared" si="211"/>
        <v/>
      </c>
      <c r="AA436" s="43" t="str">
        <f t="shared" si="211"/>
        <v/>
      </c>
      <c r="AB436" s="43" t="str">
        <f t="shared" si="212"/>
        <v/>
      </c>
      <c r="AC436" s="43" t="str">
        <f t="shared" si="212"/>
        <v/>
      </c>
      <c r="AD436" s="43" t="str">
        <f t="shared" si="212"/>
        <v/>
      </c>
      <c r="AE436" s="43" t="str">
        <f t="shared" si="212"/>
        <v/>
      </c>
      <c r="AF436" s="43" t="str">
        <f t="shared" si="212"/>
        <v/>
      </c>
      <c r="AG436" s="43" t="str">
        <f t="shared" si="212"/>
        <v/>
      </c>
      <c r="AH436" s="43" t="str">
        <f t="shared" si="212"/>
        <v/>
      </c>
      <c r="AI436" s="43" t="str">
        <f t="shared" si="212"/>
        <v/>
      </c>
      <c r="AJ436" s="43" t="str">
        <f t="shared" si="212"/>
        <v/>
      </c>
      <c r="AK436" s="43" t="str">
        <f t="shared" si="212"/>
        <v/>
      </c>
      <c r="AL436" s="43" t="str">
        <f t="shared" si="213"/>
        <v/>
      </c>
      <c r="AM436" s="43" t="str">
        <f t="shared" si="213"/>
        <v/>
      </c>
      <c r="AN436" s="43" t="str">
        <f t="shared" si="213"/>
        <v/>
      </c>
      <c r="AO436" s="43" t="str">
        <f t="shared" si="213"/>
        <v/>
      </c>
      <c r="AP436" s="43" t="str">
        <f t="shared" si="213"/>
        <v/>
      </c>
      <c r="AQ436" s="43" t="str">
        <f t="shared" si="213"/>
        <v/>
      </c>
      <c r="AR436" s="43" t="str">
        <f t="shared" si="213"/>
        <v/>
      </c>
      <c r="AS436" s="43" t="str">
        <f t="shared" si="213"/>
        <v/>
      </c>
      <c r="AT436" s="43" t="str">
        <f t="shared" si="213"/>
        <v/>
      </c>
      <c r="AU436" s="43" t="str">
        <f t="shared" si="213"/>
        <v/>
      </c>
      <c r="AV436" s="43" t="str">
        <f t="shared" si="214"/>
        <v/>
      </c>
      <c r="AW436" s="43" t="str">
        <f t="shared" si="214"/>
        <v/>
      </c>
      <c r="AX436" s="43" t="str">
        <f t="shared" si="214"/>
        <v/>
      </c>
      <c r="AY436" s="43" t="str">
        <f t="shared" si="214"/>
        <v/>
      </c>
      <c r="AZ436" s="43" t="str">
        <f t="shared" si="214"/>
        <v/>
      </c>
      <c r="BA436" s="43" t="str">
        <f t="shared" si="214"/>
        <v/>
      </c>
      <c r="BB436" s="43"/>
      <c r="BC436" s="43"/>
      <c r="BD436" s="43"/>
      <c r="BE436" s="43"/>
      <c r="BF436" s="43"/>
      <c r="BG436" s="43"/>
      <c r="BW436" s="1250"/>
    </row>
    <row r="437" spans="1:75" x14ac:dyDescent="0.25">
      <c r="A437" s="1251"/>
      <c r="B437" s="462">
        <v>431</v>
      </c>
      <c r="C437" s="462"/>
      <c r="D437" s="1244"/>
      <c r="E437" s="1050"/>
      <c r="F437" s="1244"/>
      <c r="H437" s="43" t="str">
        <f t="shared" ref="H437:Q446" si="215">IF($D437=H$6,$B437&amp;", ","")</f>
        <v/>
      </c>
      <c r="I437" s="43" t="str">
        <f t="shared" si="215"/>
        <v/>
      </c>
      <c r="J437" s="43" t="str">
        <f t="shared" si="215"/>
        <v/>
      </c>
      <c r="K437" s="43" t="str">
        <f t="shared" si="215"/>
        <v/>
      </c>
      <c r="L437" s="43" t="str">
        <f t="shared" si="215"/>
        <v/>
      </c>
      <c r="M437" s="43" t="str">
        <f t="shared" si="215"/>
        <v/>
      </c>
      <c r="N437" s="43" t="str">
        <f t="shared" si="215"/>
        <v/>
      </c>
      <c r="O437" s="43" t="str">
        <f t="shared" si="215"/>
        <v/>
      </c>
      <c r="P437" s="43" t="str">
        <f t="shared" si="215"/>
        <v/>
      </c>
      <c r="Q437" s="43" t="str">
        <f t="shared" si="215"/>
        <v/>
      </c>
      <c r="R437" s="43" t="str">
        <f t="shared" ref="R437:AA446" si="216">IF($D437=R$6,$B437&amp;", ","")</f>
        <v/>
      </c>
      <c r="S437" s="43" t="str">
        <f t="shared" si="216"/>
        <v/>
      </c>
      <c r="T437" s="43" t="str">
        <f t="shared" si="216"/>
        <v/>
      </c>
      <c r="U437" s="43" t="str">
        <f t="shared" si="216"/>
        <v/>
      </c>
      <c r="V437" s="43" t="str">
        <f t="shared" si="216"/>
        <v/>
      </c>
      <c r="W437" s="43" t="str">
        <f t="shared" si="216"/>
        <v/>
      </c>
      <c r="X437" s="43" t="str">
        <f t="shared" si="216"/>
        <v/>
      </c>
      <c r="Y437" s="43" t="str">
        <f t="shared" si="216"/>
        <v/>
      </c>
      <c r="Z437" s="43" t="str">
        <f t="shared" si="216"/>
        <v/>
      </c>
      <c r="AA437" s="43" t="str">
        <f t="shared" si="216"/>
        <v/>
      </c>
      <c r="AB437" s="43" t="str">
        <f t="shared" ref="AB437:AK446" si="217">IF($D437=AB$6,$B437&amp;", ","")</f>
        <v/>
      </c>
      <c r="AC437" s="43" t="str">
        <f t="shared" si="217"/>
        <v/>
      </c>
      <c r="AD437" s="43" t="str">
        <f t="shared" si="217"/>
        <v/>
      </c>
      <c r="AE437" s="43" t="str">
        <f t="shared" si="217"/>
        <v/>
      </c>
      <c r="AF437" s="43" t="str">
        <f t="shared" si="217"/>
        <v/>
      </c>
      <c r="AG437" s="43" t="str">
        <f t="shared" si="217"/>
        <v/>
      </c>
      <c r="AH437" s="43" t="str">
        <f t="shared" si="217"/>
        <v/>
      </c>
      <c r="AI437" s="43" t="str">
        <f t="shared" si="217"/>
        <v/>
      </c>
      <c r="AJ437" s="43" t="str">
        <f t="shared" si="217"/>
        <v/>
      </c>
      <c r="AK437" s="43" t="str">
        <f t="shared" si="217"/>
        <v/>
      </c>
      <c r="AL437" s="43" t="str">
        <f t="shared" ref="AL437:AU446" si="218">IF($D437=AL$6,$B437&amp;", ","")</f>
        <v/>
      </c>
      <c r="AM437" s="43" t="str">
        <f t="shared" si="218"/>
        <v/>
      </c>
      <c r="AN437" s="43" t="str">
        <f t="shared" si="218"/>
        <v/>
      </c>
      <c r="AO437" s="43" t="str">
        <f t="shared" si="218"/>
        <v/>
      </c>
      <c r="AP437" s="43" t="str">
        <f t="shared" si="218"/>
        <v/>
      </c>
      <c r="AQ437" s="43" t="str">
        <f t="shared" si="218"/>
        <v/>
      </c>
      <c r="AR437" s="43" t="str">
        <f t="shared" si="218"/>
        <v/>
      </c>
      <c r="AS437" s="43" t="str">
        <f t="shared" si="218"/>
        <v/>
      </c>
      <c r="AT437" s="43" t="str">
        <f t="shared" si="218"/>
        <v/>
      </c>
      <c r="AU437" s="43" t="str">
        <f t="shared" si="218"/>
        <v/>
      </c>
      <c r="AV437" s="43" t="str">
        <f t="shared" ref="AV437:BA446" si="219">IF($D437=AV$6,$B437&amp;", ","")</f>
        <v/>
      </c>
      <c r="AW437" s="43" t="str">
        <f t="shared" si="219"/>
        <v/>
      </c>
      <c r="AX437" s="43" t="str">
        <f t="shared" si="219"/>
        <v/>
      </c>
      <c r="AY437" s="43" t="str">
        <f t="shared" si="219"/>
        <v/>
      </c>
      <c r="AZ437" s="43" t="str">
        <f t="shared" si="219"/>
        <v/>
      </c>
      <c r="BA437" s="43" t="str">
        <f t="shared" si="219"/>
        <v/>
      </c>
      <c r="BB437" s="43"/>
      <c r="BC437" s="43"/>
      <c r="BD437" s="43"/>
      <c r="BE437" s="43"/>
      <c r="BF437" s="43"/>
      <c r="BG437" s="43"/>
      <c r="BW437" s="1250"/>
    </row>
    <row r="438" spans="1:75" x14ac:dyDescent="0.25">
      <c r="A438" s="1251"/>
      <c r="B438" s="462">
        <v>432</v>
      </c>
      <c r="C438" s="462"/>
      <c r="D438" s="1244"/>
      <c r="E438" s="1050"/>
      <c r="F438" s="1244"/>
      <c r="H438" s="43" t="str">
        <f t="shared" si="215"/>
        <v/>
      </c>
      <c r="I438" s="43" t="str">
        <f t="shared" si="215"/>
        <v/>
      </c>
      <c r="J438" s="43" t="str">
        <f t="shared" si="215"/>
        <v/>
      </c>
      <c r="K438" s="43" t="str">
        <f t="shared" si="215"/>
        <v/>
      </c>
      <c r="L438" s="43" t="str">
        <f t="shared" si="215"/>
        <v/>
      </c>
      <c r="M438" s="43" t="str">
        <f t="shared" si="215"/>
        <v/>
      </c>
      <c r="N438" s="43" t="str">
        <f t="shared" si="215"/>
        <v/>
      </c>
      <c r="O438" s="43" t="str">
        <f t="shared" si="215"/>
        <v/>
      </c>
      <c r="P438" s="43" t="str">
        <f t="shared" si="215"/>
        <v/>
      </c>
      <c r="Q438" s="43" t="str">
        <f t="shared" si="215"/>
        <v/>
      </c>
      <c r="R438" s="43" t="str">
        <f t="shared" si="216"/>
        <v/>
      </c>
      <c r="S438" s="43" t="str">
        <f t="shared" si="216"/>
        <v/>
      </c>
      <c r="T438" s="43" t="str">
        <f t="shared" si="216"/>
        <v/>
      </c>
      <c r="U438" s="43" t="str">
        <f t="shared" si="216"/>
        <v/>
      </c>
      <c r="V438" s="43" t="str">
        <f t="shared" si="216"/>
        <v/>
      </c>
      <c r="W438" s="43" t="str">
        <f t="shared" si="216"/>
        <v/>
      </c>
      <c r="X438" s="43" t="str">
        <f t="shared" si="216"/>
        <v/>
      </c>
      <c r="Y438" s="43" t="str">
        <f t="shared" si="216"/>
        <v/>
      </c>
      <c r="Z438" s="43" t="str">
        <f t="shared" si="216"/>
        <v/>
      </c>
      <c r="AA438" s="43" t="str">
        <f t="shared" si="216"/>
        <v/>
      </c>
      <c r="AB438" s="43" t="str">
        <f t="shared" si="217"/>
        <v/>
      </c>
      <c r="AC438" s="43" t="str">
        <f t="shared" si="217"/>
        <v/>
      </c>
      <c r="AD438" s="43" t="str">
        <f t="shared" si="217"/>
        <v/>
      </c>
      <c r="AE438" s="43" t="str">
        <f t="shared" si="217"/>
        <v/>
      </c>
      <c r="AF438" s="43" t="str">
        <f t="shared" si="217"/>
        <v/>
      </c>
      <c r="AG438" s="43" t="str">
        <f t="shared" si="217"/>
        <v/>
      </c>
      <c r="AH438" s="43" t="str">
        <f t="shared" si="217"/>
        <v/>
      </c>
      <c r="AI438" s="43" t="str">
        <f t="shared" si="217"/>
        <v/>
      </c>
      <c r="AJ438" s="43" t="str">
        <f t="shared" si="217"/>
        <v/>
      </c>
      <c r="AK438" s="43" t="str">
        <f t="shared" si="217"/>
        <v/>
      </c>
      <c r="AL438" s="43" t="str">
        <f t="shared" si="218"/>
        <v/>
      </c>
      <c r="AM438" s="43" t="str">
        <f t="shared" si="218"/>
        <v/>
      </c>
      <c r="AN438" s="43" t="str">
        <f t="shared" si="218"/>
        <v/>
      </c>
      <c r="AO438" s="43" t="str">
        <f t="shared" si="218"/>
        <v/>
      </c>
      <c r="AP438" s="43" t="str">
        <f t="shared" si="218"/>
        <v/>
      </c>
      <c r="AQ438" s="43" t="str">
        <f t="shared" si="218"/>
        <v/>
      </c>
      <c r="AR438" s="43" t="str">
        <f t="shared" si="218"/>
        <v/>
      </c>
      <c r="AS438" s="43" t="str">
        <f t="shared" si="218"/>
        <v/>
      </c>
      <c r="AT438" s="43" t="str">
        <f t="shared" si="218"/>
        <v/>
      </c>
      <c r="AU438" s="43" t="str">
        <f t="shared" si="218"/>
        <v/>
      </c>
      <c r="AV438" s="43" t="str">
        <f t="shared" si="219"/>
        <v/>
      </c>
      <c r="AW438" s="43" t="str">
        <f t="shared" si="219"/>
        <v/>
      </c>
      <c r="AX438" s="43" t="str">
        <f t="shared" si="219"/>
        <v/>
      </c>
      <c r="AY438" s="43" t="str">
        <f t="shared" si="219"/>
        <v/>
      </c>
      <c r="AZ438" s="43" t="str">
        <f t="shared" si="219"/>
        <v/>
      </c>
      <c r="BA438" s="43" t="str">
        <f t="shared" si="219"/>
        <v/>
      </c>
      <c r="BB438" s="43"/>
      <c r="BC438" s="43"/>
      <c r="BD438" s="43"/>
      <c r="BE438" s="43"/>
      <c r="BF438" s="43"/>
      <c r="BG438" s="43"/>
      <c r="BW438" s="1250"/>
    </row>
    <row r="439" spans="1:75" x14ac:dyDescent="0.25">
      <c r="A439" s="1251"/>
      <c r="B439" s="462">
        <v>433</v>
      </c>
      <c r="C439" s="462"/>
      <c r="D439" s="1244"/>
      <c r="E439" s="1050"/>
      <c r="F439" s="1244"/>
      <c r="H439" s="43" t="str">
        <f t="shared" si="215"/>
        <v/>
      </c>
      <c r="I439" s="43" t="str">
        <f t="shared" si="215"/>
        <v/>
      </c>
      <c r="J439" s="43" t="str">
        <f t="shared" si="215"/>
        <v/>
      </c>
      <c r="K439" s="43" t="str">
        <f t="shared" si="215"/>
        <v/>
      </c>
      <c r="L439" s="43" t="str">
        <f t="shared" si="215"/>
        <v/>
      </c>
      <c r="M439" s="43" t="str">
        <f t="shared" si="215"/>
        <v/>
      </c>
      <c r="N439" s="43" t="str">
        <f t="shared" si="215"/>
        <v/>
      </c>
      <c r="O439" s="43" t="str">
        <f t="shared" si="215"/>
        <v/>
      </c>
      <c r="P439" s="43" t="str">
        <f t="shared" si="215"/>
        <v/>
      </c>
      <c r="Q439" s="43" t="str">
        <f t="shared" si="215"/>
        <v/>
      </c>
      <c r="R439" s="43" t="str">
        <f t="shared" si="216"/>
        <v/>
      </c>
      <c r="S439" s="43" t="str">
        <f t="shared" si="216"/>
        <v/>
      </c>
      <c r="T439" s="43" t="str">
        <f t="shared" si="216"/>
        <v/>
      </c>
      <c r="U439" s="43" t="str">
        <f t="shared" si="216"/>
        <v/>
      </c>
      <c r="V439" s="43" t="str">
        <f t="shared" si="216"/>
        <v/>
      </c>
      <c r="W439" s="43" t="str">
        <f t="shared" si="216"/>
        <v/>
      </c>
      <c r="X439" s="43" t="str">
        <f t="shared" si="216"/>
        <v/>
      </c>
      <c r="Y439" s="43" t="str">
        <f t="shared" si="216"/>
        <v/>
      </c>
      <c r="Z439" s="43" t="str">
        <f t="shared" si="216"/>
        <v/>
      </c>
      <c r="AA439" s="43" t="str">
        <f t="shared" si="216"/>
        <v/>
      </c>
      <c r="AB439" s="43" t="str">
        <f t="shared" si="217"/>
        <v/>
      </c>
      <c r="AC439" s="43" t="str">
        <f t="shared" si="217"/>
        <v/>
      </c>
      <c r="AD439" s="43" t="str">
        <f t="shared" si="217"/>
        <v/>
      </c>
      <c r="AE439" s="43" t="str">
        <f t="shared" si="217"/>
        <v/>
      </c>
      <c r="AF439" s="43" t="str">
        <f t="shared" si="217"/>
        <v/>
      </c>
      <c r="AG439" s="43" t="str">
        <f t="shared" si="217"/>
        <v/>
      </c>
      <c r="AH439" s="43" t="str">
        <f t="shared" si="217"/>
        <v/>
      </c>
      <c r="AI439" s="43" t="str">
        <f t="shared" si="217"/>
        <v/>
      </c>
      <c r="AJ439" s="43" t="str">
        <f t="shared" si="217"/>
        <v/>
      </c>
      <c r="AK439" s="43" t="str">
        <f t="shared" si="217"/>
        <v/>
      </c>
      <c r="AL439" s="43" t="str">
        <f t="shared" si="218"/>
        <v/>
      </c>
      <c r="AM439" s="43" t="str">
        <f t="shared" si="218"/>
        <v/>
      </c>
      <c r="AN439" s="43" t="str">
        <f t="shared" si="218"/>
        <v/>
      </c>
      <c r="AO439" s="43" t="str">
        <f t="shared" si="218"/>
        <v/>
      </c>
      <c r="AP439" s="43" t="str">
        <f t="shared" si="218"/>
        <v/>
      </c>
      <c r="AQ439" s="43" t="str">
        <f t="shared" si="218"/>
        <v/>
      </c>
      <c r="AR439" s="43" t="str">
        <f t="shared" si="218"/>
        <v/>
      </c>
      <c r="AS439" s="43" t="str">
        <f t="shared" si="218"/>
        <v/>
      </c>
      <c r="AT439" s="43" t="str">
        <f t="shared" si="218"/>
        <v/>
      </c>
      <c r="AU439" s="43" t="str">
        <f t="shared" si="218"/>
        <v/>
      </c>
      <c r="AV439" s="43" t="str">
        <f t="shared" si="219"/>
        <v/>
      </c>
      <c r="AW439" s="43" t="str">
        <f t="shared" si="219"/>
        <v/>
      </c>
      <c r="AX439" s="43" t="str">
        <f t="shared" si="219"/>
        <v/>
      </c>
      <c r="AY439" s="43" t="str">
        <f t="shared" si="219"/>
        <v/>
      </c>
      <c r="AZ439" s="43" t="str">
        <f t="shared" si="219"/>
        <v/>
      </c>
      <c r="BA439" s="43" t="str">
        <f t="shared" si="219"/>
        <v/>
      </c>
      <c r="BB439" s="43"/>
      <c r="BC439" s="43"/>
      <c r="BD439" s="43"/>
      <c r="BE439" s="43"/>
      <c r="BF439" s="43"/>
      <c r="BG439" s="43"/>
      <c r="BW439" s="1250"/>
    </row>
    <row r="440" spans="1:75" x14ac:dyDescent="0.25">
      <c r="A440" s="1251"/>
      <c r="B440" s="462">
        <v>434</v>
      </c>
      <c r="C440" s="462"/>
      <c r="D440" s="1244"/>
      <c r="E440" s="1050"/>
      <c r="F440" s="1244"/>
      <c r="H440" s="43" t="str">
        <f t="shared" si="215"/>
        <v/>
      </c>
      <c r="I440" s="43" t="str">
        <f t="shared" si="215"/>
        <v/>
      </c>
      <c r="J440" s="43" t="str">
        <f t="shared" si="215"/>
        <v/>
      </c>
      <c r="K440" s="43" t="str">
        <f t="shared" si="215"/>
        <v/>
      </c>
      <c r="L440" s="43" t="str">
        <f t="shared" si="215"/>
        <v/>
      </c>
      <c r="M440" s="43" t="str">
        <f t="shared" si="215"/>
        <v/>
      </c>
      <c r="N440" s="43" t="str">
        <f t="shared" si="215"/>
        <v/>
      </c>
      <c r="O440" s="43" t="str">
        <f t="shared" si="215"/>
        <v/>
      </c>
      <c r="P440" s="43" t="str">
        <f t="shared" si="215"/>
        <v/>
      </c>
      <c r="Q440" s="43" t="str">
        <f t="shared" si="215"/>
        <v/>
      </c>
      <c r="R440" s="43" t="str">
        <f t="shared" si="216"/>
        <v/>
      </c>
      <c r="S440" s="43" t="str">
        <f t="shared" si="216"/>
        <v/>
      </c>
      <c r="T440" s="43" t="str">
        <f t="shared" si="216"/>
        <v/>
      </c>
      <c r="U440" s="43" t="str">
        <f t="shared" si="216"/>
        <v/>
      </c>
      <c r="V440" s="43" t="str">
        <f t="shared" si="216"/>
        <v/>
      </c>
      <c r="W440" s="43" t="str">
        <f t="shared" si="216"/>
        <v/>
      </c>
      <c r="X440" s="43" t="str">
        <f t="shared" si="216"/>
        <v/>
      </c>
      <c r="Y440" s="43" t="str">
        <f t="shared" si="216"/>
        <v/>
      </c>
      <c r="Z440" s="43" t="str">
        <f t="shared" si="216"/>
        <v/>
      </c>
      <c r="AA440" s="43" t="str">
        <f t="shared" si="216"/>
        <v/>
      </c>
      <c r="AB440" s="43" t="str">
        <f t="shared" si="217"/>
        <v/>
      </c>
      <c r="AC440" s="43" t="str">
        <f t="shared" si="217"/>
        <v/>
      </c>
      <c r="AD440" s="43" t="str">
        <f t="shared" si="217"/>
        <v/>
      </c>
      <c r="AE440" s="43" t="str">
        <f t="shared" si="217"/>
        <v/>
      </c>
      <c r="AF440" s="43" t="str">
        <f t="shared" si="217"/>
        <v/>
      </c>
      <c r="AG440" s="43" t="str">
        <f t="shared" si="217"/>
        <v/>
      </c>
      <c r="AH440" s="43" t="str">
        <f t="shared" si="217"/>
        <v/>
      </c>
      <c r="AI440" s="43" t="str">
        <f t="shared" si="217"/>
        <v/>
      </c>
      <c r="AJ440" s="43" t="str">
        <f t="shared" si="217"/>
        <v/>
      </c>
      <c r="AK440" s="43" t="str">
        <f t="shared" si="217"/>
        <v/>
      </c>
      <c r="AL440" s="43" t="str">
        <f t="shared" si="218"/>
        <v/>
      </c>
      <c r="AM440" s="43" t="str">
        <f t="shared" si="218"/>
        <v/>
      </c>
      <c r="AN440" s="43" t="str">
        <f t="shared" si="218"/>
        <v/>
      </c>
      <c r="AO440" s="43" t="str">
        <f t="shared" si="218"/>
        <v/>
      </c>
      <c r="AP440" s="43" t="str">
        <f t="shared" si="218"/>
        <v/>
      </c>
      <c r="AQ440" s="43" t="str">
        <f t="shared" si="218"/>
        <v/>
      </c>
      <c r="AR440" s="43" t="str">
        <f t="shared" si="218"/>
        <v/>
      </c>
      <c r="AS440" s="43" t="str">
        <f t="shared" si="218"/>
        <v/>
      </c>
      <c r="AT440" s="43" t="str">
        <f t="shared" si="218"/>
        <v/>
      </c>
      <c r="AU440" s="43" t="str">
        <f t="shared" si="218"/>
        <v/>
      </c>
      <c r="AV440" s="43" t="str">
        <f t="shared" si="219"/>
        <v/>
      </c>
      <c r="AW440" s="43" t="str">
        <f t="shared" si="219"/>
        <v/>
      </c>
      <c r="AX440" s="43" t="str">
        <f t="shared" si="219"/>
        <v/>
      </c>
      <c r="AY440" s="43" t="str">
        <f t="shared" si="219"/>
        <v/>
      </c>
      <c r="AZ440" s="43" t="str">
        <f t="shared" si="219"/>
        <v/>
      </c>
      <c r="BA440" s="43" t="str">
        <f t="shared" si="219"/>
        <v/>
      </c>
      <c r="BB440" s="43"/>
      <c r="BC440" s="43"/>
      <c r="BD440" s="43"/>
      <c r="BE440" s="43"/>
      <c r="BF440" s="43"/>
      <c r="BG440" s="43"/>
      <c r="BW440" s="1250"/>
    </row>
    <row r="441" spans="1:75" x14ac:dyDescent="0.25">
      <c r="A441" s="1251"/>
      <c r="B441" s="462">
        <v>435</v>
      </c>
      <c r="C441" s="462"/>
      <c r="D441" s="1244"/>
      <c r="E441" s="1050"/>
      <c r="F441" s="1244"/>
      <c r="H441" s="43" t="str">
        <f t="shared" si="215"/>
        <v/>
      </c>
      <c r="I441" s="43" t="str">
        <f t="shared" si="215"/>
        <v/>
      </c>
      <c r="J441" s="43" t="str">
        <f t="shared" si="215"/>
        <v/>
      </c>
      <c r="K441" s="43" t="str">
        <f t="shared" si="215"/>
        <v/>
      </c>
      <c r="L441" s="43" t="str">
        <f t="shared" si="215"/>
        <v/>
      </c>
      <c r="M441" s="43" t="str">
        <f t="shared" si="215"/>
        <v/>
      </c>
      <c r="N441" s="43" t="str">
        <f t="shared" si="215"/>
        <v/>
      </c>
      <c r="O441" s="43" t="str">
        <f t="shared" si="215"/>
        <v/>
      </c>
      <c r="P441" s="43" t="str">
        <f t="shared" si="215"/>
        <v/>
      </c>
      <c r="Q441" s="43" t="str">
        <f t="shared" si="215"/>
        <v/>
      </c>
      <c r="R441" s="43" t="str">
        <f t="shared" si="216"/>
        <v/>
      </c>
      <c r="S441" s="43" t="str">
        <f t="shared" si="216"/>
        <v/>
      </c>
      <c r="T441" s="43" t="str">
        <f t="shared" si="216"/>
        <v/>
      </c>
      <c r="U441" s="43" t="str">
        <f t="shared" si="216"/>
        <v/>
      </c>
      <c r="V441" s="43" t="str">
        <f t="shared" si="216"/>
        <v/>
      </c>
      <c r="W441" s="43" t="str">
        <f t="shared" si="216"/>
        <v/>
      </c>
      <c r="X441" s="43" t="str">
        <f t="shared" si="216"/>
        <v/>
      </c>
      <c r="Y441" s="43" t="str">
        <f t="shared" si="216"/>
        <v/>
      </c>
      <c r="Z441" s="43" t="str">
        <f t="shared" si="216"/>
        <v/>
      </c>
      <c r="AA441" s="43" t="str">
        <f t="shared" si="216"/>
        <v/>
      </c>
      <c r="AB441" s="43" t="str">
        <f t="shared" si="217"/>
        <v/>
      </c>
      <c r="AC441" s="43" t="str">
        <f t="shared" si="217"/>
        <v/>
      </c>
      <c r="AD441" s="43" t="str">
        <f t="shared" si="217"/>
        <v/>
      </c>
      <c r="AE441" s="43" t="str">
        <f t="shared" si="217"/>
        <v/>
      </c>
      <c r="AF441" s="43" t="str">
        <f t="shared" si="217"/>
        <v/>
      </c>
      <c r="AG441" s="43" t="str">
        <f t="shared" si="217"/>
        <v/>
      </c>
      <c r="AH441" s="43" t="str">
        <f t="shared" si="217"/>
        <v/>
      </c>
      <c r="AI441" s="43" t="str">
        <f t="shared" si="217"/>
        <v/>
      </c>
      <c r="AJ441" s="43" t="str">
        <f t="shared" si="217"/>
        <v/>
      </c>
      <c r="AK441" s="43" t="str">
        <f t="shared" si="217"/>
        <v/>
      </c>
      <c r="AL441" s="43" t="str">
        <f t="shared" si="218"/>
        <v/>
      </c>
      <c r="AM441" s="43" t="str">
        <f t="shared" si="218"/>
        <v/>
      </c>
      <c r="AN441" s="43" t="str">
        <f t="shared" si="218"/>
        <v/>
      </c>
      <c r="AO441" s="43" t="str">
        <f t="shared" si="218"/>
        <v/>
      </c>
      <c r="AP441" s="43" t="str">
        <f t="shared" si="218"/>
        <v/>
      </c>
      <c r="AQ441" s="43" t="str">
        <f t="shared" si="218"/>
        <v/>
      </c>
      <c r="AR441" s="43" t="str">
        <f t="shared" si="218"/>
        <v/>
      </c>
      <c r="AS441" s="43" t="str">
        <f t="shared" si="218"/>
        <v/>
      </c>
      <c r="AT441" s="43" t="str">
        <f t="shared" si="218"/>
        <v/>
      </c>
      <c r="AU441" s="43" t="str">
        <f t="shared" si="218"/>
        <v/>
      </c>
      <c r="AV441" s="43" t="str">
        <f t="shared" si="219"/>
        <v/>
      </c>
      <c r="AW441" s="43" t="str">
        <f t="shared" si="219"/>
        <v/>
      </c>
      <c r="AX441" s="43" t="str">
        <f t="shared" si="219"/>
        <v/>
      </c>
      <c r="AY441" s="43" t="str">
        <f t="shared" si="219"/>
        <v/>
      </c>
      <c r="AZ441" s="43" t="str">
        <f t="shared" si="219"/>
        <v/>
      </c>
      <c r="BA441" s="43" t="str">
        <f t="shared" si="219"/>
        <v/>
      </c>
      <c r="BB441" s="43"/>
      <c r="BC441" s="43"/>
      <c r="BD441" s="43"/>
      <c r="BE441" s="43"/>
      <c r="BF441" s="43"/>
      <c r="BG441" s="43"/>
      <c r="BW441" s="1250"/>
    </row>
    <row r="442" spans="1:75" x14ac:dyDescent="0.25">
      <c r="A442" s="1251"/>
      <c r="B442" s="462">
        <v>436</v>
      </c>
      <c r="C442" s="462"/>
      <c r="D442" s="1244"/>
      <c r="E442" s="1050"/>
      <c r="F442" s="1244"/>
      <c r="H442" s="43" t="str">
        <f t="shared" si="215"/>
        <v/>
      </c>
      <c r="I442" s="43" t="str">
        <f t="shared" si="215"/>
        <v/>
      </c>
      <c r="J442" s="43" t="str">
        <f t="shared" si="215"/>
        <v/>
      </c>
      <c r="K442" s="43" t="str">
        <f t="shared" si="215"/>
        <v/>
      </c>
      <c r="L442" s="43" t="str">
        <f t="shared" si="215"/>
        <v/>
      </c>
      <c r="M442" s="43" t="str">
        <f t="shared" si="215"/>
        <v/>
      </c>
      <c r="N442" s="43" t="str">
        <f t="shared" si="215"/>
        <v/>
      </c>
      <c r="O442" s="43" t="str">
        <f t="shared" si="215"/>
        <v/>
      </c>
      <c r="P442" s="43" t="str">
        <f t="shared" si="215"/>
        <v/>
      </c>
      <c r="Q442" s="43" t="str">
        <f t="shared" si="215"/>
        <v/>
      </c>
      <c r="R442" s="43" t="str">
        <f t="shared" si="216"/>
        <v/>
      </c>
      <c r="S442" s="43" t="str">
        <f t="shared" si="216"/>
        <v/>
      </c>
      <c r="T442" s="43" t="str">
        <f t="shared" si="216"/>
        <v/>
      </c>
      <c r="U442" s="43" t="str">
        <f t="shared" si="216"/>
        <v/>
      </c>
      <c r="V442" s="43" t="str">
        <f t="shared" si="216"/>
        <v/>
      </c>
      <c r="W442" s="43" t="str">
        <f t="shared" si="216"/>
        <v/>
      </c>
      <c r="X442" s="43" t="str">
        <f t="shared" si="216"/>
        <v/>
      </c>
      <c r="Y442" s="43" t="str">
        <f t="shared" si="216"/>
        <v/>
      </c>
      <c r="Z442" s="43" t="str">
        <f t="shared" si="216"/>
        <v/>
      </c>
      <c r="AA442" s="43" t="str">
        <f t="shared" si="216"/>
        <v/>
      </c>
      <c r="AB442" s="43" t="str">
        <f t="shared" si="217"/>
        <v/>
      </c>
      <c r="AC442" s="43" t="str">
        <f t="shared" si="217"/>
        <v/>
      </c>
      <c r="AD442" s="43" t="str">
        <f t="shared" si="217"/>
        <v/>
      </c>
      <c r="AE442" s="43" t="str">
        <f t="shared" si="217"/>
        <v/>
      </c>
      <c r="AF442" s="43" t="str">
        <f t="shared" si="217"/>
        <v/>
      </c>
      <c r="AG442" s="43" t="str">
        <f t="shared" si="217"/>
        <v/>
      </c>
      <c r="AH442" s="43" t="str">
        <f t="shared" si="217"/>
        <v/>
      </c>
      <c r="AI442" s="43" t="str">
        <f t="shared" si="217"/>
        <v/>
      </c>
      <c r="AJ442" s="43" t="str">
        <f t="shared" si="217"/>
        <v/>
      </c>
      <c r="AK442" s="43" t="str">
        <f t="shared" si="217"/>
        <v/>
      </c>
      <c r="AL442" s="43" t="str">
        <f t="shared" si="218"/>
        <v/>
      </c>
      <c r="AM442" s="43" t="str">
        <f t="shared" si="218"/>
        <v/>
      </c>
      <c r="AN442" s="43" t="str">
        <f t="shared" si="218"/>
        <v/>
      </c>
      <c r="AO442" s="43" t="str">
        <f t="shared" si="218"/>
        <v/>
      </c>
      <c r="AP442" s="43" t="str">
        <f t="shared" si="218"/>
        <v/>
      </c>
      <c r="AQ442" s="43" t="str">
        <f t="shared" si="218"/>
        <v/>
      </c>
      <c r="AR442" s="43" t="str">
        <f t="shared" si="218"/>
        <v/>
      </c>
      <c r="AS442" s="43" t="str">
        <f t="shared" si="218"/>
        <v/>
      </c>
      <c r="AT442" s="43" t="str">
        <f t="shared" si="218"/>
        <v/>
      </c>
      <c r="AU442" s="43" t="str">
        <f t="shared" si="218"/>
        <v/>
      </c>
      <c r="AV442" s="43" t="str">
        <f t="shared" si="219"/>
        <v/>
      </c>
      <c r="AW442" s="43" t="str">
        <f t="shared" si="219"/>
        <v/>
      </c>
      <c r="AX442" s="43" t="str">
        <f t="shared" si="219"/>
        <v/>
      </c>
      <c r="AY442" s="43" t="str">
        <f t="shared" si="219"/>
        <v/>
      </c>
      <c r="AZ442" s="43" t="str">
        <f t="shared" si="219"/>
        <v/>
      </c>
      <c r="BA442" s="43" t="str">
        <f t="shared" si="219"/>
        <v/>
      </c>
      <c r="BB442" s="43"/>
      <c r="BC442" s="43"/>
      <c r="BD442" s="43"/>
      <c r="BE442" s="43"/>
      <c r="BF442" s="43"/>
      <c r="BG442" s="43"/>
      <c r="BW442" s="1250"/>
    </row>
    <row r="443" spans="1:75" x14ac:dyDescent="0.25">
      <c r="A443" s="1251"/>
      <c r="B443" s="462">
        <v>437</v>
      </c>
      <c r="C443" s="462"/>
      <c r="D443" s="1244"/>
      <c r="E443" s="1050"/>
      <c r="F443" s="1244"/>
      <c r="H443" s="43" t="str">
        <f t="shared" si="215"/>
        <v/>
      </c>
      <c r="I443" s="43" t="str">
        <f t="shared" si="215"/>
        <v/>
      </c>
      <c r="J443" s="43" t="str">
        <f t="shared" si="215"/>
        <v/>
      </c>
      <c r="K443" s="43" t="str">
        <f t="shared" si="215"/>
        <v/>
      </c>
      <c r="L443" s="43" t="str">
        <f t="shared" si="215"/>
        <v/>
      </c>
      <c r="M443" s="43" t="str">
        <f t="shared" si="215"/>
        <v/>
      </c>
      <c r="N443" s="43" t="str">
        <f t="shared" si="215"/>
        <v/>
      </c>
      <c r="O443" s="43" t="str">
        <f t="shared" si="215"/>
        <v/>
      </c>
      <c r="P443" s="43" t="str">
        <f t="shared" si="215"/>
        <v/>
      </c>
      <c r="Q443" s="43" t="str">
        <f t="shared" si="215"/>
        <v/>
      </c>
      <c r="R443" s="43" t="str">
        <f t="shared" si="216"/>
        <v/>
      </c>
      <c r="S443" s="43" t="str">
        <f t="shared" si="216"/>
        <v/>
      </c>
      <c r="T443" s="43" t="str">
        <f t="shared" si="216"/>
        <v/>
      </c>
      <c r="U443" s="43" t="str">
        <f t="shared" si="216"/>
        <v/>
      </c>
      <c r="V443" s="43" t="str">
        <f t="shared" si="216"/>
        <v/>
      </c>
      <c r="W443" s="43" t="str">
        <f t="shared" si="216"/>
        <v/>
      </c>
      <c r="X443" s="43" t="str">
        <f t="shared" si="216"/>
        <v/>
      </c>
      <c r="Y443" s="43" t="str">
        <f t="shared" si="216"/>
        <v/>
      </c>
      <c r="Z443" s="43" t="str">
        <f t="shared" si="216"/>
        <v/>
      </c>
      <c r="AA443" s="43" t="str">
        <f t="shared" si="216"/>
        <v/>
      </c>
      <c r="AB443" s="43" t="str">
        <f t="shared" si="217"/>
        <v/>
      </c>
      <c r="AC443" s="43" t="str">
        <f t="shared" si="217"/>
        <v/>
      </c>
      <c r="AD443" s="43" t="str">
        <f t="shared" si="217"/>
        <v/>
      </c>
      <c r="AE443" s="43" t="str">
        <f t="shared" si="217"/>
        <v/>
      </c>
      <c r="AF443" s="43" t="str">
        <f t="shared" si="217"/>
        <v/>
      </c>
      <c r="AG443" s="43" t="str">
        <f t="shared" si="217"/>
        <v/>
      </c>
      <c r="AH443" s="43" t="str">
        <f t="shared" si="217"/>
        <v/>
      </c>
      <c r="AI443" s="43" t="str">
        <f t="shared" si="217"/>
        <v/>
      </c>
      <c r="AJ443" s="43" t="str">
        <f t="shared" si="217"/>
        <v/>
      </c>
      <c r="AK443" s="43" t="str">
        <f t="shared" si="217"/>
        <v/>
      </c>
      <c r="AL443" s="43" t="str">
        <f t="shared" si="218"/>
        <v/>
      </c>
      <c r="AM443" s="43" t="str">
        <f t="shared" si="218"/>
        <v/>
      </c>
      <c r="AN443" s="43" t="str">
        <f t="shared" si="218"/>
        <v/>
      </c>
      <c r="AO443" s="43" t="str">
        <f t="shared" si="218"/>
        <v/>
      </c>
      <c r="AP443" s="43" t="str">
        <f t="shared" si="218"/>
        <v/>
      </c>
      <c r="AQ443" s="43" t="str">
        <f t="shared" si="218"/>
        <v/>
      </c>
      <c r="AR443" s="43" t="str">
        <f t="shared" si="218"/>
        <v/>
      </c>
      <c r="AS443" s="43" t="str">
        <f t="shared" si="218"/>
        <v/>
      </c>
      <c r="AT443" s="43" t="str">
        <f t="shared" si="218"/>
        <v/>
      </c>
      <c r="AU443" s="43" t="str">
        <f t="shared" si="218"/>
        <v/>
      </c>
      <c r="AV443" s="43" t="str">
        <f t="shared" si="219"/>
        <v/>
      </c>
      <c r="AW443" s="43" t="str">
        <f t="shared" si="219"/>
        <v/>
      </c>
      <c r="AX443" s="43" t="str">
        <f t="shared" si="219"/>
        <v/>
      </c>
      <c r="AY443" s="43" t="str">
        <f t="shared" si="219"/>
        <v/>
      </c>
      <c r="AZ443" s="43" t="str">
        <f t="shared" si="219"/>
        <v/>
      </c>
      <c r="BA443" s="43" t="str">
        <f t="shared" si="219"/>
        <v/>
      </c>
      <c r="BB443" s="43"/>
      <c r="BC443" s="43"/>
      <c r="BD443" s="43"/>
      <c r="BE443" s="43"/>
      <c r="BF443" s="43"/>
      <c r="BG443" s="43"/>
      <c r="BW443" s="1250"/>
    </row>
    <row r="444" spans="1:75" x14ac:dyDescent="0.25">
      <c r="A444" s="1251"/>
      <c r="B444" s="462">
        <v>438</v>
      </c>
      <c r="C444" s="462"/>
      <c r="D444" s="1244"/>
      <c r="E444" s="1050"/>
      <c r="F444" s="1244"/>
      <c r="H444" s="43" t="str">
        <f t="shared" si="215"/>
        <v/>
      </c>
      <c r="I444" s="43" t="str">
        <f t="shared" si="215"/>
        <v/>
      </c>
      <c r="J444" s="43" t="str">
        <f t="shared" si="215"/>
        <v/>
      </c>
      <c r="K444" s="43" t="str">
        <f t="shared" si="215"/>
        <v/>
      </c>
      <c r="L444" s="43" t="str">
        <f t="shared" si="215"/>
        <v/>
      </c>
      <c r="M444" s="43" t="str">
        <f t="shared" si="215"/>
        <v/>
      </c>
      <c r="N444" s="43" t="str">
        <f t="shared" si="215"/>
        <v/>
      </c>
      <c r="O444" s="43" t="str">
        <f t="shared" si="215"/>
        <v/>
      </c>
      <c r="P444" s="43" t="str">
        <f t="shared" si="215"/>
        <v/>
      </c>
      <c r="Q444" s="43" t="str">
        <f t="shared" si="215"/>
        <v/>
      </c>
      <c r="R444" s="43" t="str">
        <f t="shared" si="216"/>
        <v/>
      </c>
      <c r="S444" s="43" t="str">
        <f t="shared" si="216"/>
        <v/>
      </c>
      <c r="T444" s="43" t="str">
        <f t="shared" si="216"/>
        <v/>
      </c>
      <c r="U444" s="43" t="str">
        <f t="shared" si="216"/>
        <v/>
      </c>
      <c r="V444" s="43" t="str">
        <f t="shared" si="216"/>
        <v/>
      </c>
      <c r="W444" s="43" t="str">
        <f t="shared" si="216"/>
        <v/>
      </c>
      <c r="X444" s="43" t="str">
        <f t="shared" si="216"/>
        <v/>
      </c>
      <c r="Y444" s="43" t="str">
        <f t="shared" si="216"/>
        <v/>
      </c>
      <c r="Z444" s="43" t="str">
        <f t="shared" si="216"/>
        <v/>
      </c>
      <c r="AA444" s="43" t="str">
        <f t="shared" si="216"/>
        <v/>
      </c>
      <c r="AB444" s="43" t="str">
        <f t="shared" si="217"/>
        <v/>
      </c>
      <c r="AC444" s="43" t="str">
        <f t="shared" si="217"/>
        <v/>
      </c>
      <c r="AD444" s="43" t="str">
        <f t="shared" si="217"/>
        <v/>
      </c>
      <c r="AE444" s="43" t="str">
        <f t="shared" si="217"/>
        <v/>
      </c>
      <c r="AF444" s="43" t="str">
        <f t="shared" si="217"/>
        <v/>
      </c>
      <c r="AG444" s="43" t="str">
        <f t="shared" si="217"/>
        <v/>
      </c>
      <c r="AH444" s="43" t="str">
        <f t="shared" si="217"/>
        <v/>
      </c>
      <c r="AI444" s="43" t="str">
        <f t="shared" si="217"/>
        <v/>
      </c>
      <c r="AJ444" s="43" t="str">
        <f t="shared" si="217"/>
        <v/>
      </c>
      <c r="AK444" s="43" t="str">
        <f t="shared" si="217"/>
        <v/>
      </c>
      <c r="AL444" s="43" t="str">
        <f t="shared" si="218"/>
        <v/>
      </c>
      <c r="AM444" s="43" t="str">
        <f t="shared" si="218"/>
        <v/>
      </c>
      <c r="AN444" s="43" t="str">
        <f t="shared" si="218"/>
        <v/>
      </c>
      <c r="AO444" s="43" t="str">
        <f t="shared" si="218"/>
        <v/>
      </c>
      <c r="AP444" s="43" t="str">
        <f t="shared" si="218"/>
        <v/>
      </c>
      <c r="AQ444" s="43" t="str">
        <f t="shared" si="218"/>
        <v/>
      </c>
      <c r="AR444" s="43" t="str">
        <f t="shared" si="218"/>
        <v/>
      </c>
      <c r="AS444" s="43" t="str">
        <f t="shared" si="218"/>
        <v/>
      </c>
      <c r="AT444" s="43" t="str">
        <f t="shared" si="218"/>
        <v/>
      </c>
      <c r="AU444" s="43" t="str">
        <f t="shared" si="218"/>
        <v/>
      </c>
      <c r="AV444" s="43" t="str">
        <f t="shared" si="219"/>
        <v/>
      </c>
      <c r="AW444" s="43" t="str">
        <f t="shared" si="219"/>
        <v/>
      </c>
      <c r="AX444" s="43" t="str">
        <f t="shared" si="219"/>
        <v/>
      </c>
      <c r="AY444" s="43" t="str">
        <f t="shared" si="219"/>
        <v/>
      </c>
      <c r="AZ444" s="43" t="str">
        <f t="shared" si="219"/>
        <v/>
      </c>
      <c r="BA444" s="43" t="str">
        <f t="shared" si="219"/>
        <v/>
      </c>
      <c r="BB444" s="43"/>
      <c r="BC444" s="43"/>
      <c r="BD444" s="43"/>
      <c r="BE444" s="43"/>
      <c r="BF444" s="43"/>
      <c r="BG444" s="43"/>
      <c r="BW444" s="1250"/>
    </row>
    <row r="445" spans="1:75" x14ac:dyDescent="0.25">
      <c r="A445" s="1251"/>
      <c r="B445" s="462">
        <v>439</v>
      </c>
      <c r="C445" s="462"/>
      <c r="D445" s="1244"/>
      <c r="E445" s="1050"/>
      <c r="F445" s="1244"/>
      <c r="H445" s="43" t="str">
        <f t="shared" si="215"/>
        <v/>
      </c>
      <c r="I445" s="43" t="str">
        <f t="shared" si="215"/>
        <v/>
      </c>
      <c r="J445" s="43" t="str">
        <f t="shared" si="215"/>
        <v/>
      </c>
      <c r="K445" s="43" t="str">
        <f t="shared" si="215"/>
        <v/>
      </c>
      <c r="L445" s="43" t="str">
        <f t="shared" si="215"/>
        <v/>
      </c>
      <c r="M445" s="43" t="str">
        <f t="shared" si="215"/>
        <v/>
      </c>
      <c r="N445" s="43" t="str">
        <f t="shared" si="215"/>
        <v/>
      </c>
      <c r="O445" s="43" t="str">
        <f t="shared" si="215"/>
        <v/>
      </c>
      <c r="P445" s="43" t="str">
        <f t="shared" si="215"/>
        <v/>
      </c>
      <c r="Q445" s="43" t="str">
        <f t="shared" si="215"/>
        <v/>
      </c>
      <c r="R445" s="43" t="str">
        <f t="shared" si="216"/>
        <v/>
      </c>
      <c r="S445" s="43" t="str">
        <f t="shared" si="216"/>
        <v/>
      </c>
      <c r="T445" s="43" t="str">
        <f t="shared" si="216"/>
        <v/>
      </c>
      <c r="U445" s="43" t="str">
        <f t="shared" si="216"/>
        <v/>
      </c>
      <c r="V445" s="43" t="str">
        <f t="shared" si="216"/>
        <v/>
      </c>
      <c r="W445" s="43" t="str">
        <f t="shared" si="216"/>
        <v/>
      </c>
      <c r="X445" s="43" t="str">
        <f t="shared" si="216"/>
        <v/>
      </c>
      <c r="Y445" s="43" t="str">
        <f t="shared" si="216"/>
        <v/>
      </c>
      <c r="Z445" s="43" t="str">
        <f t="shared" si="216"/>
        <v/>
      </c>
      <c r="AA445" s="43" t="str">
        <f t="shared" si="216"/>
        <v/>
      </c>
      <c r="AB445" s="43" t="str">
        <f t="shared" si="217"/>
        <v/>
      </c>
      <c r="AC445" s="43" t="str">
        <f t="shared" si="217"/>
        <v/>
      </c>
      <c r="AD445" s="43" t="str">
        <f t="shared" si="217"/>
        <v/>
      </c>
      <c r="AE445" s="43" t="str">
        <f t="shared" si="217"/>
        <v/>
      </c>
      <c r="AF445" s="43" t="str">
        <f t="shared" si="217"/>
        <v/>
      </c>
      <c r="AG445" s="43" t="str">
        <f t="shared" si="217"/>
        <v/>
      </c>
      <c r="AH445" s="43" t="str">
        <f t="shared" si="217"/>
        <v/>
      </c>
      <c r="AI445" s="43" t="str">
        <f t="shared" si="217"/>
        <v/>
      </c>
      <c r="AJ445" s="43" t="str">
        <f t="shared" si="217"/>
        <v/>
      </c>
      <c r="AK445" s="43" t="str">
        <f t="shared" si="217"/>
        <v/>
      </c>
      <c r="AL445" s="43" t="str">
        <f t="shared" si="218"/>
        <v/>
      </c>
      <c r="AM445" s="43" t="str">
        <f t="shared" si="218"/>
        <v/>
      </c>
      <c r="AN445" s="43" t="str">
        <f t="shared" si="218"/>
        <v/>
      </c>
      <c r="AO445" s="43" t="str">
        <f t="shared" si="218"/>
        <v/>
      </c>
      <c r="AP445" s="43" t="str">
        <f t="shared" si="218"/>
        <v/>
      </c>
      <c r="AQ445" s="43" t="str">
        <f t="shared" si="218"/>
        <v/>
      </c>
      <c r="AR445" s="43" t="str">
        <f t="shared" si="218"/>
        <v/>
      </c>
      <c r="AS445" s="43" t="str">
        <f t="shared" si="218"/>
        <v/>
      </c>
      <c r="AT445" s="43" t="str">
        <f t="shared" si="218"/>
        <v/>
      </c>
      <c r="AU445" s="43" t="str">
        <f t="shared" si="218"/>
        <v/>
      </c>
      <c r="AV445" s="43" t="str">
        <f t="shared" si="219"/>
        <v/>
      </c>
      <c r="AW445" s="43" t="str">
        <f t="shared" si="219"/>
        <v/>
      </c>
      <c r="AX445" s="43" t="str">
        <f t="shared" si="219"/>
        <v/>
      </c>
      <c r="AY445" s="43" t="str">
        <f t="shared" si="219"/>
        <v/>
      </c>
      <c r="AZ445" s="43" t="str">
        <f t="shared" si="219"/>
        <v/>
      </c>
      <c r="BA445" s="43" t="str">
        <f t="shared" si="219"/>
        <v/>
      </c>
      <c r="BB445" s="43"/>
      <c r="BC445" s="43"/>
      <c r="BD445" s="43"/>
      <c r="BE445" s="43"/>
      <c r="BF445" s="43"/>
      <c r="BG445" s="43"/>
      <c r="BW445" s="1250"/>
    </row>
    <row r="446" spans="1:75" x14ac:dyDescent="0.25">
      <c r="A446" s="1251"/>
      <c r="B446" s="462">
        <v>440</v>
      </c>
      <c r="C446" s="462"/>
      <c r="D446" s="1244"/>
      <c r="E446" s="1050"/>
      <c r="F446" s="1244"/>
      <c r="H446" s="43" t="str">
        <f t="shared" si="215"/>
        <v/>
      </c>
      <c r="I446" s="43" t="str">
        <f t="shared" si="215"/>
        <v/>
      </c>
      <c r="J446" s="43" t="str">
        <f t="shared" si="215"/>
        <v/>
      </c>
      <c r="K446" s="43" t="str">
        <f t="shared" si="215"/>
        <v/>
      </c>
      <c r="L446" s="43" t="str">
        <f t="shared" si="215"/>
        <v/>
      </c>
      <c r="M446" s="43" t="str">
        <f t="shared" si="215"/>
        <v/>
      </c>
      <c r="N446" s="43" t="str">
        <f t="shared" si="215"/>
        <v/>
      </c>
      <c r="O446" s="43" t="str">
        <f t="shared" si="215"/>
        <v/>
      </c>
      <c r="P446" s="43" t="str">
        <f t="shared" si="215"/>
        <v/>
      </c>
      <c r="Q446" s="43" t="str">
        <f t="shared" si="215"/>
        <v/>
      </c>
      <c r="R446" s="43" t="str">
        <f t="shared" si="216"/>
        <v/>
      </c>
      <c r="S446" s="43" t="str">
        <f t="shared" si="216"/>
        <v/>
      </c>
      <c r="T446" s="43" t="str">
        <f t="shared" si="216"/>
        <v/>
      </c>
      <c r="U446" s="43" t="str">
        <f t="shared" si="216"/>
        <v/>
      </c>
      <c r="V446" s="43" t="str">
        <f t="shared" si="216"/>
        <v/>
      </c>
      <c r="W446" s="43" t="str">
        <f t="shared" si="216"/>
        <v/>
      </c>
      <c r="X446" s="43" t="str">
        <f t="shared" si="216"/>
        <v/>
      </c>
      <c r="Y446" s="43" t="str">
        <f t="shared" si="216"/>
        <v/>
      </c>
      <c r="Z446" s="43" t="str">
        <f t="shared" si="216"/>
        <v/>
      </c>
      <c r="AA446" s="43" t="str">
        <f t="shared" si="216"/>
        <v/>
      </c>
      <c r="AB446" s="43" t="str">
        <f t="shared" si="217"/>
        <v/>
      </c>
      <c r="AC446" s="43" t="str">
        <f t="shared" si="217"/>
        <v/>
      </c>
      <c r="AD446" s="43" t="str">
        <f t="shared" si="217"/>
        <v/>
      </c>
      <c r="AE446" s="43" t="str">
        <f t="shared" si="217"/>
        <v/>
      </c>
      <c r="AF446" s="43" t="str">
        <f t="shared" si="217"/>
        <v/>
      </c>
      <c r="AG446" s="43" t="str">
        <f t="shared" si="217"/>
        <v/>
      </c>
      <c r="AH446" s="43" t="str">
        <f t="shared" si="217"/>
        <v/>
      </c>
      <c r="AI446" s="43" t="str">
        <f t="shared" si="217"/>
        <v/>
      </c>
      <c r="AJ446" s="43" t="str">
        <f t="shared" si="217"/>
        <v/>
      </c>
      <c r="AK446" s="43" t="str">
        <f t="shared" si="217"/>
        <v/>
      </c>
      <c r="AL446" s="43" t="str">
        <f t="shared" si="218"/>
        <v/>
      </c>
      <c r="AM446" s="43" t="str">
        <f t="shared" si="218"/>
        <v/>
      </c>
      <c r="AN446" s="43" t="str">
        <f t="shared" si="218"/>
        <v/>
      </c>
      <c r="AO446" s="43" t="str">
        <f t="shared" si="218"/>
        <v/>
      </c>
      <c r="AP446" s="43" t="str">
        <f t="shared" si="218"/>
        <v/>
      </c>
      <c r="AQ446" s="43" t="str">
        <f t="shared" si="218"/>
        <v/>
      </c>
      <c r="AR446" s="43" t="str">
        <f t="shared" si="218"/>
        <v/>
      </c>
      <c r="AS446" s="43" t="str">
        <f t="shared" si="218"/>
        <v/>
      </c>
      <c r="AT446" s="43" t="str">
        <f t="shared" si="218"/>
        <v/>
      </c>
      <c r="AU446" s="43" t="str">
        <f t="shared" si="218"/>
        <v/>
      </c>
      <c r="AV446" s="43" t="str">
        <f t="shared" si="219"/>
        <v/>
      </c>
      <c r="AW446" s="43" t="str">
        <f t="shared" si="219"/>
        <v/>
      </c>
      <c r="AX446" s="43" t="str">
        <f t="shared" si="219"/>
        <v/>
      </c>
      <c r="AY446" s="43" t="str">
        <f t="shared" si="219"/>
        <v/>
      </c>
      <c r="AZ446" s="43" t="str">
        <f t="shared" si="219"/>
        <v/>
      </c>
      <c r="BA446" s="43" t="str">
        <f t="shared" si="219"/>
        <v/>
      </c>
      <c r="BB446" s="43"/>
      <c r="BC446" s="43"/>
      <c r="BD446" s="43"/>
      <c r="BE446" s="43"/>
      <c r="BF446" s="43"/>
      <c r="BG446" s="43"/>
      <c r="BW446" s="1250"/>
    </row>
    <row r="447" spans="1:75" x14ac:dyDescent="0.25">
      <c r="A447" s="1251"/>
      <c r="B447" s="462">
        <v>441</v>
      </c>
      <c r="C447" s="462"/>
      <c r="D447" s="1244"/>
      <c r="E447" s="1050"/>
      <c r="F447" s="1244"/>
      <c r="H447" s="43" t="str">
        <f t="shared" ref="H447:Q456" si="220">IF($D447=H$6,$B447&amp;", ","")</f>
        <v/>
      </c>
      <c r="I447" s="43" t="str">
        <f t="shared" si="220"/>
        <v/>
      </c>
      <c r="J447" s="43" t="str">
        <f t="shared" si="220"/>
        <v/>
      </c>
      <c r="K447" s="43" t="str">
        <f t="shared" si="220"/>
        <v/>
      </c>
      <c r="L447" s="43" t="str">
        <f t="shared" si="220"/>
        <v/>
      </c>
      <c r="M447" s="43" t="str">
        <f t="shared" si="220"/>
        <v/>
      </c>
      <c r="N447" s="43" t="str">
        <f t="shared" si="220"/>
        <v/>
      </c>
      <c r="O447" s="43" t="str">
        <f t="shared" si="220"/>
        <v/>
      </c>
      <c r="P447" s="43" t="str">
        <f t="shared" si="220"/>
        <v/>
      </c>
      <c r="Q447" s="43" t="str">
        <f t="shared" si="220"/>
        <v/>
      </c>
      <c r="R447" s="43" t="str">
        <f t="shared" ref="R447:AA456" si="221">IF($D447=R$6,$B447&amp;", ","")</f>
        <v/>
      </c>
      <c r="S447" s="43" t="str">
        <f t="shared" si="221"/>
        <v/>
      </c>
      <c r="T447" s="43" t="str">
        <f t="shared" si="221"/>
        <v/>
      </c>
      <c r="U447" s="43" t="str">
        <f t="shared" si="221"/>
        <v/>
      </c>
      <c r="V447" s="43" t="str">
        <f t="shared" si="221"/>
        <v/>
      </c>
      <c r="W447" s="43" t="str">
        <f t="shared" si="221"/>
        <v/>
      </c>
      <c r="X447" s="43" t="str">
        <f t="shared" si="221"/>
        <v/>
      </c>
      <c r="Y447" s="43" t="str">
        <f t="shared" si="221"/>
        <v/>
      </c>
      <c r="Z447" s="43" t="str">
        <f t="shared" si="221"/>
        <v/>
      </c>
      <c r="AA447" s="43" t="str">
        <f t="shared" si="221"/>
        <v/>
      </c>
      <c r="AB447" s="43" t="str">
        <f t="shared" ref="AB447:AK456" si="222">IF($D447=AB$6,$B447&amp;", ","")</f>
        <v/>
      </c>
      <c r="AC447" s="43" t="str">
        <f t="shared" si="222"/>
        <v/>
      </c>
      <c r="AD447" s="43" t="str">
        <f t="shared" si="222"/>
        <v/>
      </c>
      <c r="AE447" s="43" t="str">
        <f t="shared" si="222"/>
        <v/>
      </c>
      <c r="AF447" s="43" t="str">
        <f t="shared" si="222"/>
        <v/>
      </c>
      <c r="AG447" s="43" t="str">
        <f t="shared" si="222"/>
        <v/>
      </c>
      <c r="AH447" s="43" t="str">
        <f t="shared" si="222"/>
        <v/>
      </c>
      <c r="AI447" s="43" t="str">
        <f t="shared" si="222"/>
        <v/>
      </c>
      <c r="AJ447" s="43" t="str">
        <f t="shared" si="222"/>
        <v/>
      </c>
      <c r="AK447" s="43" t="str">
        <f t="shared" si="222"/>
        <v/>
      </c>
      <c r="AL447" s="43" t="str">
        <f t="shared" ref="AL447:AU456" si="223">IF($D447=AL$6,$B447&amp;", ","")</f>
        <v/>
      </c>
      <c r="AM447" s="43" t="str">
        <f t="shared" si="223"/>
        <v/>
      </c>
      <c r="AN447" s="43" t="str">
        <f t="shared" si="223"/>
        <v/>
      </c>
      <c r="AO447" s="43" t="str">
        <f t="shared" si="223"/>
        <v/>
      </c>
      <c r="AP447" s="43" t="str">
        <f t="shared" si="223"/>
        <v/>
      </c>
      <c r="AQ447" s="43" t="str">
        <f t="shared" si="223"/>
        <v/>
      </c>
      <c r="AR447" s="43" t="str">
        <f t="shared" si="223"/>
        <v/>
      </c>
      <c r="AS447" s="43" t="str">
        <f t="shared" si="223"/>
        <v/>
      </c>
      <c r="AT447" s="43" t="str">
        <f t="shared" si="223"/>
        <v/>
      </c>
      <c r="AU447" s="43" t="str">
        <f t="shared" si="223"/>
        <v/>
      </c>
      <c r="AV447" s="43" t="str">
        <f t="shared" ref="AV447:BA456" si="224">IF($D447=AV$6,$B447&amp;", ","")</f>
        <v/>
      </c>
      <c r="AW447" s="43" t="str">
        <f t="shared" si="224"/>
        <v/>
      </c>
      <c r="AX447" s="43" t="str">
        <f t="shared" si="224"/>
        <v/>
      </c>
      <c r="AY447" s="43" t="str">
        <f t="shared" si="224"/>
        <v/>
      </c>
      <c r="AZ447" s="43" t="str">
        <f t="shared" si="224"/>
        <v/>
      </c>
      <c r="BA447" s="43" t="str">
        <f t="shared" si="224"/>
        <v/>
      </c>
      <c r="BB447" s="43"/>
      <c r="BC447" s="43"/>
      <c r="BD447" s="43"/>
      <c r="BE447" s="43"/>
      <c r="BF447" s="43"/>
      <c r="BG447" s="43"/>
      <c r="BW447" s="1250"/>
    </row>
    <row r="448" spans="1:75" x14ac:dyDescent="0.25">
      <c r="A448" s="1251"/>
      <c r="B448" s="462">
        <v>442</v>
      </c>
      <c r="C448" s="462"/>
      <c r="D448" s="1244"/>
      <c r="E448" s="1050"/>
      <c r="F448" s="1244"/>
      <c r="H448" s="43" t="str">
        <f t="shared" si="220"/>
        <v/>
      </c>
      <c r="I448" s="43" t="str">
        <f t="shared" si="220"/>
        <v/>
      </c>
      <c r="J448" s="43" t="str">
        <f t="shared" si="220"/>
        <v/>
      </c>
      <c r="K448" s="43" t="str">
        <f t="shared" si="220"/>
        <v/>
      </c>
      <c r="L448" s="43" t="str">
        <f t="shared" si="220"/>
        <v/>
      </c>
      <c r="M448" s="43" t="str">
        <f t="shared" si="220"/>
        <v/>
      </c>
      <c r="N448" s="43" t="str">
        <f t="shared" si="220"/>
        <v/>
      </c>
      <c r="O448" s="43" t="str">
        <f t="shared" si="220"/>
        <v/>
      </c>
      <c r="P448" s="43" t="str">
        <f t="shared" si="220"/>
        <v/>
      </c>
      <c r="Q448" s="43" t="str">
        <f t="shared" si="220"/>
        <v/>
      </c>
      <c r="R448" s="43" t="str">
        <f t="shared" si="221"/>
        <v/>
      </c>
      <c r="S448" s="43" t="str">
        <f t="shared" si="221"/>
        <v/>
      </c>
      <c r="T448" s="43" t="str">
        <f t="shared" si="221"/>
        <v/>
      </c>
      <c r="U448" s="43" t="str">
        <f t="shared" si="221"/>
        <v/>
      </c>
      <c r="V448" s="43" t="str">
        <f t="shared" si="221"/>
        <v/>
      </c>
      <c r="W448" s="43" t="str">
        <f t="shared" si="221"/>
        <v/>
      </c>
      <c r="X448" s="43" t="str">
        <f t="shared" si="221"/>
        <v/>
      </c>
      <c r="Y448" s="43" t="str">
        <f t="shared" si="221"/>
        <v/>
      </c>
      <c r="Z448" s="43" t="str">
        <f t="shared" si="221"/>
        <v/>
      </c>
      <c r="AA448" s="43" t="str">
        <f t="shared" si="221"/>
        <v/>
      </c>
      <c r="AB448" s="43" t="str">
        <f t="shared" si="222"/>
        <v/>
      </c>
      <c r="AC448" s="43" t="str">
        <f t="shared" si="222"/>
        <v/>
      </c>
      <c r="AD448" s="43" t="str">
        <f t="shared" si="222"/>
        <v/>
      </c>
      <c r="AE448" s="43" t="str">
        <f t="shared" si="222"/>
        <v/>
      </c>
      <c r="AF448" s="43" t="str">
        <f t="shared" si="222"/>
        <v/>
      </c>
      <c r="AG448" s="43" t="str">
        <f t="shared" si="222"/>
        <v/>
      </c>
      <c r="AH448" s="43" t="str">
        <f t="shared" si="222"/>
        <v/>
      </c>
      <c r="AI448" s="43" t="str">
        <f t="shared" si="222"/>
        <v/>
      </c>
      <c r="AJ448" s="43" t="str">
        <f t="shared" si="222"/>
        <v/>
      </c>
      <c r="AK448" s="43" t="str">
        <f t="shared" si="222"/>
        <v/>
      </c>
      <c r="AL448" s="43" t="str">
        <f t="shared" si="223"/>
        <v/>
      </c>
      <c r="AM448" s="43" t="str">
        <f t="shared" si="223"/>
        <v/>
      </c>
      <c r="AN448" s="43" t="str">
        <f t="shared" si="223"/>
        <v/>
      </c>
      <c r="AO448" s="43" t="str">
        <f t="shared" si="223"/>
        <v/>
      </c>
      <c r="AP448" s="43" t="str">
        <f t="shared" si="223"/>
        <v/>
      </c>
      <c r="AQ448" s="43" t="str">
        <f t="shared" si="223"/>
        <v/>
      </c>
      <c r="AR448" s="43" t="str">
        <f t="shared" si="223"/>
        <v/>
      </c>
      <c r="AS448" s="43" t="str">
        <f t="shared" si="223"/>
        <v/>
      </c>
      <c r="AT448" s="43" t="str">
        <f t="shared" si="223"/>
        <v/>
      </c>
      <c r="AU448" s="43" t="str">
        <f t="shared" si="223"/>
        <v/>
      </c>
      <c r="AV448" s="43" t="str">
        <f t="shared" si="224"/>
        <v/>
      </c>
      <c r="AW448" s="43" t="str">
        <f t="shared" si="224"/>
        <v/>
      </c>
      <c r="AX448" s="43" t="str">
        <f t="shared" si="224"/>
        <v/>
      </c>
      <c r="AY448" s="43" t="str">
        <f t="shared" si="224"/>
        <v/>
      </c>
      <c r="AZ448" s="43" t="str">
        <f t="shared" si="224"/>
        <v/>
      </c>
      <c r="BA448" s="43" t="str">
        <f t="shared" si="224"/>
        <v/>
      </c>
      <c r="BB448" s="43"/>
      <c r="BC448" s="43"/>
      <c r="BD448" s="43"/>
      <c r="BE448" s="43"/>
      <c r="BF448" s="43"/>
      <c r="BG448" s="43"/>
      <c r="BW448" s="1250"/>
    </row>
    <row r="449" spans="1:75" x14ac:dyDescent="0.25">
      <c r="A449" s="1251"/>
      <c r="B449" s="462">
        <v>443</v>
      </c>
      <c r="C449" s="462"/>
      <c r="D449" s="1244"/>
      <c r="E449" s="1050"/>
      <c r="F449" s="1244"/>
      <c r="H449" s="43" t="str">
        <f t="shared" si="220"/>
        <v/>
      </c>
      <c r="I449" s="43" t="str">
        <f t="shared" si="220"/>
        <v/>
      </c>
      <c r="J449" s="43" t="str">
        <f t="shared" si="220"/>
        <v/>
      </c>
      <c r="K449" s="43" t="str">
        <f t="shared" si="220"/>
        <v/>
      </c>
      <c r="L449" s="43" t="str">
        <f t="shared" si="220"/>
        <v/>
      </c>
      <c r="M449" s="43" t="str">
        <f t="shared" si="220"/>
        <v/>
      </c>
      <c r="N449" s="43" t="str">
        <f t="shared" si="220"/>
        <v/>
      </c>
      <c r="O449" s="43" t="str">
        <f t="shared" si="220"/>
        <v/>
      </c>
      <c r="P449" s="43" t="str">
        <f t="shared" si="220"/>
        <v/>
      </c>
      <c r="Q449" s="43" t="str">
        <f t="shared" si="220"/>
        <v/>
      </c>
      <c r="R449" s="43" t="str">
        <f t="shared" si="221"/>
        <v/>
      </c>
      <c r="S449" s="43" t="str">
        <f t="shared" si="221"/>
        <v/>
      </c>
      <c r="T449" s="43" t="str">
        <f t="shared" si="221"/>
        <v/>
      </c>
      <c r="U449" s="43" t="str">
        <f t="shared" si="221"/>
        <v/>
      </c>
      <c r="V449" s="43" t="str">
        <f t="shared" si="221"/>
        <v/>
      </c>
      <c r="W449" s="43" t="str">
        <f t="shared" si="221"/>
        <v/>
      </c>
      <c r="X449" s="43" t="str">
        <f t="shared" si="221"/>
        <v/>
      </c>
      <c r="Y449" s="43" t="str">
        <f t="shared" si="221"/>
        <v/>
      </c>
      <c r="Z449" s="43" t="str">
        <f t="shared" si="221"/>
        <v/>
      </c>
      <c r="AA449" s="43" t="str">
        <f t="shared" si="221"/>
        <v/>
      </c>
      <c r="AB449" s="43" t="str">
        <f t="shared" si="222"/>
        <v/>
      </c>
      <c r="AC449" s="43" t="str">
        <f t="shared" si="222"/>
        <v/>
      </c>
      <c r="AD449" s="43" t="str">
        <f t="shared" si="222"/>
        <v/>
      </c>
      <c r="AE449" s="43" t="str">
        <f t="shared" si="222"/>
        <v/>
      </c>
      <c r="AF449" s="43" t="str">
        <f t="shared" si="222"/>
        <v/>
      </c>
      <c r="AG449" s="43" t="str">
        <f t="shared" si="222"/>
        <v/>
      </c>
      <c r="AH449" s="43" t="str">
        <f t="shared" si="222"/>
        <v/>
      </c>
      <c r="AI449" s="43" t="str">
        <f t="shared" si="222"/>
        <v/>
      </c>
      <c r="AJ449" s="43" t="str">
        <f t="shared" si="222"/>
        <v/>
      </c>
      <c r="AK449" s="43" t="str">
        <f t="shared" si="222"/>
        <v/>
      </c>
      <c r="AL449" s="43" t="str">
        <f t="shared" si="223"/>
        <v/>
      </c>
      <c r="AM449" s="43" t="str">
        <f t="shared" si="223"/>
        <v/>
      </c>
      <c r="AN449" s="43" t="str">
        <f t="shared" si="223"/>
        <v/>
      </c>
      <c r="AO449" s="43" t="str">
        <f t="shared" si="223"/>
        <v/>
      </c>
      <c r="AP449" s="43" t="str">
        <f t="shared" si="223"/>
        <v/>
      </c>
      <c r="AQ449" s="43" t="str">
        <f t="shared" si="223"/>
        <v/>
      </c>
      <c r="AR449" s="43" t="str">
        <f t="shared" si="223"/>
        <v/>
      </c>
      <c r="AS449" s="43" t="str">
        <f t="shared" si="223"/>
        <v/>
      </c>
      <c r="AT449" s="43" t="str">
        <f t="shared" si="223"/>
        <v/>
      </c>
      <c r="AU449" s="43" t="str">
        <f t="shared" si="223"/>
        <v/>
      </c>
      <c r="AV449" s="43" t="str">
        <f t="shared" si="224"/>
        <v/>
      </c>
      <c r="AW449" s="43" t="str">
        <f t="shared" si="224"/>
        <v/>
      </c>
      <c r="AX449" s="43" t="str">
        <f t="shared" si="224"/>
        <v/>
      </c>
      <c r="AY449" s="43" t="str">
        <f t="shared" si="224"/>
        <v/>
      </c>
      <c r="AZ449" s="43" t="str">
        <f t="shared" si="224"/>
        <v/>
      </c>
      <c r="BA449" s="43" t="str">
        <f t="shared" si="224"/>
        <v/>
      </c>
      <c r="BB449" s="43"/>
      <c r="BC449" s="43"/>
      <c r="BD449" s="43"/>
      <c r="BE449" s="43"/>
      <c r="BF449" s="43"/>
      <c r="BG449" s="43"/>
      <c r="BW449" s="1250"/>
    </row>
    <row r="450" spans="1:75" x14ac:dyDescent="0.25">
      <c r="A450" s="1251"/>
      <c r="B450" s="462">
        <v>444</v>
      </c>
      <c r="C450" s="462"/>
      <c r="D450" s="1244"/>
      <c r="E450" s="1050"/>
      <c r="F450" s="1244"/>
      <c r="H450" s="43" t="str">
        <f t="shared" si="220"/>
        <v/>
      </c>
      <c r="I450" s="43" t="str">
        <f t="shared" si="220"/>
        <v/>
      </c>
      <c r="J450" s="43" t="str">
        <f t="shared" si="220"/>
        <v/>
      </c>
      <c r="K450" s="43" t="str">
        <f t="shared" si="220"/>
        <v/>
      </c>
      <c r="L450" s="43" t="str">
        <f t="shared" si="220"/>
        <v/>
      </c>
      <c r="M450" s="43" t="str">
        <f t="shared" si="220"/>
        <v/>
      </c>
      <c r="N450" s="43" t="str">
        <f t="shared" si="220"/>
        <v/>
      </c>
      <c r="O450" s="43" t="str">
        <f t="shared" si="220"/>
        <v/>
      </c>
      <c r="P450" s="43" t="str">
        <f t="shared" si="220"/>
        <v/>
      </c>
      <c r="Q450" s="43" t="str">
        <f t="shared" si="220"/>
        <v/>
      </c>
      <c r="R450" s="43" t="str">
        <f t="shared" si="221"/>
        <v/>
      </c>
      <c r="S450" s="43" t="str">
        <f t="shared" si="221"/>
        <v/>
      </c>
      <c r="T450" s="43" t="str">
        <f t="shared" si="221"/>
        <v/>
      </c>
      <c r="U450" s="43" t="str">
        <f t="shared" si="221"/>
        <v/>
      </c>
      <c r="V450" s="43" t="str">
        <f t="shared" si="221"/>
        <v/>
      </c>
      <c r="W450" s="43" t="str">
        <f t="shared" si="221"/>
        <v/>
      </c>
      <c r="X450" s="43" t="str">
        <f t="shared" si="221"/>
        <v/>
      </c>
      <c r="Y450" s="43" t="str">
        <f t="shared" si="221"/>
        <v/>
      </c>
      <c r="Z450" s="43" t="str">
        <f t="shared" si="221"/>
        <v/>
      </c>
      <c r="AA450" s="43" t="str">
        <f t="shared" si="221"/>
        <v/>
      </c>
      <c r="AB450" s="43" t="str">
        <f t="shared" si="222"/>
        <v/>
      </c>
      <c r="AC450" s="43" t="str">
        <f t="shared" si="222"/>
        <v/>
      </c>
      <c r="AD450" s="43" t="str">
        <f t="shared" si="222"/>
        <v/>
      </c>
      <c r="AE450" s="43" t="str">
        <f t="shared" si="222"/>
        <v/>
      </c>
      <c r="AF450" s="43" t="str">
        <f t="shared" si="222"/>
        <v/>
      </c>
      <c r="AG450" s="43" t="str">
        <f t="shared" si="222"/>
        <v/>
      </c>
      <c r="AH450" s="43" t="str">
        <f t="shared" si="222"/>
        <v/>
      </c>
      <c r="AI450" s="43" t="str">
        <f t="shared" si="222"/>
        <v/>
      </c>
      <c r="AJ450" s="43" t="str">
        <f t="shared" si="222"/>
        <v/>
      </c>
      <c r="AK450" s="43" t="str">
        <f t="shared" si="222"/>
        <v/>
      </c>
      <c r="AL450" s="43" t="str">
        <f t="shared" si="223"/>
        <v/>
      </c>
      <c r="AM450" s="43" t="str">
        <f t="shared" si="223"/>
        <v/>
      </c>
      <c r="AN450" s="43" t="str">
        <f t="shared" si="223"/>
        <v/>
      </c>
      <c r="AO450" s="43" t="str">
        <f t="shared" si="223"/>
        <v/>
      </c>
      <c r="AP450" s="43" t="str">
        <f t="shared" si="223"/>
        <v/>
      </c>
      <c r="AQ450" s="43" t="str">
        <f t="shared" si="223"/>
        <v/>
      </c>
      <c r="AR450" s="43" t="str">
        <f t="shared" si="223"/>
        <v/>
      </c>
      <c r="AS450" s="43" t="str">
        <f t="shared" si="223"/>
        <v/>
      </c>
      <c r="AT450" s="43" t="str">
        <f t="shared" si="223"/>
        <v/>
      </c>
      <c r="AU450" s="43" t="str">
        <f t="shared" si="223"/>
        <v/>
      </c>
      <c r="AV450" s="43" t="str">
        <f t="shared" si="224"/>
        <v/>
      </c>
      <c r="AW450" s="43" t="str">
        <f t="shared" si="224"/>
        <v/>
      </c>
      <c r="AX450" s="43" t="str">
        <f t="shared" si="224"/>
        <v/>
      </c>
      <c r="AY450" s="43" t="str">
        <f t="shared" si="224"/>
        <v/>
      </c>
      <c r="AZ450" s="43" t="str">
        <f t="shared" si="224"/>
        <v/>
      </c>
      <c r="BA450" s="43" t="str">
        <f t="shared" si="224"/>
        <v/>
      </c>
      <c r="BB450" s="43"/>
      <c r="BC450" s="43"/>
      <c r="BD450" s="43"/>
      <c r="BE450" s="43"/>
      <c r="BF450" s="43"/>
      <c r="BG450" s="43"/>
      <c r="BW450" s="1250"/>
    </row>
    <row r="451" spans="1:75" x14ac:dyDescent="0.25">
      <c r="A451" s="1251"/>
      <c r="B451" s="462">
        <v>445</v>
      </c>
      <c r="C451" s="462"/>
      <c r="D451" s="1244"/>
      <c r="E451" s="1050"/>
      <c r="F451" s="1244"/>
      <c r="H451" s="43" t="str">
        <f t="shared" si="220"/>
        <v/>
      </c>
      <c r="I451" s="43" t="str">
        <f t="shared" si="220"/>
        <v/>
      </c>
      <c r="J451" s="43" t="str">
        <f t="shared" si="220"/>
        <v/>
      </c>
      <c r="K451" s="43" t="str">
        <f t="shared" si="220"/>
        <v/>
      </c>
      <c r="L451" s="43" t="str">
        <f t="shared" si="220"/>
        <v/>
      </c>
      <c r="M451" s="43" t="str">
        <f t="shared" si="220"/>
        <v/>
      </c>
      <c r="N451" s="43" t="str">
        <f t="shared" si="220"/>
        <v/>
      </c>
      <c r="O451" s="43" t="str">
        <f t="shared" si="220"/>
        <v/>
      </c>
      <c r="P451" s="43" t="str">
        <f t="shared" si="220"/>
        <v/>
      </c>
      <c r="Q451" s="43" t="str">
        <f t="shared" si="220"/>
        <v/>
      </c>
      <c r="R451" s="43" t="str">
        <f t="shared" si="221"/>
        <v/>
      </c>
      <c r="S451" s="43" t="str">
        <f t="shared" si="221"/>
        <v/>
      </c>
      <c r="T451" s="43" t="str">
        <f t="shared" si="221"/>
        <v/>
      </c>
      <c r="U451" s="43" t="str">
        <f t="shared" si="221"/>
        <v/>
      </c>
      <c r="V451" s="43" t="str">
        <f t="shared" si="221"/>
        <v/>
      </c>
      <c r="W451" s="43" t="str">
        <f t="shared" si="221"/>
        <v/>
      </c>
      <c r="X451" s="43" t="str">
        <f t="shared" si="221"/>
        <v/>
      </c>
      <c r="Y451" s="43" t="str">
        <f t="shared" si="221"/>
        <v/>
      </c>
      <c r="Z451" s="43" t="str">
        <f t="shared" si="221"/>
        <v/>
      </c>
      <c r="AA451" s="43" t="str">
        <f t="shared" si="221"/>
        <v/>
      </c>
      <c r="AB451" s="43" t="str">
        <f t="shared" si="222"/>
        <v/>
      </c>
      <c r="AC451" s="43" t="str">
        <f t="shared" si="222"/>
        <v/>
      </c>
      <c r="AD451" s="43" t="str">
        <f t="shared" si="222"/>
        <v/>
      </c>
      <c r="AE451" s="43" t="str">
        <f t="shared" si="222"/>
        <v/>
      </c>
      <c r="AF451" s="43" t="str">
        <f t="shared" si="222"/>
        <v/>
      </c>
      <c r="AG451" s="43" t="str">
        <f t="shared" si="222"/>
        <v/>
      </c>
      <c r="AH451" s="43" t="str">
        <f t="shared" si="222"/>
        <v/>
      </c>
      <c r="AI451" s="43" t="str">
        <f t="shared" si="222"/>
        <v/>
      </c>
      <c r="AJ451" s="43" t="str">
        <f t="shared" si="222"/>
        <v/>
      </c>
      <c r="AK451" s="43" t="str">
        <f t="shared" si="222"/>
        <v/>
      </c>
      <c r="AL451" s="43" t="str">
        <f t="shared" si="223"/>
        <v/>
      </c>
      <c r="AM451" s="43" t="str">
        <f t="shared" si="223"/>
        <v/>
      </c>
      <c r="AN451" s="43" t="str">
        <f t="shared" si="223"/>
        <v/>
      </c>
      <c r="AO451" s="43" t="str">
        <f t="shared" si="223"/>
        <v/>
      </c>
      <c r="AP451" s="43" t="str">
        <f t="shared" si="223"/>
        <v/>
      </c>
      <c r="AQ451" s="43" t="str">
        <f t="shared" si="223"/>
        <v/>
      </c>
      <c r="AR451" s="43" t="str">
        <f t="shared" si="223"/>
        <v/>
      </c>
      <c r="AS451" s="43" t="str">
        <f t="shared" si="223"/>
        <v/>
      </c>
      <c r="AT451" s="43" t="str">
        <f t="shared" si="223"/>
        <v/>
      </c>
      <c r="AU451" s="43" t="str">
        <f t="shared" si="223"/>
        <v/>
      </c>
      <c r="AV451" s="43" t="str">
        <f t="shared" si="224"/>
        <v/>
      </c>
      <c r="AW451" s="43" t="str">
        <f t="shared" si="224"/>
        <v/>
      </c>
      <c r="AX451" s="43" t="str">
        <f t="shared" si="224"/>
        <v/>
      </c>
      <c r="AY451" s="43" t="str">
        <f t="shared" si="224"/>
        <v/>
      </c>
      <c r="AZ451" s="43" t="str">
        <f t="shared" si="224"/>
        <v/>
      </c>
      <c r="BA451" s="43" t="str">
        <f t="shared" si="224"/>
        <v/>
      </c>
      <c r="BB451" s="43"/>
      <c r="BC451" s="43"/>
      <c r="BD451" s="43"/>
      <c r="BE451" s="43"/>
      <c r="BF451" s="43"/>
      <c r="BG451" s="43"/>
      <c r="BW451" s="1250"/>
    </row>
    <row r="452" spans="1:75" x14ac:dyDescent="0.25">
      <c r="A452" s="1251"/>
      <c r="B452" s="462">
        <v>446</v>
      </c>
      <c r="C452" s="462"/>
      <c r="D452" s="1244"/>
      <c r="E452" s="1050"/>
      <c r="F452" s="1244"/>
      <c r="H452" s="43" t="str">
        <f t="shared" si="220"/>
        <v/>
      </c>
      <c r="I452" s="43" t="str">
        <f t="shared" si="220"/>
        <v/>
      </c>
      <c r="J452" s="43" t="str">
        <f t="shared" si="220"/>
        <v/>
      </c>
      <c r="K452" s="43" t="str">
        <f t="shared" si="220"/>
        <v/>
      </c>
      <c r="L452" s="43" t="str">
        <f t="shared" si="220"/>
        <v/>
      </c>
      <c r="M452" s="43" t="str">
        <f t="shared" si="220"/>
        <v/>
      </c>
      <c r="N452" s="43" t="str">
        <f t="shared" si="220"/>
        <v/>
      </c>
      <c r="O452" s="43" t="str">
        <f t="shared" si="220"/>
        <v/>
      </c>
      <c r="P452" s="43" t="str">
        <f t="shared" si="220"/>
        <v/>
      </c>
      <c r="Q452" s="43" t="str">
        <f t="shared" si="220"/>
        <v/>
      </c>
      <c r="R452" s="43" t="str">
        <f t="shared" si="221"/>
        <v/>
      </c>
      <c r="S452" s="43" t="str">
        <f t="shared" si="221"/>
        <v/>
      </c>
      <c r="T452" s="43" t="str">
        <f t="shared" si="221"/>
        <v/>
      </c>
      <c r="U452" s="43" t="str">
        <f t="shared" si="221"/>
        <v/>
      </c>
      <c r="V452" s="43" t="str">
        <f t="shared" si="221"/>
        <v/>
      </c>
      <c r="W452" s="43" t="str">
        <f t="shared" si="221"/>
        <v/>
      </c>
      <c r="X452" s="43" t="str">
        <f t="shared" si="221"/>
        <v/>
      </c>
      <c r="Y452" s="43" t="str">
        <f t="shared" si="221"/>
        <v/>
      </c>
      <c r="Z452" s="43" t="str">
        <f t="shared" si="221"/>
        <v/>
      </c>
      <c r="AA452" s="43" t="str">
        <f t="shared" si="221"/>
        <v/>
      </c>
      <c r="AB452" s="43" t="str">
        <f t="shared" si="222"/>
        <v/>
      </c>
      <c r="AC452" s="43" t="str">
        <f t="shared" si="222"/>
        <v/>
      </c>
      <c r="AD452" s="43" t="str">
        <f t="shared" si="222"/>
        <v/>
      </c>
      <c r="AE452" s="43" t="str">
        <f t="shared" si="222"/>
        <v/>
      </c>
      <c r="AF452" s="43" t="str">
        <f t="shared" si="222"/>
        <v/>
      </c>
      <c r="AG452" s="43" t="str">
        <f t="shared" si="222"/>
        <v/>
      </c>
      <c r="AH452" s="43" t="str">
        <f t="shared" si="222"/>
        <v/>
      </c>
      <c r="AI452" s="43" t="str">
        <f t="shared" si="222"/>
        <v/>
      </c>
      <c r="AJ452" s="43" t="str">
        <f t="shared" si="222"/>
        <v/>
      </c>
      <c r="AK452" s="43" t="str">
        <f t="shared" si="222"/>
        <v/>
      </c>
      <c r="AL452" s="43" t="str">
        <f t="shared" si="223"/>
        <v/>
      </c>
      <c r="AM452" s="43" t="str">
        <f t="shared" si="223"/>
        <v/>
      </c>
      <c r="AN452" s="43" t="str">
        <f t="shared" si="223"/>
        <v/>
      </c>
      <c r="AO452" s="43" t="str">
        <f t="shared" si="223"/>
        <v/>
      </c>
      <c r="AP452" s="43" t="str">
        <f t="shared" si="223"/>
        <v/>
      </c>
      <c r="AQ452" s="43" t="str">
        <f t="shared" si="223"/>
        <v/>
      </c>
      <c r="AR452" s="43" t="str">
        <f t="shared" si="223"/>
        <v/>
      </c>
      <c r="AS452" s="43" t="str">
        <f t="shared" si="223"/>
        <v/>
      </c>
      <c r="AT452" s="43" t="str">
        <f t="shared" si="223"/>
        <v/>
      </c>
      <c r="AU452" s="43" t="str">
        <f t="shared" si="223"/>
        <v/>
      </c>
      <c r="AV452" s="43" t="str">
        <f t="shared" si="224"/>
        <v/>
      </c>
      <c r="AW452" s="43" t="str">
        <f t="shared" si="224"/>
        <v/>
      </c>
      <c r="AX452" s="43" t="str">
        <f t="shared" si="224"/>
        <v/>
      </c>
      <c r="AY452" s="43" t="str">
        <f t="shared" si="224"/>
        <v/>
      </c>
      <c r="AZ452" s="43" t="str">
        <f t="shared" si="224"/>
        <v/>
      </c>
      <c r="BA452" s="43" t="str">
        <f t="shared" si="224"/>
        <v/>
      </c>
      <c r="BB452" s="43"/>
      <c r="BC452" s="43"/>
      <c r="BD452" s="43"/>
      <c r="BE452" s="43"/>
      <c r="BF452" s="43"/>
      <c r="BG452" s="43"/>
      <c r="BW452" s="1250"/>
    </row>
    <row r="453" spans="1:75" x14ac:dyDescent="0.25">
      <c r="A453" s="1251"/>
      <c r="B453" s="462">
        <v>447</v>
      </c>
      <c r="C453" s="462"/>
      <c r="D453" s="1244"/>
      <c r="E453" s="1050"/>
      <c r="F453" s="1244"/>
      <c r="H453" s="43" t="str">
        <f t="shared" si="220"/>
        <v/>
      </c>
      <c r="I453" s="43" t="str">
        <f t="shared" si="220"/>
        <v/>
      </c>
      <c r="J453" s="43" t="str">
        <f t="shared" si="220"/>
        <v/>
      </c>
      <c r="K453" s="43" t="str">
        <f t="shared" si="220"/>
        <v/>
      </c>
      <c r="L453" s="43" t="str">
        <f t="shared" si="220"/>
        <v/>
      </c>
      <c r="M453" s="43" t="str">
        <f t="shared" si="220"/>
        <v/>
      </c>
      <c r="N453" s="43" t="str">
        <f t="shared" si="220"/>
        <v/>
      </c>
      <c r="O453" s="43" t="str">
        <f t="shared" si="220"/>
        <v/>
      </c>
      <c r="P453" s="43" t="str">
        <f t="shared" si="220"/>
        <v/>
      </c>
      <c r="Q453" s="43" t="str">
        <f t="shared" si="220"/>
        <v/>
      </c>
      <c r="R453" s="43" t="str">
        <f t="shared" si="221"/>
        <v/>
      </c>
      <c r="S453" s="43" t="str">
        <f t="shared" si="221"/>
        <v/>
      </c>
      <c r="T453" s="43" t="str">
        <f t="shared" si="221"/>
        <v/>
      </c>
      <c r="U453" s="43" t="str">
        <f t="shared" si="221"/>
        <v/>
      </c>
      <c r="V453" s="43" t="str">
        <f t="shared" si="221"/>
        <v/>
      </c>
      <c r="W453" s="43" t="str">
        <f t="shared" si="221"/>
        <v/>
      </c>
      <c r="X453" s="43" t="str">
        <f t="shared" si="221"/>
        <v/>
      </c>
      <c r="Y453" s="43" t="str">
        <f t="shared" si="221"/>
        <v/>
      </c>
      <c r="Z453" s="43" t="str">
        <f t="shared" si="221"/>
        <v/>
      </c>
      <c r="AA453" s="43" t="str">
        <f t="shared" si="221"/>
        <v/>
      </c>
      <c r="AB453" s="43" t="str">
        <f t="shared" si="222"/>
        <v/>
      </c>
      <c r="AC453" s="43" t="str">
        <f t="shared" si="222"/>
        <v/>
      </c>
      <c r="AD453" s="43" t="str">
        <f t="shared" si="222"/>
        <v/>
      </c>
      <c r="AE453" s="43" t="str">
        <f t="shared" si="222"/>
        <v/>
      </c>
      <c r="AF453" s="43" t="str">
        <f t="shared" si="222"/>
        <v/>
      </c>
      <c r="AG453" s="43" t="str">
        <f t="shared" si="222"/>
        <v/>
      </c>
      <c r="AH453" s="43" t="str">
        <f t="shared" si="222"/>
        <v/>
      </c>
      <c r="AI453" s="43" t="str">
        <f t="shared" si="222"/>
        <v/>
      </c>
      <c r="AJ453" s="43" t="str">
        <f t="shared" si="222"/>
        <v/>
      </c>
      <c r="AK453" s="43" t="str">
        <f t="shared" si="222"/>
        <v/>
      </c>
      <c r="AL453" s="43" t="str">
        <f t="shared" si="223"/>
        <v/>
      </c>
      <c r="AM453" s="43" t="str">
        <f t="shared" si="223"/>
        <v/>
      </c>
      <c r="AN453" s="43" t="str">
        <f t="shared" si="223"/>
        <v/>
      </c>
      <c r="AO453" s="43" t="str">
        <f t="shared" si="223"/>
        <v/>
      </c>
      <c r="AP453" s="43" t="str">
        <f t="shared" si="223"/>
        <v/>
      </c>
      <c r="AQ453" s="43" t="str">
        <f t="shared" si="223"/>
        <v/>
      </c>
      <c r="AR453" s="43" t="str">
        <f t="shared" si="223"/>
        <v/>
      </c>
      <c r="AS453" s="43" t="str">
        <f t="shared" si="223"/>
        <v/>
      </c>
      <c r="AT453" s="43" t="str">
        <f t="shared" si="223"/>
        <v/>
      </c>
      <c r="AU453" s="43" t="str">
        <f t="shared" si="223"/>
        <v/>
      </c>
      <c r="AV453" s="43" t="str">
        <f t="shared" si="224"/>
        <v/>
      </c>
      <c r="AW453" s="43" t="str">
        <f t="shared" si="224"/>
        <v/>
      </c>
      <c r="AX453" s="43" t="str">
        <f t="shared" si="224"/>
        <v/>
      </c>
      <c r="AY453" s="43" t="str">
        <f t="shared" si="224"/>
        <v/>
      </c>
      <c r="AZ453" s="43" t="str">
        <f t="shared" si="224"/>
        <v/>
      </c>
      <c r="BA453" s="43" t="str">
        <f t="shared" si="224"/>
        <v/>
      </c>
      <c r="BB453" s="43"/>
      <c r="BC453" s="43"/>
      <c r="BD453" s="43"/>
      <c r="BE453" s="43"/>
      <c r="BF453" s="43"/>
      <c r="BG453" s="43"/>
      <c r="BW453" s="1250"/>
    </row>
    <row r="454" spans="1:75" x14ac:dyDescent="0.25">
      <c r="A454" s="1251"/>
      <c r="B454" s="462">
        <v>448</v>
      </c>
      <c r="C454" s="462"/>
      <c r="D454" s="1244"/>
      <c r="E454" s="1050"/>
      <c r="F454" s="1244"/>
      <c r="H454" s="43" t="str">
        <f t="shared" si="220"/>
        <v/>
      </c>
      <c r="I454" s="43" t="str">
        <f t="shared" si="220"/>
        <v/>
      </c>
      <c r="J454" s="43" t="str">
        <f t="shared" si="220"/>
        <v/>
      </c>
      <c r="K454" s="43" t="str">
        <f t="shared" si="220"/>
        <v/>
      </c>
      <c r="L454" s="43" t="str">
        <f t="shared" si="220"/>
        <v/>
      </c>
      <c r="M454" s="43" t="str">
        <f t="shared" si="220"/>
        <v/>
      </c>
      <c r="N454" s="43" t="str">
        <f t="shared" si="220"/>
        <v/>
      </c>
      <c r="O454" s="43" t="str">
        <f t="shared" si="220"/>
        <v/>
      </c>
      <c r="P454" s="43" t="str">
        <f t="shared" si="220"/>
        <v/>
      </c>
      <c r="Q454" s="43" t="str">
        <f t="shared" si="220"/>
        <v/>
      </c>
      <c r="R454" s="43" t="str">
        <f t="shared" si="221"/>
        <v/>
      </c>
      <c r="S454" s="43" t="str">
        <f t="shared" si="221"/>
        <v/>
      </c>
      <c r="T454" s="43" t="str">
        <f t="shared" si="221"/>
        <v/>
      </c>
      <c r="U454" s="43" t="str">
        <f t="shared" si="221"/>
        <v/>
      </c>
      <c r="V454" s="43" t="str">
        <f t="shared" si="221"/>
        <v/>
      </c>
      <c r="W454" s="43" t="str">
        <f t="shared" si="221"/>
        <v/>
      </c>
      <c r="X454" s="43" t="str">
        <f t="shared" si="221"/>
        <v/>
      </c>
      <c r="Y454" s="43" t="str">
        <f t="shared" si="221"/>
        <v/>
      </c>
      <c r="Z454" s="43" t="str">
        <f t="shared" si="221"/>
        <v/>
      </c>
      <c r="AA454" s="43" t="str">
        <f t="shared" si="221"/>
        <v/>
      </c>
      <c r="AB454" s="43" t="str">
        <f t="shared" si="222"/>
        <v/>
      </c>
      <c r="AC454" s="43" t="str">
        <f t="shared" si="222"/>
        <v/>
      </c>
      <c r="AD454" s="43" t="str">
        <f t="shared" si="222"/>
        <v/>
      </c>
      <c r="AE454" s="43" t="str">
        <f t="shared" si="222"/>
        <v/>
      </c>
      <c r="AF454" s="43" t="str">
        <f t="shared" si="222"/>
        <v/>
      </c>
      <c r="AG454" s="43" t="str">
        <f t="shared" si="222"/>
        <v/>
      </c>
      <c r="AH454" s="43" t="str">
        <f t="shared" si="222"/>
        <v/>
      </c>
      <c r="AI454" s="43" t="str">
        <f t="shared" si="222"/>
        <v/>
      </c>
      <c r="AJ454" s="43" t="str">
        <f t="shared" si="222"/>
        <v/>
      </c>
      <c r="AK454" s="43" t="str">
        <f t="shared" si="222"/>
        <v/>
      </c>
      <c r="AL454" s="43" t="str">
        <f t="shared" si="223"/>
        <v/>
      </c>
      <c r="AM454" s="43" t="str">
        <f t="shared" si="223"/>
        <v/>
      </c>
      <c r="AN454" s="43" t="str">
        <f t="shared" si="223"/>
        <v/>
      </c>
      <c r="AO454" s="43" t="str">
        <f t="shared" si="223"/>
        <v/>
      </c>
      <c r="AP454" s="43" t="str">
        <f t="shared" si="223"/>
        <v/>
      </c>
      <c r="AQ454" s="43" t="str">
        <f t="shared" si="223"/>
        <v/>
      </c>
      <c r="AR454" s="43" t="str">
        <f t="shared" si="223"/>
        <v/>
      </c>
      <c r="AS454" s="43" t="str">
        <f t="shared" si="223"/>
        <v/>
      </c>
      <c r="AT454" s="43" t="str">
        <f t="shared" si="223"/>
        <v/>
      </c>
      <c r="AU454" s="43" t="str">
        <f t="shared" si="223"/>
        <v/>
      </c>
      <c r="AV454" s="43" t="str">
        <f t="shared" si="224"/>
        <v/>
      </c>
      <c r="AW454" s="43" t="str">
        <f t="shared" si="224"/>
        <v/>
      </c>
      <c r="AX454" s="43" t="str">
        <f t="shared" si="224"/>
        <v/>
      </c>
      <c r="AY454" s="43" t="str">
        <f t="shared" si="224"/>
        <v/>
      </c>
      <c r="AZ454" s="43" t="str">
        <f t="shared" si="224"/>
        <v/>
      </c>
      <c r="BA454" s="43" t="str">
        <f t="shared" si="224"/>
        <v/>
      </c>
      <c r="BB454" s="43"/>
      <c r="BC454" s="43"/>
      <c r="BD454" s="43"/>
      <c r="BE454" s="43"/>
      <c r="BF454" s="43"/>
      <c r="BG454" s="43"/>
      <c r="BW454" s="1250"/>
    </row>
    <row r="455" spans="1:75" x14ac:dyDescent="0.25">
      <c r="A455" s="1251"/>
      <c r="B455" s="462">
        <v>449</v>
      </c>
      <c r="C455" s="462"/>
      <c r="D455" s="1244"/>
      <c r="E455" s="1050"/>
      <c r="F455" s="1244"/>
      <c r="H455" s="43" t="str">
        <f t="shared" si="220"/>
        <v/>
      </c>
      <c r="I455" s="43" t="str">
        <f t="shared" si="220"/>
        <v/>
      </c>
      <c r="J455" s="43" t="str">
        <f t="shared" si="220"/>
        <v/>
      </c>
      <c r="K455" s="43" t="str">
        <f t="shared" si="220"/>
        <v/>
      </c>
      <c r="L455" s="43" t="str">
        <f t="shared" si="220"/>
        <v/>
      </c>
      <c r="M455" s="43" t="str">
        <f t="shared" si="220"/>
        <v/>
      </c>
      <c r="N455" s="43" t="str">
        <f t="shared" si="220"/>
        <v/>
      </c>
      <c r="O455" s="43" t="str">
        <f t="shared" si="220"/>
        <v/>
      </c>
      <c r="P455" s="43" t="str">
        <f t="shared" si="220"/>
        <v/>
      </c>
      <c r="Q455" s="43" t="str">
        <f t="shared" si="220"/>
        <v/>
      </c>
      <c r="R455" s="43" t="str">
        <f t="shared" si="221"/>
        <v/>
      </c>
      <c r="S455" s="43" t="str">
        <f t="shared" si="221"/>
        <v/>
      </c>
      <c r="T455" s="43" t="str">
        <f t="shared" si="221"/>
        <v/>
      </c>
      <c r="U455" s="43" t="str">
        <f t="shared" si="221"/>
        <v/>
      </c>
      <c r="V455" s="43" t="str">
        <f t="shared" si="221"/>
        <v/>
      </c>
      <c r="W455" s="43" t="str">
        <f t="shared" si="221"/>
        <v/>
      </c>
      <c r="X455" s="43" t="str">
        <f t="shared" si="221"/>
        <v/>
      </c>
      <c r="Y455" s="43" t="str">
        <f t="shared" si="221"/>
        <v/>
      </c>
      <c r="Z455" s="43" t="str">
        <f t="shared" si="221"/>
        <v/>
      </c>
      <c r="AA455" s="43" t="str">
        <f t="shared" si="221"/>
        <v/>
      </c>
      <c r="AB455" s="43" t="str">
        <f t="shared" si="222"/>
        <v/>
      </c>
      <c r="AC455" s="43" t="str">
        <f t="shared" si="222"/>
        <v/>
      </c>
      <c r="AD455" s="43" t="str">
        <f t="shared" si="222"/>
        <v/>
      </c>
      <c r="AE455" s="43" t="str">
        <f t="shared" si="222"/>
        <v/>
      </c>
      <c r="AF455" s="43" t="str">
        <f t="shared" si="222"/>
        <v/>
      </c>
      <c r="AG455" s="43" t="str">
        <f t="shared" si="222"/>
        <v/>
      </c>
      <c r="AH455" s="43" t="str">
        <f t="shared" si="222"/>
        <v/>
      </c>
      <c r="AI455" s="43" t="str">
        <f t="shared" si="222"/>
        <v/>
      </c>
      <c r="AJ455" s="43" t="str">
        <f t="shared" si="222"/>
        <v/>
      </c>
      <c r="AK455" s="43" t="str">
        <f t="shared" si="222"/>
        <v/>
      </c>
      <c r="AL455" s="43" t="str">
        <f t="shared" si="223"/>
        <v/>
      </c>
      <c r="AM455" s="43" t="str">
        <f t="shared" si="223"/>
        <v/>
      </c>
      <c r="AN455" s="43" t="str">
        <f t="shared" si="223"/>
        <v/>
      </c>
      <c r="AO455" s="43" t="str">
        <f t="shared" si="223"/>
        <v/>
      </c>
      <c r="AP455" s="43" t="str">
        <f t="shared" si="223"/>
        <v/>
      </c>
      <c r="AQ455" s="43" t="str">
        <f t="shared" si="223"/>
        <v/>
      </c>
      <c r="AR455" s="43" t="str">
        <f t="shared" si="223"/>
        <v/>
      </c>
      <c r="AS455" s="43" t="str">
        <f t="shared" si="223"/>
        <v/>
      </c>
      <c r="AT455" s="43" t="str">
        <f t="shared" si="223"/>
        <v/>
      </c>
      <c r="AU455" s="43" t="str">
        <f t="shared" si="223"/>
        <v/>
      </c>
      <c r="AV455" s="43" t="str">
        <f t="shared" si="224"/>
        <v/>
      </c>
      <c r="AW455" s="43" t="str">
        <f t="shared" si="224"/>
        <v/>
      </c>
      <c r="AX455" s="43" t="str">
        <f t="shared" si="224"/>
        <v/>
      </c>
      <c r="AY455" s="43" t="str">
        <f t="shared" si="224"/>
        <v/>
      </c>
      <c r="AZ455" s="43" t="str">
        <f t="shared" si="224"/>
        <v/>
      </c>
      <c r="BA455" s="43" t="str">
        <f t="shared" si="224"/>
        <v/>
      </c>
      <c r="BB455" s="43"/>
      <c r="BC455" s="43"/>
      <c r="BD455" s="43"/>
      <c r="BE455" s="43"/>
      <c r="BF455" s="43"/>
      <c r="BG455" s="43"/>
      <c r="BW455" s="1250"/>
    </row>
    <row r="456" spans="1:75" x14ac:dyDescent="0.25">
      <c r="A456" s="1251"/>
      <c r="B456" s="462">
        <v>450</v>
      </c>
      <c r="C456" s="462"/>
      <c r="D456" s="1244"/>
      <c r="E456" s="1050"/>
      <c r="F456" s="1244"/>
      <c r="H456" s="43" t="str">
        <f t="shared" si="220"/>
        <v/>
      </c>
      <c r="I456" s="43" t="str">
        <f t="shared" si="220"/>
        <v/>
      </c>
      <c r="J456" s="43" t="str">
        <f t="shared" si="220"/>
        <v/>
      </c>
      <c r="K456" s="43" t="str">
        <f t="shared" si="220"/>
        <v/>
      </c>
      <c r="L456" s="43" t="str">
        <f t="shared" si="220"/>
        <v/>
      </c>
      <c r="M456" s="43" t="str">
        <f t="shared" si="220"/>
        <v/>
      </c>
      <c r="N456" s="43" t="str">
        <f t="shared" si="220"/>
        <v/>
      </c>
      <c r="O456" s="43" t="str">
        <f t="shared" si="220"/>
        <v/>
      </c>
      <c r="P456" s="43" t="str">
        <f t="shared" si="220"/>
        <v/>
      </c>
      <c r="Q456" s="43" t="str">
        <f t="shared" si="220"/>
        <v/>
      </c>
      <c r="R456" s="43" t="str">
        <f t="shared" si="221"/>
        <v/>
      </c>
      <c r="S456" s="43" t="str">
        <f t="shared" si="221"/>
        <v/>
      </c>
      <c r="T456" s="43" t="str">
        <f t="shared" si="221"/>
        <v/>
      </c>
      <c r="U456" s="43" t="str">
        <f t="shared" si="221"/>
        <v/>
      </c>
      <c r="V456" s="43" t="str">
        <f t="shared" si="221"/>
        <v/>
      </c>
      <c r="W456" s="43" t="str">
        <f t="shared" si="221"/>
        <v/>
      </c>
      <c r="X456" s="43" t="str">
        <f t="shared" si="221"/>
        <v/>
      </c>
      <c r="Y456" s="43" t="str">
        <f t="shared" si="221"/>
        <v/>
      </c>
      <c r="Z456" s="43" t="str">
        <f t="shared" si="221"/>
        <v/>
      </c>
      <c r="AA456" s="43" t="str">
        <f t="shared" si="221"/>
        <v/>
      </c>
      <c r="AB456" s="43" t="str">
        <f t="shared" si="222"/>
        <v/>
      </c>
      <c r="AC456" s="43" t="str">
        <f t="shared" si="222"/>
        <v/>
      </c>
      <c r="AD456" s="43" t="str">
        <f t="shared" si="222"/>
        <v/>
      </c>
      <c r="AE456" s="43" t="str">
        <f t="shared" si="222"/>
        <v/>
      </c>
      <c r="AF456" s="43" t="str">
        <f t="shared" si="222"/>
        <v/>
      </c>
      <c r="AG456" s="43" t="str">
        <f t="shared" si="222"/>
        <v/>
      </c>
      <c r="AH456" s="43" t="str">
        <f t="shared" si="222"/>
        <v/>
      </c>
      <c r="AI456" s="43" t="str">
        <f t="shared" si="222"/>
        <v/>
      </c>
      <c r="AJ456" s="43" t="str">
        <f t="shared" si="222"/>
        <v/>
      </c>
      <c r="AK456" s="43" t="str">
        <f t="shared" si="222"/>
        <v/>
      </c>
      <c r="AL456" s="43" t="str">
        <f t="shared" si="223"/>
        <v/>
      </c>
      <c r="AM456" s="43" t="str">
        <f t="shared" si="223"/>
        <v/>
      </c>
      <c r="AN456" s="43" t="str">
        <f t="shared" si="223"/>
        <v/>
      </c>
      <c r="AO456" s="43" t="str">
        <f t="shared" si="223"/>
        <v/>
      </c>
      <c r="AP456" s="43" t="str">
        <f t="shared" si="223"/>
        <v/>
      </c>
      <c r="AQ456" s="43" t="str">
        <f t="shared" si="223"/>
        <v/>
      </c>
      <c r="AR456" s="43" t="str">
        <f t="shared" si="223"/>
        <v/>
      </c>
      <c r="AS456" s="43" t="str">
        <f t="shared" si="223"/>
        <v/>
      </c>
      <c r="AT456" s="43" t="str">
        <f t="shared" si="223"/>
        <v/>
      </c>
      <c r="AU456" s="43" t="str">
        <f t="shared" si="223"/>
        <v/>
      </c>
      <c r="AV456" s="43" t="str">
        <f t="shared" si="224"/>
        <v/>
      </c>
      <c r="AW456" s="43" t="str">
        <f t="shared" si="224"/>
        <v/>
      </c>
      <c r="AX456" s="43" t="str">
        <f t="shared" si="224"/>
        <v/>
      </c>
      <c r="AY456" s="43" t="str">
        <f t="shared" si="224"/>
        <v/>
      </c>
      <c r="AZ456" s="43" t="str">
        <f t="shared" si="224"/>
        <v/>
      </c>
      <c r="BA456" s="43" t="str">
        <f t="shared" si="224"/>
        <v/>
      </c>
      <c r="BB456" s="43"/>
      <c r="BC456" s="43"/>
      <c r="BD456" s="43"/>
      <c r="BE456" s="43"/>
      <c r="BF456" s="43"/>
      <c r="BG456" s="43"/>
      <c r="BW456" s="1250"/>
    </row>
    <row r="457" spans="1:75" x14ac:dyDescent="0.25">
      <c r="A457" s="1251"/>
      <c r="B457" s="462">
        <v>451</v>
      </c>
      <c r="C457" s="462"/>
      <c r="D457" s="1244"/>
      <c r="E457" s="1050"/>
      <c r="F457" s="1244"/>
      <c r="H457" s="43" t="str">
        <f t="shared" ref="H457:Q466" si="225">IF($D457=H$6,$B457&amp;", ","")</f>
        <v/>
      </c>
      <c r="I457" s="43" t="str">
        <f t="shared" si="225"/>
        <v/>
      </c>
      <c r="J457" s="43" t="str">
        <f t="shared" si="225"/>
        <v/>
      </c>
      <c r="K457" s="43" t="str">
        <f t="shared" si="225"/>
        <v/>
      </c>
      <c r="L457" s="43" t="str">
        <f t="shared" si="225"/>
        <v/>
      </c>
      <c r="M457" s="43" t="str">
        <f t="shared" si="225"/>
        <v/>
      </c>
      <c r="N457" s="43" t="str">
        <f t="shared" si="225"/>
        <v/>
      </c>
      <c r="O457" s="43" t="str">
        <f t="shared" si="225"/>
        <v/>
      </c>
      <c r="P457" s="43" t="str">
        <f t="shared" si="225"/>
        <v/>
      </c>
      <c r="Q457" s="43" t="str">
        <f t="shared" si="225"/>
        <v/>
      </c>
      <c r="R457" s="43" t="str">
        <f t="shared" ref="R457:AA466" si="226">IF($D457=R$6,$B457&amp;", ","")</f>
        <v/>
      </c>
      <c r="S457" s="43" t="str">
        <f t="shared" si="226"/>
        <v/>
      </c>
      <c r="T457" s="43" t="str">
        <f t="shared" si="226"/>
        <v/>
      </c>
      <c r="U457" s="43" t="str">
        <f t="shared" si="226"/>
        <v/>
      </c>
      <c r="V457" s="43" t="str">
        <f t="shared" si="226"/>
        <v/>
      </c>
      <c r="W457" s="43" t="str">
        <f t="shared" si="226"/>
        <v/>
      </c>
      <c r="X457" s="43" t="str">
        <f t="shared" si="226"/>
        <v/>
      </c>
      <c r="Y457" s="43" t="str">
        <f t="shared" si="226"/>
        <v/>
      </c>
      <c r="Z457" s="43" t="str">
        <f t="shared" si="226"/>
        <v/>
      </c>
      <c r="AA457" s="43" t="str">
        <f t="shared" si="226"/>
        <v/>
      </c>
      <c r="AB457" s="43" t="str">
        <f t="shared" ref="AB457:AK466" si="227">IF($D457=AB$6,$B457&amp;", ","")</f>
        <v/>
      </c>
      <c r="AC457" s="43" t="str">
        <f t="shared" si="227"/>
        <v/>
      </c>
      <c r="AD457" s="43" t="str">
        <f t="shared" si="227"/>
        <v/>
      </c>
      <c r="AE457" s="43" t="str">
        <f t="shared" si="227"/>
        <v/>
      </c>
      <c r="AF457" s="43" t="str">
        <f t="shared" si="227"/>
        <v/>
      </c>
      <c r="AG457" s="43" t="str">
        <f t="shared" si="227"/>
        <v/>
      </c>
      <c r="AH457" s="43" t="str">
        <f t="shared" si="227"/>
        <v/>
      </c>
      <c r="AI457" s="43" t="str">
        <f t="shared" si="227"/>
        <v/>
      </c>
      <c r="AJ457" s="43" t="str">
        <f t="shared" si="227"/>
        <v/>
      </c>
      <c r="AK457" s="43" t="str">
        <f t="shared" si="227"/>
        <v/>
      </c>
      <c r="AL457" s="43" t="str">
        <f t="shared" ref="AL457:AU466" si="228">IF($D457=AL$6,$B457&amp;", ","")</f>
        <v/>
      </c>
      <c r="AM457" s="43" t="str">
        <f t="shared" si="228"/>
        <v/>
      </c>
      <c r="AN457" s="43" t="str">
        <f t="shared" si="228"/>
        <v/>
      </c>
      <c r="AO457" s="43" t="str">
        <f t="shared" si="228"/>
        <v/>
      </c>
      <c r="AP457" s="43" t="str">
        <f t="shared" si="228"/>
        <v/>
      </c>
      <c r="AQ457" s="43" t="str">
        <f t="shared" si="228"/>
        <v/>
      </c>
      <c r="AR457" s="43" t="str">
        <f t="shared" si="228"/>
        <v/>
      </c>
      <c r="AS457" s="43" t="str">
        <f t="shared" si="228"/>
        <v/>
      </c>
      <c r="AT457" s="43" t="str">
        <f t="shared" si="228"/>
        <v/>
      </c>
      <c r="AU457" s="43" t="str">
        <f t="shared" si="228"/>
        <v/>
      </c>
      <c r="AV457" s="43" t="str">
        <f t="shared" ref="AV457:BA466" si="229">IF($D457=AV$6,$B457&amp;", ","")</f>
        <v/>
      </c>
      <c r="AW457" s="43" t="str">
        <f t="shared" si="229"/>
        <v/>
      </c>
      <c r="AX457" s="43" t="str">
        <f t="shared" si="229"/>
        <v/>
      </c>
      <c r="AY457" s="43" t="str">
        <f t="shared" si="229"/>
        <v/>
      </c>
      <c r="AZ457" s="43" t="str">
        <f t="shared" si="229"/>
        <v/>
      </c>
      <c r="BA457" s="43" t="str">
        <f t="shared" si="229"/>
        <v/>
      </c>
      <c r="BB457" s="43"/>
      <c r="BC457" s="43"/>
      <c r="BD457" s="43"/>
      <c r="BE457" s="43"/>
      <c r="BF457" s="43"/>
      <c r="BG457" s="43"/>
      <c r="BW457" s="1250"/>
    </row>
    <row r="458" spans="1:75" x14ac:dyDescent="0.25">
      <c r="A458" s="1251"/>
      <c r="B458" s="462">
        <v>452</v>
      </c>
      <c r="C458" s="462"/>
      <c r="D458" s="1244"/>
      <c r="E458" s="1050"/>
      <c r="F458" s="1244"/>
      <c r="H458" s="43" t="str">
        <f t="shared" si="225"/>
        <v/>
      </c>
      <c r="I458" s="43" t="str">
        <f t="shared" si="225"/>
        <v/>
      </c>
      <c r="J458" s="43" t="str">
        <f t="shared" si="225"/>
        <v/>
      </c>
      <c r="K458" s="43" t="str">
        <f t="shared" si="225"/>
        <v/>
      </c>
      <c r="L458" s="43" t="str">
        <f t="shared" si="225"/>
        <v/>
      </c>
      <c r="M458" s="43" t="str">
        <f t="shared" si="225"/>
        <v/>
      </c>
      <c r="N458" s="43" t="str">
        <f t="shared" si="225"/>
        <v/>
      </c>
      <c r="O458" s="43" t="str">
        <f t="shared" si="225"/>
        <v/>
      </c>
      <c r="P458" s="43" t="str">
        <f t="shared" si="225"/>
        <v/>
      </c>
      <c r="Q458" s="43" t="str">
        <f t="shared" si="225"/>
        <v/>
      </c>
      <c r="R458" s="43" t="str">
        <f t="shared" si="226"/>
        <v/>
      </c>
      <c r="S458" s="43" t="str">
        <f t="shared" si="226"/>
        <v/>
      </c>
      <c r="T458" s="43" t="str">
        <f t="shared" si="226"/>
        <v/>
      </c>
      <c r="U458" s="43" t="str">
        <f t="shared" si="226"/>
        <v/>
      </c>
      <c r="V458" s="43" t="str">
        <f t="shared" si="226"/>
        <v/>
      </c>
      <c r="W458" s="43" t="str">
        <f t="shared" si="226"/>
        <v/>
      </c>
      <c r="X458" s="43" t="str">
        <f t="shared" si="226"/>
        <v/>
      </c>
      <c r="Y458" s="43" t="str">
        <f t="shared" si="226"/>
        <v/>
      </c>
      <c r="Z458" s="43" t="str">
        <f t="shared" si="226"/>
        <v/>
      </c>
      <c r="AA458" s="43" t="str">
        <f t="shared" si="226"/>
        <v/>
      </c>
      <c r="AB458" s="43" t="str">
        <f t="shared" si="227"/>
        <v/>
      </c>
      <c r="AC458" s="43" t="str">
        <f t="shared" si="227"/>
        <v/>
      </c>
      <c r="AD458" s="43" t="str">
        <f t="shared" si="227"/>
        <v/>
      </c>
      <c r="AE458" s="43" t="str">
        <f t="shared" si="227"/>
        <v/>
      </c>
      <c r="AF458" s="43" t="str">
        <f t="shared" si="227"/>
        <v/>
      </c>
      <c r="AG458" s="43" t="str">
        <f t="shared" si="227"/>
        <v/>
      </c>
      <c r="AH458" s="43" t="str">
        <f t="shared" si="227"/>
        <v/>
      </c>
      <c r="AI458" s="43" t="str">
        <f t="shared" si="227"/>
        <v/>
      </c>
      <c r="AJ458" s="43" t="str">
        <f t="shared" si="227"/>
        <v/>
      </c>
      <c r="AK458" s="43" t="str">
        <f t="shared" si="227"/>
        <v/>
      </c>
      <c r="AL458" s="43" t="str">
        <f t="shared" si="228"/>
        <v/>
      </c>
      <c r="AM458" s="43" t="str">
        <f t="shared" si="228"/>
        <v/>
      </c>
      <c r="AN458" s="43" t="str">
        <f t="shared" si="228"/>
        <v/>
      </c>
      <c r="AO458" s="43" t="str">
        <f t="shared" si="228"/>
        <v/>
      </c>
      <c r="AP458" s="43" t="str">
        <f t="shared" si="228"/>
        <v/>
      </c>
      <c r="AQ458" s="43" t="str">
        <f t="shared" si="228"/>
        <v/>
      </c>
      <c r="AR458" s="43" t="str">
        <f t="shared" si="228"/>
        <v/>
      </c>
      <c r="AS458" s="43" t="str">
        <f t="shared" si="228"/>
        <v/>
      </c>
      <c r="AT458" s="43" t="str">
        <f t="shared" si="228"/>
        <v/>
      </c>
      <c r="AU458" s="43" t="str">
        <f t="shared" si="228"/>
        <v/>
      </c>
      <c r="AV458" s="43" t="str">
        <f t="shared" si="229"/>
        <v/>
      </c>
      <c r="AW458" s="43" t="str">
        <f t="shared" si="229"/>
        <v/>
      </c>
      <c r="AX458" s="43" t="str">
        <f t="shared" si="229"/>
        <v/>
      </c>
      <c r="AY458" s="43" t="str">
        <f t="shared" si="229"/>
        <v/>
      </c>
      <c r="AZ458" s="43" t="str">
        <f t="shared" si="229"/>
        <v/>
      </c>
      <c r="BA458" s="43" t="str">
        <f t="shared" si="229"/>
        <v/>
      </c>
      <c r="BB458" s="43"/>
      <c r="BC458" s="43"/>
      <c r="BD458" s="43"/>
      <c r="BE458" s="43"/>
      <c r="BF458" s="43"/>
      <c r="BG458" s="43"/>
      <c r="BW458" s="1250"/>
    </row>
    <row r="459" spans="1:75" x14ac:dyDescent="0.25">
      <c r="A459" s="1251"/>
      <c r="B459" s="462">
        <v>453</v>
      </c>
      <c r="C459" s="462"/>
      <c r="D459" s="1244"/>
      <c r="E459" s="1050"/>
      <c r="F459" s="1244"/>
      <c r="H459" s="43" t="str">
        <f t="shared" si="225"/>
        <v/>
      </c>
      <c r="I459" s="43" t="str">
        <f t="shared" si="225"/>
        <v/>
      </c>
      <c r="J459" s="43" t="str">
        <f t="shared" si="225"/>
        <v/>
      </c>
      <c r="K459" s="43" t="str">
        <f t="shared" si="225"/>
        <v/>
      </c>
      <c r="L459" s="43" t="str">
        <f t="shared" si="225"/>
        <v/>
      </c>
      <c r="M459" s="43" t="str">
        <f t="shared" si="225"/>
        <v/>
      </c>
      <c r="N459" s="43" t="str">
        <f t="shared" si="225"/>
        <v/>
      </c>
      <c r="O459" s="43" t="str">
        <f t="shared" si="225"/>
        <v/>
      </c>
      <c r="P459" s="43" t="str">
        <f t="shared" si="225"/>
        <v/>
      </c>
      <c r="Q459" s="43" t="str">
        <f t="shared" si="225"/>
        <v/>
      </c>
      <c r="R459" s="43" t="str">
        <f t="shared" si="226"/>
        <v/>
      </c>
      <c r="S459" s="43" t="str">
        <f t="shared" si="226"/>
        <v/>
      </c>
      <c r="T459" s="43" t="str">
        <f t="shared" si="226"/>
        <v/>
      </c>
      <c r="U459" s="43" t="str">
        <f t="shared" si="226"/>
        <v/>
      </c>
      <c r="V459" s="43" t="str">
        <f t="shared" si="226"/>
        <v/>
      </c>
      <c r="W459" s="43" t="str">
        <f t="shared" si="226"/>
        <v/>
      </c>
      <c r="X459" s="43" t="str">
        <f t="shared" si="226"/>
        <v/>
      </c>
      <c r="Y459" s="43" t="str">
        <f t="shared" si="226"/>
        <v/>
      </c>
      <c r="Z459" s="43" t="str">
        <f t="shared" si="226"/>
        <v/>
      </c>
      <c r="AA459" s="43" t="str">
        <f t="shared" si="226"/>
        <v/>
      </c>
      <c r="AB459" s="43" t="str">
        <f t="shared" si="227"/>
        <v/>
      </c>
      <c r="AC459" s="43" t="str">
        <f t="shared" si="227"/>
        <v/>
      </c>
      <c r="AD459" s="43" t="str">
        <f t="shared" si="227"/>
        <v/>
      </c>
      <c r="AE459" s="43" t="str">
        <f t="shared" si="227"/>
        <v/>
      </c>
      <c r="AF459" s="43" t="str">
        <f t="shared" si="227"/>
        <v/>
      </c>
      <c r="AG459" s="43" t="str">
        <f t="shared" si="227"/>
        <v/>
      </c>
      <c r="AH459" s="43" t="str">
        <f t="shared" si="227"/>
        <v/>
      </c>
      <c r="AI459" s="43" t="str">
        <f t="shared" si="227"/>
        <v/>
      </c>
      <c r="AJ459" s="43" t="str">
        <f t="shared" si="227"/>
        <v/>
      </c>
      <c r="AK459" s="43" t="str">
        <f t="shared" si="227"/>
        <v/>
      </c>
      <c r="AL459" s="43" t="str">
        <f t="shared" si="228"/>
        <v/>
      </c>
      <c r="AM459" s="43" t="str">
        <f t="shared" si="228"/>
        <v/>
      </c>
      <c r="AN459" s="43" t="str">
        <f t="shared" si="228"/>
        <v/>
      </c>
      <c r="AO459" s="43" t="str">
        <f t="shared" si="228"/>
        <v/>
      </c>
      <c r="AP459" s="43" t="str">
        <f t="shared" si="228"/>
        <v/>
      </c>
      <c r="AQ459" s="43" t="str">
        <f t="shared" si="228"/>
        <v/>
      </c>
      <c r="AR459" s="43" t="str">
        <f t="shared" si="228"/>
        <v/>
      </c>
      <c r="AS459" s="43" t="str">
        <f t="shared" si="228"/>
        <v/>
      </c>
      <c r="AT459" s="43" t="str">
        <f t="shared" si="228"/>
        <v/>
      </c>
      <c r="AU459" s="43" t="str">
        <f t="shared" si="228"/>
        <v/>
      </c>
      <c r="AV459" s="43" t="str">
        <f t="shared" si="229"/>
        <v/>
      </c>
      <c r="AW459" s="43" t="str">
        <f t="shared" si="229"/>
        <v/>
      </c>
      <c r="AX459" s="43" t="str">
        <f t="shared" si="229"/>
        <v/>
      </c>
      <c r="AY459" s="43" t="str">
        <f t="shared" si="229"/>
        <v/>
      </c>
      <c r="AZ459" s="43" t="str">
        <f t="shared" si="229"/>
        <v/>
      </c>
      <c r="BA459" s="43" t="str">
        <f t="shared" si="229"/>
        <v/>
      </c>
      <c r="BB459" s="43"/>
      <c r="BC459" s="43"/>
      <c r="BD459" s="43"/>
      <c r="BE459" s="43"/>
      <c r="BF459" s="43"/>
      <c r="BG459" s="43"/>
      <c r="BW459" s="1250"/>
    </row>
    <row r="460" spans="1:75" x14ac:dyDescent="0.25">
      <c r="A460" s="1251"/>
      <c r="B460" s="462">
        <v>454</v>
      </c>
      <c r="C460" s="462"/>
      <c r="D460" s="1244"/>
      <c r="E460" s="1050"/>
      <c r="F460" s="1244"/>
      <c r="H460" s="43" t="str">
        <f t="shared" si="225"/>
        <v/>
      </c>
      <c r="I460" s="43" t="str">
        <f t="shared" si="225"/>
        <v/>
      </c>
      <c r="J460" s="43" t="str">
        <f t="shared" si="225"/>
        <v/>
      </c>
      <c r="K460" s="43" t="str">
        <f t="shared" si="225"/>
        <v/>
      </c>
      <c r="L460" s="43" t="str">
        <f t="shared" si="225"/>
        <v/>
      </c>
      <c r="M460" s="43" t="str">
        <f t="shared" si="225"/>
        <v/>
      </c>
      <c r="N460" s="43" t="str">
        <f t="shared" si="225"/>
        <v/>
      </c>
      <c r="O460" s="43" t="str">
        <f t="shared" si="225"/>
        <v/>
      </c>
      <c r="P460" s="43" t="str">
        <f t="shared" si="225"/>
        <v/>
      </c>
      <c r="Q460" s="43" t="str">
        <f t="shared" si="225"/>
        <v/>
      </c>
      <c r="R460" s="43" t="str">
        <f t="shared" si="226"/>
        <v/>
      </c>
      <c r="S460" s="43" t="str">
        <f t="shared" si="226"/>
        <v/>
      </c>
      <c r="T460" s="43" t="str">
        <f t="shared" si="226"/>
        <v/>
      </c>
      <c r="U460" s="43" t="str">
        <f t="shared" si="226"/>
        <v/>
      </c>
      <c r="V460" s="43" t="str">
        <f t="shared" si="226"/>
        <v/>
      </c>
      <c r="W460" s="43" t="str">
        <f t="shared" si="226"/>
        <v/>
      </c>
      <c r="X460" s="43" t="str">
        <f t="shared" si="226"/>
        <v/>
      </c>
      <c r="Y460" s="43" t="str">
        <f t="shared" si="226"/>
        <v/>
      </c>
      <c r="Z460" s="43" t="str">
        <f t="shared" si="226"/>
        <v/>
      </c>
      <c r="AA460" s="43" t="str">
        <f t="shared" si="226"/>
        <v/>
      </c>
      <c r="AB460" s="43" t="str">
        <f t="shared" si="227"/>
        <v/>
      </c>
      <c r="AC460" s="43" t="str">
        <f t="shared" si="227"/>
        <v/>
      </c>
      <c r="AD460" s="43" t="str">
        <f t="shared" si="227"/>
        <v/>
      </c>
      <c r="AE460" s="43" t="str">
        <f t="shared" si="227"/>
        <v/>
      </c>
      <c r="AF460" s="43" t="str">
        <f t="shared" si="227"/>
        <v/>
      </c>
      <c r="AG460" s="43" t="str">
        <f t="shared" si="227"/>
        <v/>
      </c>
      <c r="AH460" s="43" t="str">
        <f t="shared" si="227"/>
        <v/>
      </c>
      <c r="AI460" s="43" t="str">
        <f t="shared" si="227"/>
        <v/>
      </c>
      <c r="AJ460" s="43" t="str">
        <f t="shared" si="227"/>
        <v/>
      </c>
      <c r="AK460" s="43" t="str">
        <f t="shared" si="227"/>
        <v/>
      </c>
      <c r="AL460" s="43" t="str">
        <f t="shared" si="228"/>
        <v/>
      </c>
      <c r="AM460" s="43" t="str">
        <f t="shared" si="228"/>
        <v/>
      </c>
      <c r="AN460" s="43" t="str">
        <f t="shared" si="228"/>
        <v/>
      </c>
      <c r="AO460" s="43" t="str">
        <f t="shared" si="228"/>
        <v/>
      </c>
      <c r="AP460" s="43" t="str">
        <f t="shared" si="228"/>
        <v/>
      </c>
      <c r="AQ460" s="43" t="str">
        <f t="shared" si="228"/>
        <v/>
      </c>
      <c r="AR460" s="43" t="str">
        <f t="shared" si="228"/>
        <v/>
      </c>
      <c r="AS460" s="43" t="str">
        <f t="shared" si="228"/>
        <v/>
      </c>
      <c r="AT460" s="43" t="str">
        <f t="shared" si="228"/>
        <v/>
      </c>
      <c r="AU460" s="43" t="str">
        <f t="shared" si="228"/>
        <v/>
      </c>
      <c r="AV460" s="43" t="str">
        <f t="shared" si="229"/>
        <v/>
      </c>
      <c r="AW460" s="43" t="str">
        <f t="shared" si="229"/>
        <v/>
      </c>
      <c r="AX460" s="43" t="str">
        <f t="shared" si="229"/>
        <v/>
      </c>
      <c r="AY460" s="43" t="str">
        <f t="shared" si="229"/>
        <v/>
      </c>
      <c r="AZ460" s="43" t="str">
        <f t="shared" si="229"/>
        <v/>
      </c>
      <c r="BA460" s="43" t="str">
        <f t="shared" si="229"/>
        <v/>
      </c>
      <c r="BB460" s="43"/>
      <c r="BC460" s="43"/>
      <c r="BD460" s="43"/>
      <c r="BE460" s="43"/>
      <c r="BF460" s="43"/>
      <c r="BG460" s="43"/>
      <c r="BW460" s="1250"/>
    </row>
    <row r="461" spans="1:75" x14ac:dyDescent="0.25">
      <c r="A461" s="1251"/>
      <c r="B461" s="462">
        <v>455</v>
      </c>
      <c r="C461" s="462"/>
      <c r="D461" s="1244"/>
      <c r="E461" s="1050"/>
      <c r="F461" s="1244"/>
      <c r="H461" s="43" t="str">
        <f t="shared" si="225"/>
        <v/>
      </c>
      <c r="I461" s="43" t="str">
        <f t="shared" si="225"/>
        <v/>
      </c>
      <c r="J461" s="43" t="str">
        <f t="shared" si="225"/>
        <v/>
      </c>
      <c r="K461" s="43" t="str">
        <f t="shared" si="225"/>
        <v/>
      </c>
      <c r="L461" s="43" t="str">
        <f t="shared" si="225"/>
        <v/>
      </c>
      <c r="M461" s="43" t="str">
        <f t="shared" si="225"/>
        <v/>
      </c>
      <c r="N461" s="43" t="str">
        <f t="shared" si="225"/>
        <v/>
      </c>
      <c r="O461" s="43" t="str">
        <f t="shared" si="225"/>
        <v/>
      </c>
      <c r="P461" s="43" t="str">
        <f t="shared" si="225"/>
        <v/>
      </c>
      <c r="Q461" s="43" t="str">
        <f t="shared" si="225"/>
        <v/>
      </c>
      <c r="R461" s="43" t="str">
        <f t="shared" si="226"/>
        <v/>
      </c>
      <c r="S461" s="43" t="str">
        <f t="shared" si="226"/>
        <v/>
      </c>
      <c r="T461" s="43" t="str">
        <f t="shared" si="226"/>
        <v/>
      </c>
      <c r="U461" s="43" t="str">
        <f t="shared" si="226"/>
        <v/>
      </c>
      <c r="V461" s="43" t="str">
        <f t="shared" si="226"/>
        <v/>
      </c>
      <c r="W461" s="43" t="str">
        <f t="shared" si="226"/>
        <v/>
      </c>
      <c r="X461" s="43" t="str">
        <f t="shared" si="226"/>
        <v/>
      </c>
      <c r="Y461" s="43" t="str">
        <f t="shared" si="226"/>
        <v/>
      </c>
      <c r="Z461" s="43" t="str">
        <f t="shared" si="226"/>
        <v/>
      </c>
      <c r="AA461" s="43" t="str">
        <f t="shared" si="226"/>
        <v/>
      </c>
      <c r="AB461" s="43" t="str">
        <f t="shared" si="227"/>
        <v/>
      </c>
      <c r="AC461" s="43" t="str">
        <f t="shared" si="227"/>
        <v/>
      </c>
      <c r="AD461" s="43" t="str">
        <f t="shared" si="227"/>
        <v/>
      </c>
      <c r="AE461" s="43" t="str">
        <f t="shared" si="227"/>
        <v/>
      </c>
      <c r="AF461" s="43" t="str">
        <f t="shared" si="227"/>
        <v/>
      </c>
      <c r="AG461" s="43" t="str">
        <f t="shared" si="227"/>
        <v/>
      </c>
      <c r="AH461" s="43" t="str">
        <f t="shared" si="227"/>
        <v/>
      </c>
      <c r="AI461" s="43" t="str">
        <f t="shared" si="227"/>
        <v/>
      </c>
      <c r="AJ461" s="43" t="str">
        <f t="shared" si="227"/>
        <v/>
      </c>
      <c r="AK461" s="43" t="str">
        <f t="shared" si="227"/>
        <v/>
      </c>
      <c r="AL461" s="43" t="str">
        <f t="shared" si="228"/>
        <v/>
      </c>
      <c r="AM461" s="43" t="str">
        <f t="shared" si="228"/>
        <v/>
      </c>
      <c r="AN461" s="43" t="str">
        <f t="shared" si="228"/>
        <v/>
      </c>
      <c r="AO461" s="43" t="str">
        <f t="shared" si="228"/>
        <v/>
      </c>
      <c r="AP461" s="43" t="str">
        <f t="shared" si="228"/>
        <v/>
      </c>
      <c r="AQ461" s="43" t="str">
        <f t="shared" si="228"/>
        <v/>
      </c>
      <c r="AR461" s="43" t="str">
        <f t="shared" si="228"/>
        <v/>
      </c>
      <c r="AS461" s="43" t="str">
        <f t="shared" si="228"/>
        <v/>
      </c>
      <c r="AT461" s="43" t="str">
        <f t="shared" si="228"/>
        <v/>
      </c>
      <c r="AU461" s="43" t="str">
        <f t="shared" si="228"/>
        <v/>
      </c>
      <c r="AV461" s="43" t="str">
        <f t="shared" si="229"/>
        <v/>
      </c>
      <c r="AW461" s="43" t="str">
        <f t="shared" si="229"/>
        <v/>
      </c>
      <c r="AX461" s="43" t="str">
        <f t="shared" si="229"/>
        <v/>
      </c>
      <c r="AY461" s="43" t="str">
        <f t="shared" si="229"/>
        <v/>
      </c>
      <c r="AZ461" s="43" t="str">
        <f t="shared" si="229"/>
        <v/>
      </c>
      <c r="BA461" s="43" t="str">
        <f t="shared" si="229"/>
        <v/>
      </c>
      <c r="BB461" s="43"/>
      <c r="BC461" s="43"/>
      <c r="BD461" s="43"/>
      <c r="BE461" s="43"/>
      <c r="BF461" s="43"/>
      <c r="BG461" s="43"/>
      <c r="BW461" s="1250"/>
    </row>
    <row r="462" spans="1:75" x14ac:dyDescent="0.25">
      <c r="A462" s="1251"/>
      <c r="B462" s="462">
        <v>456</v>
      </c>
      <c r="C462" s="462"/>
      <c r="D462" s="1244"/>
      <c r="E462" s="1050"/>
      <c r="F462" s="1244"/>
      <c r="H462" s="43" t="str">
        <f t="shared" si="225"/>
        <v/>
      </c>
      <c r="I462" s="43" t="str">
        <f t="shared" si="225"/>
        <v/>
      </c>
      <c r="J462" s="43" t="str">
        <f t="shared" si="225"/>
        <v/>
      </c>
      <c r="K462" s="43" t="str">
        <f t="shared" si="225"/>
        <v/>
      </c>
      <c r="L462" s="43" t="str">
        <f t="shared" si="225"/>
        <v/>
      </c>
      <c r="M462" s="43" t="str">
        <f t="shared" si="225"/>
        <v/>
      </c>
      <c r="N462" s="43" t="str">
        <f t="shared" si="225"/>
        <v/>
      </c>
      <c r="O462" s="43" t="str">
        <f t="shared" si="225"/>
        <v/>
      </c>
      <c r="P462" s="43" t="str">
        <f t="shared" si="225"/>
        <v/>
      </c>
      <c r="Q462" s="43" t="str">
        <f t="shared" si="225"/>
        <v/>
      </c>
      <c r="R462" s="43" t="str">
        <f t="shared" si="226"/>
        <v/>
      </c>
      <c r="S462" s="43" t="str">
        <f t="shared" si="226"/>
        <v/>
      </c>
      <c r="T462" s="43" t="str">
        <f t="shared" si="226"/>
        <v/>
      </c>
      <c r="U462" s="43" t="str">
        <f t="shared" si="226"/>
        <v/>
      </c>
      <c r="V462" s="43" t="str">
        <f t="shared" si="226"/>
        <v/>
      </c>
      <c r="W462" s="43" t="str">
        <f t="shared" si="226"/>
        <v/>
      </c>
      <c r="X462" s="43" t="str">
        <f t="shared" si="226"/>
        <v/>
      </c>
      <c r="Y462" s="43" t="str">
        <f t="shared" si="226"/>
        <v/>
      </c>
      <c r="Z462" s="43" t="str">
        <f t="shared" si="226"/>
        <v/>
      </c>
      <c r="AA462" s="43" t="str">
        <f t="shared" si="226"/>
        <v/>
      </c>
      <c r="AB462" s="43" t="str">
        <f t="shared" si="227"/>
        <v/>
      </c>
      <c r="AC462" s="43" t="str">
        <f t="shared" si="227"/>
        <v/>
      </c>
      <c r="AD462" s="43" t="str">
        <f t="shared" si="227"/>
        <v/>
      </c>
      <c r="AE462" s="43" t="str">
        <f t="shared" si="227"/>
        <v/>
      </c>
      <c r="AF462" s="43" t="str">
        <f t="shared" si="227"/>
        <v/>
      </c>
      <c r="AG462" s="43" t="str">
        <f t="shared" si="227"/>
        <v/>
      </c>
      <c r="AH462" s="43" t="str">
        <f t="shared" si="227"/>
        <v/>
      </c>
      <c r="AI462" s="43" t="str">
        <f t="shared" si="227"/>
        <v/>
      </c>
      <c r="AJ462" s="43" t="str">
        <f t="shared" si="227"/>
        <v/>
      </c>
      <c r="AK462" s="43" t="str">
        <f t="shared" si="227"/>
        <v/>
      </c>
      <c r="AL462" s="43" t="str">
        <f t="shared" si="228"/>
        <v/>
      </c>
      <c r="AM462" s="43" t="str">
        <f t="shared" si="228"/>
        <v/>
      </c>
      <c r="AN462" s="43" t="str">
        <f t="shared" si="228"/>
        <v/>
      </c>
      <c r="AO462" s="43" t="str">
        <f t="shared" si="228"/>
        <v/>
      </c>
      <c r="AP462" s="43" t="str">
        <f t="shared" si="228"/>
        <v/>
      </c>
      <c r="AQ462" s="43" t="str">
        <f t="shared" si="228"/>
        <v/>
      </c>
      <c r="AR462" s="43" t="str">
        <f t="shared" si="228"/>
        <v/>
      </c>
      <c r="AS462" s="43" t="str">
        <f t="shared" si="228"/>
        <v/>
      </c>
      <c r="AT462" s="43" t="str">
        <f t="shared" si="228"/>
        <v/>
      </c>
      <c r="AU462" s="43" t="str">
        <f t="shared" si="228"/>
        <v/>
      </c>
      <c r="AV462" s="43" t="str">
        <f t="shared" si="229"/>
        <v/>
      </c>
      <c r="AW462" s="43" t="str">
        <f t="shared" si="229"/>
        <v/>
      </c>
      <c r="AX462" s="43" t="str">
        <f t="shared" si="229"/>
        <v/>
      </c>
      <c r="AY462" s="43" t="str">
        <f t="shared" si="229"/>
        <v/>
      </c>
      <c r="AZ462" s="43" t="str">
        <f t="shared" si="229"/>
        <v/>
      </c>
      <c r="BA462" s="43" t="str">
        <f t="shared" si="229"/>
        <v/>
      </c>
      <c r="BB462" s="43"/>
      <c r="BC462" s="43"/>
      <c r="BD462" s="43"/>
      <c r="BE462" s="43"/>
      <c r="BF462" s="43"/>
      <c r="BG462" s="43"/>
      <c r="BW462" s="1250"/>
    </row>
    <row r="463" spans="1:75" x14ac:dyDescent="0.25">
      <c r="A463" s="1251"/>
      <c r="B463" s="462">
        <v>457</v>
      </c>
      <c r="C463" s="462"/>
      <c r="D463" s="1244"/>
      <c r="E463" s="1050"/>
      <c r="F463" s="1244"/>
      <c r="H463" s="43" t="str">
        <f t="shared" si="225"/>
        <v/>
      </c>
      <c r="I463" s="43" t="str">
        <f t="shared" si="225"/>
        <v/>
      </c>
      <c r="J463" s="43" t="str">
        <f t="shared" si="225"/>
        <v/>
      </c>
      <c r="K463" s="43" t="str">
        <f t="shared" si="225"/>
        <v/>
      </c>
      <c r="L463" s="43" t="str">
        <f t="shared" si="225"/>
        <v/>
      </c>
      <c r="M463" s="43" t="str">
        <f t="shared" si="225"/>
        <v/>
      </c>
      <c r="N463" s="43" t="str">
        <f t="shared" si="225"/>
        <v/>
      </c>
      <c r="O463" s="43" t="str">
        <f t="shared" si="225"/>
        <v/>
      </c>
      <c r="P463" s="43" t="str">
        <f t="shared" si="225"/>
        <v/>
      </c>
      <c r="Q463" s="43" t="str">
        <f t="shared" si="225"/>
        <v/>
      </c>
      <c r="R463" s="43" t="str">
        <f t="shared" si="226"/>
        <v/>
      </c>
      <c r="S463" s="43" t="str">
        <f t="shared" si="226"/>
        <v/>
      </c>
      <c r="T463" s="43" t="str">
        <f t="shared" si="226"/>
        <v/>
      </c>
      <c r="U463" s="43" t="str">
        <f t="shared" si="226"/>
        <v/>
      </c>
      <c r="V463" s="43" t="str">
        <f t="shared" si="226"/>
        <v/>
      </c>
      <c r="W463" s="43" t="str">
        <f t="shared" si="226"/>
        <v/>
      </c>
      <c r="X463" s="43" t="str">
        <f t="shared" si="226"/>
        <v/>
      </c>
      <c r="Y463" s="43" t="str">
        <f t="shared" si="226"/>
        <v/>
      </c>
      <c r="Z463" s="43" t="str">
        <f t="shared" si="226"/>
        <v/>
      </c>
      <c r="AA463" s="43" t="str">
        <f t="shared" si="226"/>
        <v/>
      </c>
      <c r="AB463" s="43" t="str">
        <f t="shared" si="227"/>
        <v/>
      </c>
      <c r="AC463" s="43" t="str">
        <f t="shared" si="227"/>
        <v/>
      </c>
      <c r="AD463" s="43" t="str">
        <f t="shared" si="227"/>
        <v/>
      </c>
      <c r="AE463" s="43" t="str">
        <f t="shared" si="227"/>
        <v/>
      </c>
      <c r="AF463" s="43" t="str">
        <f t="shared" si="227"/>
        <v/>
      </c>
      <c r="AG463" s="43" t="str">
        <f t="shared" si="227"/>
        <v/>
      </c>
      <c r="AH463" s="43" t="str">
        <f t="shared" si="227"/>
        <v/>
      </c>
      <c r="AI463" s="43" t="str">
        <f t="shared" si="227"/>
        <v/>
      </c>
      <c r="AJ463" s="43" t="str">
        <f t="shared" si="227"/>
        <v/>
      </c>
      <c r="AK463" s="43" t="str">
        <f t="shared" si="227"/>
        <v/>
      </c>
      <c r="AL463" s="43" t="str">
        <f t="shared" si="228"/>
        <v/>
      </c>
      <c r="AM463" s="43" t="str">
        <f t="shared" si="228"/>
        <v/>
      </c>
      <c r="AN463" s="43" t="str">
        <f t="shared" si="228"/>
        <v/>
      </c>
      <c r="AO463" s="43" t="str">
        <f t="shared" si="228"/>
        <v/>
      </c>
      <c r="AP463" s="43" t="str">
        <f t="shared" si="228"/>
        <v/>
      </c>
      <c r="AQ463" s="43" t="str">
        <f t="shared" si="228"/>
        <v/>
      </c>
      <c r="AR463" s="43" t="str">
        <f t="shared" si="228"/>
        <v/>
      </c>
      <c r="AS463" s="43" t="str">
        <f t="shared" si="228"/>
        <v/>
      </c>
      <c r="AT463" s="43" t="str">
        <f t="shared" si="228"/>
        <v/>
      </c>
      <c r="AU463" s="43" t="str">
        <f t="shared" si="228"/>
        <v/>
      </c>
      <c r="AV463" s="43" t="str">
        <f t="shared" si="229"/>
        <v/>
      </c>
      <c r="AW463" s="43" t="str">
        <f t="shared" si="229"/>
        <v/>
      </c>
      <c r="AX463" s="43" t="str">
        <f t="shared" si="229"/>
        <v/>
      </c>
      <c r="AY463" s="43" t="str">
        <f t="shared" si="229"/>
        <v/>
      </c>
      <c r="AZ463" s="43" t="str">
        <f t="shared" si="229"/>
        <v/>
      </c>
      <c r="BA463" s="43" t="str">
        <f t="shared" si="229"/>
        <v/>
      </c>
      <c r="BB463" s="43"/>
      <c r="BC463" s="43"/>
      <c r="BD463" s="43"/>
      <c r="BE463" s="43"/>
      <c r="BF463" s="43"/>
      <c r="BG463" s="43"/>
      <c r="BW463" s="1250"/>
    </row>
    <row r="464" spans="1:75" x14ac:dyDescent="0.25">
      <c r="A464" s="1251"/>
      <c r="B464" s="462">
        <v>458</v>
      </c>
      <c r="C464" s="462"/>
      <c r="D464" s="1244"/>
      <c r="E464" s="1050"/>
      <c r="F464" s="1244"/>
      <c r="H464" s="43" t="str">
        <f t="shared" si="225"/>
        <v/>
      </c>
      <c r="I464" s="43" t="str">
        <f t="shared" si="225"/>
        <v/>
      </c>
      <c r="J464" s="43" t="str">
        <f t="shared" si="225"/>
        <v/>
      </c>
      <c r="K464" s="43" t="str">
        <f t="shared" si="225"/>
        <v/>
      </c>
      <c r="L464" s="43" t="str">
        <f t="shared" si="225"/>
        <v/>
      </c>
      <c r="M464" s="43" t="str">
        <f t="shared" si="225"/>
        <v/>
      </c>
      <c r="N464" s="43" t="str">
        <f t="shared" si="225"/>
        <v/>
      </c>
      <c r="O464" s="43" t="str">
        <f t="shared" si="225"/>
        <v/>
      </c>
      <c r="P464" s="43" t="str">
        <f t="shared" si="225"/>
        <v/>
      </c>
      <c r="Q464" s="43" t="str">
        <f t="shared" si="225"/>
        <v/>
      </c>
      <c r="R464" s="43" t="str">
        <f t="shared" si="226"/>
        <v/>
      </c>
      <c r="S464" s="43" t="str">
        <f t="shared" si="226"/>
        <v/>
      </c>
      <c r="T464" s="43" t="str">
        <f t="shared" si="226"/>
        <v/>
      </c>
      <c r="U464" s="43" t="str">
        <f t="shared" si="226"/>
        <v/>
      </c>
      <c r="V464" s="43" t="str">
        <f t="shared" si="226"/>
        <v/>
      </c>
      <c r="W464" s="43" t="str">
        <f t="shared" si="226"/>
        <v/>
      </c>
      <c r="X464" s="43" t="str">
        <f t="shared" si="226"/>
        <v/>
      </c>
      <c r="Y464" s="43" t="str">
        <f t="shared" si="226"/>
        <v/>
      </c>
      <c r="Z464" s="43" t="str">
        <f t="shared" si="226"/>
        <v/>
      </c>
      <c r="AA464" s="43" t="str">
        <f t="shared" si="226"/>
        <v/>
      </c>
      <c r="AB464" s="43" t="str">
        <f t="shared" si="227"/>
        <v/>
      </c>
      <c r="AC464" s="43" t="str">
        <f t="shared" si="227"/>
        <v/>
      </c>
      <c r="AD464" s="43" t="str">
        <f t="shared" si="227"/>
        <v/>
      </c>
      <c r="AE464" s="43" t="str">
        <f t="shared" si="227"/>
        <v/>
      </c>
      <c r="AF464" s="43" t="str">
        <f t="shared" si="227"/>
        <v/>
      </c>
      <c r="AG464" s="43" t="str">
        <f t="shared" si="227"/>
        <v/>
      </c>
      <c r="AH464" s="43" t="str">
        <f t="shared" si="227"/>
        <v/>
      </c>
      <c r="AI464" s="43" t="str">
        <f t="shared" si="227"/>
        <v/>
      </c>
      <c r="AJ464" s="43" t="str">
        <f t="shared" si="227"/>
        <v/>
      </c>
      <c r="AK464" s="43" t="str">
        <f t="shared" si="227"/>
        <v/>
      </c>
      <c r="AL464" s="43" t="str">
        <f t="shared" si="228"/>
        <v/>
      </c>
      <c r="AM464" s="43" t="str">
        <f t="shared" si="228"/>
        <v/>
      </c>
      <c r="AN464" s="43" t="str">
        <f t="shared" si="228"/>
        <v/>
      </c>
      <c r="AO464" s="43" t="str">
        <f t="shared" si="228"/>
        <v/>
      </c>
      <c r="AP464" s="43" t="str">
        <f t="shared" si="228"/>
        <v/>
      </c>
      <c r="AQ464" s="43" t="str">
        <f t="shared" si="228"/>
        <v/>
      </c>
      <c r="AR464" s="43" t="str">
        <f t="shared" si="228"/>
        <v/>
      </c>
      <c r="AS464" s="43" t="str">
        <f t="shared" si="228"/>
        <v/>
      </c>
      <c r="AT464" s="43" t="str">
        <f t="shared" si="228"/>
        <v/>
      </c>
      <c r="AU464" s="43" t="str">
        <f t="shared" si="228"/>
        <v/>
      </c>
      <c r="AV464" s="43" t="str">
        <f t="shared" si="229"/>
        <v/>
      </c>
      <c r="AW464" s="43" t="str">
        <f t="shared" si="229"/>
        <v/>
      </c>
      <c r="AX464" s="43" t="str">
        <f t="shared" si="229"/>
        <v/>
      </c>
      <c r="AY464" s="43" t="str">
        <f t="shared" si="229"/>
        <v/>
      </c>
      <c r="AZ464" s="43" t="str">
        <f t="shared" si="229"/>
        <v/>
      </c>
      <c r="BA464" s="43" t="str">
        <f t="shared" si="229"/>
        <v/>
      </c>
      <c r="BB464" s="43"/>
      <c r="BC464" s="43"/>
      <c r="BD464" s="43"/>
      <c r="BE464" s="43"/>
      <c r="BF464" s="43"/>
      <c r="BG464" s="43"/>
      <c r="BW464" s="1250"/>
    </row>
    <row r="465" spans="1:75" x14ac:dyDescent="0.25">
      <c r="A465" s="1251"/>
      <c r="B465" s="462">
        <v>459</v>
      </c>
      <c r="C465" s="462"/>
      <c r="D465" s="1244"/>
      <c r="E465" s="1050"/>
      <c r="F465" s="1244"/>
      <c r="H465" s="43" t="str">
        <f t="shared" si="225"/>
        <v/>
      </c>
      <c r="I465" s="43" t="str">
        <f t="shared" si="225"/>
        <v/>
      </c>
      <c r="J465" s="43" t="str">
        <f t="shared" si="225"/>
        <v/>
      </c>
      <c r="K465" s="43" t="str">
        <f t="shared" si="225"/>
        <v/>
      </c>
      <c r="L465" s="43" t="str">
        <f t="shared" si="225"/>
        <v/>
      </c>
      <c r="M465" s="43" t="str">
        <f t="shared" si="225"/>
        <v/>
      </c>
      <c r="N465" s="43" t="str">
        <f t="shared" si="225"/>
        <v/>
      </c>
      <c r="O465" s="43" t="str">
        <f t="shared" si="225"/>
        <v/>
      </c>
      <c r="P465" s="43" t="str">
        <f t="shared" si="225"/>
        <v/>
      </c>
      <c r="Q465" s="43" t="str">
        <f t="shared" si="225"/>
        <v/>
      </c>
      <c r="R465" s="43" t="str">
        <f t="shared" si="226"/>
        <v/>
      </c>
      <c r="S465" s="43" t="str">
        <f t="shared" si="226"/>
        <v/>
      </c>
      <c r="T465" s="43" t="str">
        <f t="shared" si="226"/>
        <v/>
      </c>
      <c r="U465" s="43" t="str">
        <f t="shared" si="226"/>
        <v/>
      </c>
      <c r="V465" s="43" t="str">
        <f t="shared" si="226"/>
        <v/>
      </c>
      <c r="W465" s="43" t="str">
        <f t="shared" si="226"/>
        <v/>
      </c>
      <c r="X465" s="43" t="str">
        <f t="shared" si="226"/>
        <v/>
      </c>
      <c r="Y465" s="43" t="str">
        <f t="shared" si="226"/>
        <v/>
      </c>
      <c r="Z465" s="43" t="str">
        <f t="shared" si="226"/>
        <v/>
      </c>
      <c r="AA465" s="43" t="str">
        <f t="shared" si="226"/>
        <v/>
      </c>
      <c r="AB465" s="43" t="str">
        <f t="shared" si="227"/>
        <v/>
      </c>
      <c r="AC465" s="43" t="str">
        <f t="shared" si="227"/>
        <v/>
      </c>
      <c r="AD465" s="43" t="str">
        <f t="shared" si="227"/>
        <v/>
      </c>
      <c r="AE465" s="43" t="str">
        <f t="shared" si="227"/>
        <v/>
      </c>
      <c r="AF465" s="43" t="str">
        <f t="shared" si="227"/>
        <v/>
      </c>
      <c r="AG465" s="43" t="str">
        <f t="shared" si="227"/>
        <v/>
      </c>
      <c r="AH465" s="43" t="str">
        <f t="shared" si="227"/>
        <v/>
      </c>
      <c r="AI465" s="43" t="str">
        <f t="shared" si="227"/>
        <v/>
      </c>
      <c r="AJ465" s="43" t="str">
        <f t="shared" si="227"/>
        <v/>
      </c>
      <c r="AK465" s="43" t="str">
        <f t="shared" si="227"/>
        <v/>
      </c>
      <c r="AL465" s="43" t="str">
        <f t="shared" si="228"/>
        <v/>
      </c>
      <c r="AM465" s="43" t="str">
        <f t="shared" si="228"/>
        <v/>
      </c>
      <c r="AN465" s="43" t="str">
        <f t="shared" si="228"/>
        <v/>
      </c>
      <c r="AO465" s="43" t="str">
        <f t="shared" si="228"/>
        <v/>
      </c>
      <c r="AP465" s="43" t="str">
        <f t="shared" si="228"/>
        <v/>
      </c>
      <c r="AQ465" s="43" t="str">
        <f t="shared" si="228"/>
        <v/>
      </c>
      <c r="AR465" s="43" t="str">
        <f t="shared" si="228"/>
        <v/>
      </c>
      <c r="AS465" s="43" t="str">
        <f t="shared" si="228"/>
        <v/>
      </c>
      <c r="AT465" s="43" t="str">
        <f t="shared" si="228"/>
        <v/>
      </c>
      <c r="AU465" s="43" t="str">
        <f t="shared" si="228"/>
        <v/>
      </c>
      <c r="AV465" s="43" t="str">
        <f t="shared" si="229"/>
        <v/>
      </c>
      <c r="AW465" s="43" t="str">
        <f t="shared" si="229"/>
        <v/>
      </c>
      <c r="AX465" s="43" t="str">
        <f t="shared" si="229"/>
        <v/>
      </c>
      <c r="AY465" s="43" t="str">
        <f t="shared" si="229"/>
        <v/>
      </c>
      <c r="AZ465" s="43" t="str">
        <f t="shared" si="229"/>
        <v/>
      </c>
      <c r="BA465" s="43" t="str">
        <f t="shared" si="229"/>
        <v/>
      </c>
      <c r="BB465" s="43"/>
      <c r="BC465" s="43"/>
      <c r="BD465" s="43"/>
      <c r="BE465" s="43"/>
      <c r="BF465" s="43"/>
      <c r="BG465" s="43"/>
      <c r="BW465" s="1250"/>
    </row>
    <row r="466" spans="1:75" x14ac:dyDescent="0.25">
      <c r="A466" s="1251"/>
      <c r="B466" s="462">
        <v>460</v>
      </c>
      <c r="C466" s="462"/>
      <c r="D466" s="1244"/>
      <c r="E466" s="1050"/>
      <c r="F466" s="1244"/>
      <c r="H466" s="43" t="str">
        <f t="shared" si="225"/>
        <v/>
      </c>
      <c r="I466" s="43" t="str">
        <f t="shared" si="225"/>
        <v/>
      </c>
      <c r="J466" s="43" t="str">
        <f t="shared" si="225"/>
        <v/>
      </c>
      <c r="K466" s="43" t="str">
        <f t="shared" si="225"/>
        <v/>
      </c>
      <c r="L466" s="43" t="str">
        <f t="shared" si="225"/>
        <v/>
      </c>
      <c r="M466" s="43" t="str">
        <f t="shared" si="225"/>
        <v/>
      </c>
      <c r="N466" s="43" t="str">
        <f t="shared" si="225"/>
        <v/>
      </c>
      <c r="O466" s="43" t="str">
        <f t="shared" si="225"/>
        <v/>
      </c>
      <c r="P466" s="43" t="str">
        <f t="shared" si="225"/>
        <v/>
      </c>
      <c r="Q466" s="43" t="str">
        <f t="shared" si="225"/>
        <v/>
      </c>
      <c r="R466" s="43" t="str">
        <f t="shared" si="226"/>
        <v/>
      </c>
      <c r="S466" s="43" t="str">
        <f t="shared" si="226"/>
        <v/>
      </c>
      <c r="T466" s="43" t="str">
        <f t="shared" si="226"/>
        <v/>
      </c>
      <c r="U466" s="43" t="str">
        <f t="shared" si="226"/>
        <v/>
      </c>
      <c r="V466" s="43" t="str">
        <f t="shared" si="226"/>
        <v/>
      </c>
      <c r="W466" s="43" t="str">
        <f t="shared" si="226"/>
        <v/>
      </c>
      <c r="X466" s="43" t="str">
        <f t="shared" si="226"/>
        <v/>
      </c>
      <c r="Y466" s="43" t="str">
        <f t="shared" si="226"/>
        <v/>
      </c>
      <c r="Z466" s="43" t="str">
        <f t="shared" si="226"/>
        <v/>
      </c>
      <c r="AA466" s="43" t="str">
        <f t="shared" si="226"/>
        <v/>
      </c>
      <c r="AB466" s="43" t="str">
        <f t="shared" si="227"/>
        <v/>
      </c>
      <c r="AC466" s="43" t="str">
        <f t="shared" si="227"/>
        <v/>
      </c>
      <c r="AD466" s="43" t="str">
        <f t="shared" si="227"/>
        <v/>
      </c>
      <c r="AE466" s="43" t="str">
        <f t="shared" si="227"/>
        <v/>
      </c>
      <c r="AF466" s="43" t="str">
        <f t="shared" si="227"/>
        <v/>
      </c>
      <c r="AG466" s="43" t="str">
        <f t="shared" si="227"/>
        <v/>
      </c>
      <c r="AH466" s="43" t="str">
        <f t="shared" si="227"/>
        <v/>
      </c>
      <c r="AI466" s="43" t="str">
        <f t="shared" si="227"/>
        <v/>
      </c>
      <c r="AJ466" s="43" t="str">
        <f t="shared" si="227"/>
        <v/>
      </c>
      <c r="AK466" s="43" t="str">
        <f t="shared" si="227"/>
        <v/>
      </c>
      <c r="AL466" s="43" t="str">
        <f t="shared" si="228"/>
        <v/>
      </c>
      <c r="AM466" s="43" t="str">
        <f t="shared" si="228"/>
        <v/>
      </c>
      <c r="AN466" s="43" t="str">
        <f t="shared" si="228"/>
        <v/>
      </c>
      <c r="AO466" s="43" t="str">
        <f t="shared" si="228"/>
        <v/>
      </c>
      <c r="AP466" s="43" t="str">
        <f t="shared" si="228"/>
        <v/>
      </c>
      <c r="AQ466" s="43" t="str">
        <f t="shared" si="228"/>
        <v/>
      </c>
      <c r="AR466" s="43" t="str">
        <f t="shared" si="228"/>
        <v/>
      </c>
      <c r="AS466" s="43" t="str">
        <f t="shared" si="228"/>
        <v/>
      </c>
      <c r="AT466" s="43" t="str">
        <f t="shared" si="228"/>
        <v/>
      </c>
      <c r="AU466" s="43" t="str">
        <f t="shared" si="228"/>
        <v/>
      </c>
      <c r="AV466" s="43" t="str">
        <f t="shared" si="229"/>
        <v/>
      </c>
      <c r="AW466" s="43" t="str">
        <f t="shared" si="229"/>
        <v/>
      </c>
      <c r="AX466" s="43" t="str">
        <f t="shared" si="229"/>
        <v/>
      </c>
      <c r="AY466" s="43" t="str">
        <f t="shared" si="229"/>
        <v/>
      </c>
      <c r="AZ466" s="43" t="str">
        <f t="shared" si="229"/>
        <v/>
      </c>
      <c r="BA466" s="43" t="str">
        <f t="shared" si="229"/>
        <v/>
      </c>
      <c r="BB466" s="43"/>
      <c r="BC466" s="43"/>
      <c r="BD466" s="43"/>
      <c r="BE466" s="43"/>
      <c r="BF466" s="43"/>
      <c r="BG466" s="43"/>
      <c r="BW466" s="1250"/>
    </row>
    <row r="467" spans="1:75" x14ac:dyDescent="0.25">
      <c r="A467" s="1251"/>
      <c r="B467" s="462">
        <v>461</v>
      </c>
      <c r="C467" s="462"/>
      <c r="D467" s="1244"/>
      <c r="E467" s="1050"/>
      <c r="F467" s="1244"/>
      <c r="H467" s="43" t="str">
        <f t="shared" ref="H467:Q476" si="230">IF($D467=H$6,$B467&amp;", ","")</f>
        <v/>
      </c>
      <c r="I467" s="43" t="str">
        <f t="shared" si="230"/>
        <v/>
      </c>
      <c r="J467" s="43" t="str">
        <f t="shared" si="230"/>
        <v/>
      </c>
      <c r="K467" s="43" t="str">
        <f t="shared" si="230"/>
        <v/>
      </c>
      <c r="L467" s="43" t="str">
        <f t="shared" si="230"/>
        <v/>
      </c>
      <c r="M467" s="43" t="str">
        <f t="shared" si="230"/>
        <v/>
      </c>
      <c r="N467" s="43" t="str">
        <f t="shared" si="230"/>
        <v/>
      </c>
      <c r="O467" s="43" t="str">
        <f t="shared" si="230"/>
        <v/>
      </c>
      <c r="P467" s="43" t="str">
        <f t="shared" si="230"/>
        <v/>
      </c>
      <c r="Q467" s="43" t="str">
        <f t="shared" si="230"/>
        <v/>
      </c>
      <c r="R467" s="43" t="str">
        <f t="shared" ref="R467:AA476" si="231">IF($D467=R$6,$B467&amp;", ","")</f>
        <v/>
      </c>
      <c r="S467" s="43" t="str">
        <f t="shared" si="231"/>
        <v/>
      </c>
      <c r="T467" s="43" t="str">
        <f t="shared" si="231"/>
        <v/>
      </c>
      <c r="U467" s="43" t="str">
        <f t="shared" si="231"/>
        <v/>
      </c>
      <c r="V467" s="43" t="str">
        <f t="shared" si="231"/>
        <v/>
      </c>
      <c r="W467" s="43" t="str">
        <f t="shared" si="231"/>
        <v/>
      </c>
      <c r="X467" s="43" t="str">
        <f t="shared" si="231"/>
        <v/>
      </c>
      <c r="Y467" s="43" t="str">
        <f t="shared" si="231"/>
        <v/>
      </c>
      <c r="Z467" s="43" t="str">
        <f t="shared" si="231"/>
        <v/>
      </c>
      <c r="AA467" s="43" t="str">
        <f t="shared" si="231"/>
        <v/>
      </c>
      <c r="AB467" s="43" t="str">
        <f t="shared" ref="AB467:AK476" si="232">IF($D467=AB$6,$B467&amp;", ","")</f>
        <v/>
      </c>
      <c r="AC467" s="43" t="str">
        <f t="shared" si="232"/>
        <v/>
      </c>
      <c r="AD467" s="43" t="str">
        <f t="shared" si="232"/>
        <v/>
      </c>
      <c r="AE467" s="43" t="str">
        <f t="shared" si="232"/>
        <v/>
      </c>
      <c r="AF467" s="43" t="str">
        <f t="shared" si="232"/>
        <v/>
      </c>
      <c r="AG467" s="43" t="str">
        <f t="shared" si="232"/>
        <v/>
      </c>
      <c r="AH467" s="43" t="str">
        <f t="shared" si="232"/>
        <v/>
      </c>
      <c r="AI467" s="43" t="str">
        <f t="shared" si="232"/>
        <v/>
      </c>
      <c r="AJ467" s="43" t="str">
        <f t="shared" si="232"/>
        <v/>
      </c>
      <c r="AK467" s="43" t="str">
        <f t="shared" si="232"/>
        <v/>
      </c>
      <c r="AL467" s="43" t="str">
        <f t="shared" ref="AL467:AU476" si="233">IF($D467=AL$6,$B467&amp;", ","")</f>
        <v/>
      </c>
      <c r="AM467" s="43" t="str">
        <f t="shared" si="233"/>
        <v/>
      </c>
      <c r="AN467" s="43" t="str">
        <f t="shared" si="233"/>
        <v/>
      </c>
      <c r="AO467" s="43" t="str">
        <f t="shared" si="233"/>
        <v/>
      </c>
      <c r="AP467" s="43" t="str">
        <f t="shared" si="233"/>
        <v/>
      </c>
      <c r="AQ467" s="43" t="str">
        <f t="shared" si="233"/>
        <v/>
      </c>
      <c r="AR467" s="43" t="str">
        <f t="shared" si="233"/>
        <v/>
      </c>
      <c r="AS467" s="43" t="str">
        <f t="shared" si="233"/>
        <v/>
      </c>
      <c r="AT467" s="43" t="str">
        <f t="shared" si="233"/>
        <v/>
      </c>
      <c r="AU467" s="43" t="str">
        <f t="shared" si="233"/>
        <v/>
      </c>
      <c r="AV467" s="43" t="str">
        <f t="shared" ref="AV467:BA476" si="234">IF($D467=AV$6,$B467&amp;", ","")</f>
        <v/>
      </c>
      <c r="AW467" s="43" t="str">
        <f t="shared" si="234"/>
        <v/>
      </c>
      <c r="AX467" s="43" t="str">
        <f t="shared" si="234"/>
        <v/>
      </c>
      <c r="AY467" s="43" t="str">
        <f t="shared" si="234"/>
        <v/>
      </c>
      <c r="AZ467" s="43" t="str">
        <f t="shared" si="234"/>
        <v/>
      </c>
      <c r="BA467" s="43" t="str">
        <f t="shared" si="234"/>
        <v/>
      </c>
      <c r="BB467" s="43"/>
      <c r="BC467" s="43"/>
      <c r="BD467" s="43"/>
      <c r="BE467" s="43"/>
      <c r="BF467" s="43"/>
      <c r="BG467" s="43"/>
      <c r="BW467" s="1250"/>
    </row>
    <row r="468" spans="1:75" x14ac:dyDescent="0.25">
      <c r="A468" s="1251"/>
      <c r="B468" s="462">
        <v>462</v>
      </c>
      <c r="C468" s="462"/>
      <c r="D468" s="1244"/>
      <c r="E468" s="1050"/>
      <c r="F468" s="1244"/>
      <c r="H468" s="43" t="str">
        <f t="shared" si="230"/>
        <v/>
      </c>
      <c r="I468" s="43" t="str">
        <f t="shared" si="230"/>
        <v/>
      </c>
      <c r="J468" s="43" t="str">
        <f t="shared" si="230"/>
        <v/>
      </c>
      <c r="K468" s="43" t="str">
        <f t="shared" si="230"/>
        <v/>
      </c>
      <c r="L468" s="43" t="str">
        <f t="shared" si="230"/>
        <v/>
      </c>
      <c r="M468" s="43" t="str">
        <f t="shared" si="230"/>
        <v/>
      </c>
      <c r="N468" s="43" t="str">
        <f t="shared" si="230"/>
        <v/>
      </c>
      <c r="O468" s="43" t="str">
        <f t="shared" si="230"/>
        <v/>
      </c>
      <c r="P468" s="43" t="str">
        <f t="shared" si="230"/>
        <v/>
      </c>
      <c r="Q468" s="43" t="str">
        <f t="shared" si="230"/>
        <v/>
      </c>
      <c r="R468" s="43" t="str">
        <f t="shared" si="231"/>
        <v/>
      </c>
      <c r="S468" s="43" t="str">
        <f t="shared" si="231"/>
        <v/>
      </c>
      <c r="T468" s="43" t="str">
        <f t="shared" si="231"/>
        <v/>
      </c>
      <c r="U468" s="43" t="str">
        <f t="shared" si="231"/>
        <v/>
      </c>
      <c r="V468" s="43" t="str">
        <f t="shared" si="231"/>
        <v/>
      </c>
      <c r="W468" s="43" t="str">
        <f t="shared" si="231"/>
        <v/>
      </c>
      <c r="X468" s="43" t="str">
        <f t="shared" si="231"/>
        <v/>
      </c>
      <c r="Y468" s="43" t="str">
        <f t="shared" si="231"/>
        <v/>
      </c>
      <c r="Z468" s="43" t="str">
        <f t="shared" si="231"/>
        <v/>
      </c>
      <c r="AA468" s="43" t="str">
        <f t="shared" si="231"/>
        <v/>
      </c>
      <c r="AB468" s="43" t="str">
        <f t="shared" si="232"/>
        <v/>
      </c>
      <c r="AC468" s="43" t="str">
        <f t="shared" si="232"/>
        <v/>
      </c>
      <c r="AD468" s="43" t="str">
        <f t="shared" si="232"/>
        <v/>
      </c>
      <c r="AE468" s="43" t="str">
        <f t="shared" si="232"/>
        <v/>
      </c>
      <c r="AF468" s="43" t="str">
        <f t="shared" si="232"/>
        <v/>
      </c>
      <c r="AG468" s="43" t="str">
        <f t="shared" si="232"/>
        <v/>
      </c>
      <c r="AH468" s="43" t="str">
        <f t="shared" si="232"/>
        <v/>
      </c>
      <c r="AI468" s="43" t="str">
        <f t="shared" si="232"/>
        <v/>
      </c>
      <c r="AJ468" s="43" t="str">
        <f t="shared" si="232"/>
        <v/>
      </c>
      <c r="AK468" s="43" t="str">
        <f t="shared" si="232"/>
        <v/>
      </c>
      <c r="AL468" s="43" t="str">
        <f t="shared" si="233"/>
        <v/>
      </c>
      <c r="AM468" s="43" t="str">
        <f t="shared" si="233"/>
        <v/>
      </c>
      <c r="AN468" s="43" t="str">
        <f t="shared" si="233"/>
        <v/>
      </c>
      <c r="AO468" s="43" t="str">
        <f t="shared" si="233"/>
        <v/>
      </c>
      <c r="AP468" s="43" t="str">
        <f t="shared" si="233"/>
        <v/>
      </c>
      <c r="AQ468" s="43" t="str">
        <f t="shared" si="233"/>
        <v/>
      </c>
      <c r="AR468" s="43" t="str">
        <f t="shared" si="233"/>
        <v/>
      </c>
      <c r="AS468" s="43" t="str">
        <f t="shared" si="233"/>
        <v/>
      </c>
      <c r="AT468" s="43" t="str">
        <f t="shared" si="233"/>
        <v/>
      </c>
      <c r="AU468" s="43" t="str">
        <f t="shared" si="233"/>
        <v/>
      </c>
      <c r="AV468" s="43" t="str">
        <f t="shared" si="234"/>
        <v/>
      </c>
      <c r="AW468" s="43" t="str">
        <f t="shared" si="234"/>
        <v/>
      </c>
      <c r="AX468" s="43" t="str">
        <f t="shared" si="234"/>
        <v/>
      </c>
      <c r="AY468" s="43" t="str">
        <f t="shared" si="234"/>
        <v/>
      </c>
      <c r="AZ468" s="43" t="str">
        <f t="shared" si="234"/>
        <v/>
      </c>
      <c r="BA468" s="43" t="str">
        <f t="shared" si="234"/>
        <v/>
      </c>
      <c r="BB468" s="43"/>
      <c r="BC468" s="43"/>
      <c r="BD468" s="43"/>
      <c r="BE468" s="43"/>
      <c r="BF468" s="43"/>
      <c r="BG468" s="43"/>
      <c r="BW468" s="1250"/>
    </row>
    <row r="469" spans="1:75" x14ac:dyDescent="0.25">
      <c r="A469" s="1251"/>
      <c r="B469" s="462">
        <v>463</v>
      </c>
      <c r="C469" s="462"/>
      <c r="D469" s="1244"/>
      <c r="E469" s="1050"/>
      <c r="F469" s="1244"/>
      <c r="H469" s="43" t="str">
        <f t="shared" si="230"/>
        <v/>
      </c>
      <c r="I469" s="43" t="str">
        <f t="shared" si="230"/>
        <v/>
      </c>
      <c r="J469" s="43" t="str">
        <f t="shared" si="230"/>
        <v/>
      </c>
      <c r="K469" s="43" t="str">
        <f t="shared" si="230"/>
        <v/>
      </c>
      <c r="L469" s="43" t="str">
        <f t="shared" si="230"/>
        <v/>
      </c>
      <c r="M469" s="43" t="str">
        <f t="shared" si="230"/>
        <v/>
      </c>
      <c r="N469" s="43" t="str">
        <f t="shared" si="230"/>
        <v/>
      </c>
      <c r="O469" s="43" t="str">
        <f t="shared" si="230"/>
        <v/>
      </c>
      <c r="P469" s="43" t="str">
        <f t="shared" si="230"/>
        <v/>
      </c>
      <c r="Q469" s="43" t="str">
        <f t="shared" si="230"/>
        <v/>
      </c>
      <c r="R469" s="43" t="str">
        <f t="shared" si="231"/>
        <v/>
      </c>
      <c r="S469" s="43" t="str">
        <f t="shared" si="231"/>
        <v/>
      </c>
      <c r="T469" s="43" t="str">
        <f t="shared" si="231"/>
        <v/>
      </c>
      <c r="U469" s="43" t="str">
        <f t="shared" si="231"/>
        <v/>
      </c>
      <c r="V469" s="43" t="str">
        <f t="shared" si="231"/>
        <v/>
      </c>
      <c r="W469" s="43" t="str">
        <f t="shared" si="231"/>
        <v/>
      </c>
      <c r="X469" s="43" t="str">
        <f t="shared" si="231"/>
        <v/>
      </c>
      <c r="Y469" s="43" t="str">
        <f t="shared" si="231"/>
        <v/>
      </c>
      <c r="Z469" s="43" t="str">
        <f t="shared" si="231"/>
        <v/>
      </c>
      <c r="AA469" s="43" t="str">
        <f t="shared" si="231"/>
        <v/>
      </c>
      <c r="AB469" s="43" t="str">
        <f t="shared" si="232"/>
        <v/>
      </c>
      <c r="AC469" s="43" t="str">
        <f t="shared" si="232"/>
        <v/>
      </c>
      <c r="AD469" s="43" t="str">
        <f t="shared" si="232"/>
        <v/>
      </c>
      <c r="AE469" s="43" t="str">
        <f t="shared" si="232"/>
        <v/>
      </c>
      <c r="AF469" s="43" t="str">
        <f t="shared" si="232"/>
        <v/>
      </c>
      <c r="AG469" s="43" t="str">
        <f t="shared" si="232"/>
        <v/>
      </c>
      <c r="AH469" s="43" t="str">
        <f t="shared" si="232"/>
        <v/>
      </c>
      <c r="AI469" s="43" t="str">
        <f t="shared" si="232"/>
        <v/>
      </c>
      <c r="AJ469" s="43" t="str">
        <f t="shared" si="232"/>
        <v/>
      </c>
      <c r="AK469" s="43" t="str">
        <f t="shared" si="232"/>
        <v/>
      </c>
      <c r="AL469" s="43" t="str">
        <f t="shared" si="233"/>
        <v/>
      </c>
      <c r="AM469" s="43" t="str">
        <f t="shared" si="233"/>
        <v/>
      </c>
      <c r="AN469" s="43" t="str">
        <f t="shared" si="233"/>
        <v/>
      </c>
      <c r="AO469" s="43" t="str">
        <f t="shared" si="233"/>
        <v/>
      </c>
      <c r="AP469" s="43" t="str">
        <f t="shared" si="233"/>
        <v/>
      </c>
      <c r="AQ469" s="43" t="str">
        <f t="shared" si="233"/>
        <v/>
      </c>
      <c r="AR469" s="43" t="str">
        <f t="shared" si="233"/>
        <v/>
      </c>
      <c r="AS469" s="43" t="str">
        <f t="shared" si="233"/>
        <v/>
      </c>
      <c r="AT469" s="43" t="str">
        <f t="shared" si="233"/>
        <v/>
      </c>
      <c r="AU469" s="43" t="str">
        <f t="shared" si="233"/>
        <v/>
      </c>
      <c r="AV469" s="43" t="str">
        <f t="shared" si="234"/>
        <v/>
      </c>
      <c r="AW469" s="43" t="str">
        <f t="shared" si="234"/>
        <v/>
      </c>
      <c r="AX469" s="43" t="str">
        <f t="shared" si="234"/>
        <v/>
      </c>
      <c r="AY469" s="43" t="str">
        <f t="shared" si="234"/>
        <v/>
      </c>
      <c r="AZ469" s="43" t="str">
        <f t="shared" si="234"/>
        <v/>
      </c>
      <c r="BA469" s="43" t="str">
        <f t="shared" si="234"/>
        <v/>
      </c>
      <c r="BB469" s="43"/>
      <c r="BC469" s="43"/>
      <c r="BD469" s="43"/>
      <c r="BE469" s="43"/>
      <c r="BF469" s="43"/>
      <c r="BG469" s="43"/>
      <c r="BW469" s="1250"/>
    </row>
    <row r="470" spans="1:75" x14ac:dyDescent="0.25">
      <c r="A470" s="1251"/>
      <c r="B470" s="462">
        <v>464</v>
      </c>
      <c r="C470" s="462"/>
      <c r="D470" s="1244"/>
      <c r="E470" s="1050"/>
      <c r="F470" s="1244"/>
      <c r="H470" s="43" t="str">
        <f t="shared" si="230"/>
        <v/>
      </c>
      <c r="I470" s="43" t="str">
        <f t="shared" si="230"/>
        <v/>
      </c>
      <c r="J470" s="43" t="str">
        <f t="shared" si="230"/>
        <v/>
      </c>
      <c r="K470" s="43" t="str">
        <f t="shared" si="230"/>
        <v/>
      </c>
      <c r="L470" s="43" t="str">
        <f t="shared" si="230"/>
        <v/>
      </c>
      <c r="M470" s="43" t="str">
        <f t="shared" si="230"/>
        <v/>
      </c>
      <c r="N470" s="43" t="str">
        <f t="shared" si="230"/>
        <v/>
      </c>
      <c r="O470" s="43" t="str">
        <f t="shared" si="230"/>
        <v/>
      </c>
      <c r="P470" s="43" t="str">
        <f t="shared" si="230"/>
        <v/>
      </c>
      <c r="Q470" s="43" t="str">
        <f t="shared" si="230"/>
        <v/>
      </c>
      <c r="R470" s="43" t="str">
        <f t="shared" si="231"/>
        <v/>
      </c>
      <c r="S470" s="43" t="str">
        <f t="shared" si="231"/>
        <v/>
      </c>
      <c r="T470" s="43" t="str">
        <f t="shared" si="231"/>
        <v/>
      </c>
      <c r="U470" s="43" t="str">
        <f t="shared" si="231"/>
        <v/>
      </c>
      <c r="V470" s="43" t="str">
        <f t="shared" si="231"/>
        <v/>
      </c>
      <c r="W470" s="43" t="str">
        <f t="shared" si="231"/>
        <v/>
      </c>
      <c r="X470" s="43" t="str">
        <f t="shared" si="231"/>
        <v/>
      </c>
      <c r="Y470" s="43" t="str">
        <f t="shared" si="231"/>
        <v/>
      </c>
      <c r="Z470" s="43" t="str">
        <f t="shared" si="231"/>
        <v/>
      </c>
      <c r="AA470" s="43" t="str">
        <f t="shared" si="231"/>
        <v/>
      </c>
      <c r="AB470" s="43" t="str">
        <f t="shared" si="232"/>
        <v/>
      </c>
      <c r="AC470" s="43" t="str">
        <f t="shared" si="232"/>
        <v/>
      </c>
      <c r="AD470" s="43" t="str">
        <f t="shared" si="232"/>
        <v/>
      </c>
      <c r="AE470" s="43" t="str">
        <f t="shared" si="232"/>
        <v/>
      </c>
      <c r="AF470" s="43" t="str">
        <f t="shared" si="232"/>
        <v/>
      </c>
      <c r="AG470" s="43" t="str">
        <f t="shared" si="232"/>
        <v/>
      </c>
      <c r="AH470" s="43" t="str">
        <f t="shared" si="232"/>
        <v/>
      </c>
      <c r="AI470" s="43" t="str">
        <f t="shared" si="232"/>
        <v/>
      </c>
      <c r="AJ470" s="43" t="str">
        <f t="shared" si="232"/>
        <v/>
      </c>
      <c r="AK470" s="43" t="str">
        <f t="shared" si="232"/>
        <v/>
      </c>
      <c r="AL470" s="43" t="str">
        <f t="shared" si="233"/>
        <v/>
      </c>
      <c r="AM470" s="43" t="str">
        <f t="shared" si="233"/>
        <v/>
      </c>
      <c r="AN470" s="43" t="str">
        <f t="shared" si="233"/>
        <v/>
      </c>
      <c r="AO470" s="43" t="str">
        <f t="shared" si="233"/>
        <v/>
      </c>
      <c r="AP470" s="43" t="str">
        <f t="shared" si="233"/>
        <v/>
      </c>
      <c r="AQ470" s="43" t="str">
        <f t="shared" si="233"/>
        <v/>
      </c>
      <c r="AR470" s="43" t="str">
        <f t="shared" si="233"/>
        <v/>
      </c>
      <c r="AS470" s="43" t="str">
        <f t="shared" si="233"/>
        <v/>
      </c>
      <c r="AT470" s="43" t="str">
        <f t="shared" si="233"/>
        <v/>
      </c>
      <c r="AU470" s="43" t="str">
        <f t="shared" si="233"/>
        <v/>
      </c>
      <c r="AV470" s="43" t="str">
        <f t="shared" si="234"/>
        <v/>
      </c>
      <c r="AW470" s="43" t="str">
        <f t="shared" si="234"/>
        <v/>
      </c>
      <c r="AX470" s="43" t="str">
        <f t="shared" si="234"/>
        <v/>
      </c>
      <c r="AY470" s="43" t="str">
        <f t="shared" si="234"/>
        <v/>
      </c>
      <c r="AZ470" s="43" t="str">
        <f t="shared" si="234"/>
        <v/>
      </c>
      <c r="BA470" s="43" t="str">
        <f t="shared" si="234"/>
        <v/>
      </c>
      <c r="BB470" s="43"/>
      <c r="BC470" s="43"/>
      <c r="BD470" s="43"/>
      <c r="BE470" s="43"/>
      <c r="BF470" s="43"/>
      <c r="BG470" s="43"/>
      <c r="BW470" s="1250"/>
    </row>
    <row r="471" spans="1:75" x14ac:dyDescent="0.25">
      <c r="A471" s="1251"/>
      <c r="B471" s="462">
        <v>465</v>
      </c>
      <c r="C471" s="462"/>
      <c r="D471" s="1244"/>
      <c r="E471" s="1050"/>
      <c r="F471" s="1244"/>
      <c r="H471" s="43" t="str">
        <f t="shared" si="230"/>
        <v/>
      </c>
      <c r="I471" s="43" t="str">
        <f t="shared" si="230"/>
        <v/>
      </c>
      <c r="J471" s="43" t="str">
        <f t="shared" si="230"/>
        <v/>
      </c>
      <c r="K471" s="43" t="str">
        <f t="shared" si="230"/>
        <v/>
      </c>
      <c r="L471" s="43" t="str">
        <f t="shared" si="230"/>
        <v/>
      </c>
      <c r="M471" s="43" t="str">
        <f t="shared" si="230"/>
        <v/>
      </c>
      <c r="N471" s="43" t="str">
        <f t="shared" si="230"/>
        <v/>
      </c>
      <c r="O471" s="43" t="str">
        <f t="shared" si="230"/>
        <v/>
      </c>
      <c r="P471" s="43" t="str">
        <f t="shared" si="230"/>
        <v/>
      </c>
      <c r="Q471" s="43" t="str">
        <f t="shared" si="230"/>
        <v/>
      </c>
      <c r="R471" s="43" t="str">
        <f t="shared" si="231"/>
        <v/>
      </c>
      <c r="S471" s="43" t="str">
        <f t="shared" si="231"/>
        <v/>
      </c>
      <c r="T471" s="43" t="str">
        <f t="shared" si="231"/>
        <v/>
      </c>
      <c r="U471" s="43" t="str">
        <f t="shared" si="231"/>
        <v/>
      </c>
      <c r="V471" s="43" t="str">
        <f t="shared" si="231"/>
        <v/>
      </c>
      <c r="W471" s="43" t="str">
        <f t="shared" si="231"/>
        <v/>
      </c>
      <c r="X471" s="43" t="str">
        <f t="shared" si="231"/>
        <v/>
      </c>
      <c r="Y471" s="43" t="str">
        <f t="shared" si="231"/>
        <v/>
      </c>
      <c r="Z471" s="43" t="str">
        <f t="shared" si="231"/>
        <v/>
      </c>
      <c r="AA471" s="43" t="str">
        <f t="shared" si="231"/>
        <v/>
      </c>
      <c r="AB471" s="43" t="str">
        <f t="shared" si="232"/>
        <v/>
      </c>
      <c r="AC471" s="43" t="str">
        <f t="shared" si="232"/>
        <v/>
      </c>
      <c r="AD471" s="43" t="str">
        <f t="shared" si="232"/>
        <v/>
      </c>
      <c r="AE471" s="43" t="str">
        <f t="shared" si="232"/>
        <v/>
      </c>
      <c r="AF471" s="43" t="str">
        <f t="shared" si="232"/>
        <v/>
      </c>
      <c r="AG471" s="43" t="str">
        <f t="shared" si="232"/>
        <v/>
      </c>
      <c r="AH471" s="43" t="str">
        <f t="shared" si="232"/>
        <v/>
      </c>
      <c r="AI471" s="43" t="str">
        <f t="shared" si="232"/>
        <v/>
      </c>
      <c r="AJ471" s="43" t="str">
        <f t="shared" si="232"/>
        <v/>
      </c>
      <c r="AK471" s="43" t="str">
        <f t="shared" si="232"/>
        <v/>
      </c>
      <c r="AL471" s="43" t="str">
        <f t="shared" si="233"/>
        <v/>
      </c>
      <c r="AM471" s="43" t="str">
        <f t="shared" si="233"/>
        <v/>
      </c>
      <c r="AN471" s="43" t="str">
        <f t="shared" si="233"/>
        <v/>
      </c>
      <c r="AO471" s="43" t="str">
        <f t="shared" si="233"/>
        <v/>
      </c>
      <c r="AP471" s="43" t="str">
        <f t="shared" si="233"/>
        <v/>
      </c>
      <c r="AQ471" s="43" t="str">
        <f t="shared" si="233"/>
        <v/>
      </c>
      <c r="AR471" s="43" t="str">
        <f t="shared" si="233"/>
        <v/>
      </c>
      <c r="AS471" s="43" t="str">
        <f t="shared" si="233"/>
        <v/>
      </c>
      <c r="AT471" s="43" t="str">
        <f t="shared" si="233"/>
        <v/>
      </c>
      <c r="AU471" s="43" t="str">
        <f t="shared" si="233"/>
        <v/>
      </c>
      <c r="AV471" s="43" t="str">
        <f t="shared" si="234"/>
        <v/>
      </c>
      <c r="AW471" s="43" t="str">
        <f t="shared" si="234"/>
        <v/>
      </c>
      <c r="AX471" s="43" t="str">
        <f t="shared" si="234"/>
        <v/>
      </c>
      <c r="AY471" s="43" t="str">
        <f t="shared" si="234"/>
        <v/>
      </c>
      <c r="AZ471" s="43" t="str">
        <f t="shared" si="234"/>
        <v/>
      </c>
      <c r="BA471" s="43" t="str">
        <f t="shared" si="234"/>
        <v/>
      </c>
      <c r="BB471" s="43"/>
      <c r="BC471" s="43"/>
      <c r="BD471" s="43"/>
      <c r="BE471" s="43"/>
      <c r="BF471" s="43"/>
      <c r="BG471" s="43"/>
      <c r="BW471" s="1250"/>
    </row>
    <row r="472" spans="1:75" x14ac:dyDescent="0.25">
      <c r="A472" s="1251"/>
      <c r="B472" s="462">
        <v>466</v>
      </c>
      <c r="C472" s="462"/>
      <c r="D472" s="1244"/>
      <c r="E472" s="1050"/>
      <c r="F472" s="1244"/>
      <c r="H472" s="43" t="str">
        <f t="shared" si="230"/>
        <v/>
      </c>
      <c r="I472" s="43" t="str">
        <f t="shared" si="230"/>
        <v/>
      </c>
      <c r="J472" s="43" t="str">
        <f t="shared" si="230"/>
        <v/>
      </c>
      <c r="K472" s="43" t="str">
        <f t="shared" si="230"/>
        <v/>
      </c>
      <c r="L472" s="43" t="str">
        <f t="shared" si="230"/>
        <v/>
      </c>
      <c r="M472" s="43" t="str">
        <f t="shared" si="230"/>
        <v/>
      </c>
      <c r="N472" s="43" t="str">
        <f t="shared" si="230"/>
        <v/>
      </c>
      <c r="O472" s="43" t="str">
        <f t="shared" si="230"/>
        <v/>
      </c>
      <c r="P472" s="43" t="str">
        <f t="shared" si="230"/>
        <v/>
      </c>
      <c r="Q472" s="43" t="str">
        <f t="shared" si="230"/>
        <v/>
      </c>
      <c r="R472" s="43" t="str">
        <f t="shared" si="231"/>
        <v/>
      </c>
      <c r="S472" s="43" t="str">
        <f t="shared" si="231"/>
        <v/>
      </c>
      <c r="T472" s="43" t="str">
        <f t="shared" si="231"/>
        <v/>
      </c>
      <c r="U472" s="43" t="str">
        <f t="shared" si="231"/>
        <v/>
      </c>
      <c r="V472" s="43" t="str">
        <f t="shared" si="231"/>
        <v/>
      </c>
      <c r="W472" s="43" t="str">
        <f t="shared" si="231"/>
        <v/>
      </c>
      <c r="X472" s="43" t="str">
        <f t="shared" si="231"/>
        <v/>
      </c>
      <c r="Y472" s="43" t="str">
        <f t="shared" si="231"/>
        <v/>
      </c>
      <c r="Z472" s="43" t="str">
        <f t="shared" si="231"/>
        <v/>
      </c>
      <c r="AA472" s="43" t="str">
        <f t="shared" si="231"/>
        <v/>
      </c>
      <c r="AB472" s="43" t="str">
        <f t="shared" si="232"/>
        <v/>
      </c>
      <c r="AC472" s="43" t="str">
        <f t="shared" si="232"/>
        <v/>
      </c>
      <c r="AD472" s="43" t="str">
        <f t="shared" si="232"/>
        <v/>
      </c>
      <c r="AE472" s="43" t="str">
        <f t="shared" si="232"/>
        <v/>
      </c>
      <c r="AF472" s="43" t="str">
        <f t="shared" si="232"/>
        <v/>
      </c>
      <c r="AG472" s="43" t="str">
        <f t="shared" si="232"/>
        <v/>
      </c>
      <c r="AH472" s="43" t="str">
        <f t="shared" si="232"/>
        <v/>
      </c>
      <c r="AI472" s="43" t="str">
        <f t="shared" si="232"/>
        <v/>
      </c>
      <c r="AJ472" s="43" t="str">
        <f t="shared" si="232"/>
        <v/>
      </c>
      <c r="AK472" s="43" t="str">
        <f t="shared" si="232"/>
        <v/>
      </c>
      <c r="AL472" s="43" t="str">
        <f t="shared" si="233"/>
        <v/>
      </c>
      <c r="AM472" s="43" t="str">
        <f t="shared" si="233"/>
        <v/>
      </c>
      <c r="AN472" s="43" t="str">
        <f t="shared" si="233"/>
        <v/>
      </c>
      <c r="AO472" s="43" t="str">
        <f t="shared" si="233"/>
        <v/>
      </c>
      <c r="AP472" s="43" t="str">
        <f t="shared" si="233"/>
        <v/>
      </c>
      <c r="AQ472" s="43" t="str">
        <f t="shared" si="233"/>
        <v/>
      </c>
      <c r="AR472" s="43" t="str">
        <f t="shared" si="233"/>
        <v/>
      </c>
      <c r="AS472" s="43" t="str">
        <f t="shared" si="233"/>
        <v/>
      </c>
      <c r="AT472" s="43" t="str">
        <f t="shared" si="233"/>
        <v/>
      </c>
      <c r="AU472" s="43" t="str">
        <f t="shared" si="233"/>
        <v/>
      </c>
      <c r="AV472" s="43" t="str">
        <f t="shared" si="234"/>
        <v/>
      </c>
      <c r="AW472" s="43" t="str">
        <f t="shared" si="234"/>
        <v/>
      </c>
      <c r="AX472" s="43" t="str">
        <f t="shared" si="234"/>
        <v/>
      </c>
      <c r="AY472" s="43" t="str">
        <f t="shared" si="234"/>
        <v/>
      </c>
      <c r="AZ472" s="43" t="str">
        <f t="shared" si="234"/>
        <v/>
      </c>
      <c r="BA472" s="43" t="str">
        <f t="shared" si="234"/>
        <v/>
      </c>
      <c r="BB472" s="43"/>
      <c r="BC472" s="43"/>
      <c r="BD472" s="43"/>
      <c r="BE472" s="43"/>
      <c r="BF472" s="43"/>
      <c r="BG472" s="43"/>
      <c r="BW472" s="1250"/>
    </row>
    <row r="473" spans="1:75" x14ac:dyDescent="0.25">
      <c r="A473" s="1251"/>
      <c r="B473" s="462">
        <v>467</v>
      </c>
      <c r="C473" s="462"/>
      <c r="D473" s="1244"/>
      <c r="E473" s="1050"/>
      <c r="F473" s="1244"/>
      <c r="H473" s="43" t="str">
        <f t="shared" si="230"/>
        <v/>
      </c>
      <c r="I473" s="43" t="str">
        <f t="shared" si="230"/>
        <v/>
      </c>
      <c r="J473" s="43" t="str">
        <f t="shared" si="230"/>
        <v/>
      </c>
      <c r="K473" s="43" t="str">
        <f t="shared" si="230"/>
        <v/>
      </c>
      <c r="L473" s="43" t="str">
        <f t="shared" si="230"/>
        <v/>
      </c>
      <c r="M473" s="43" t="str">
        <f t="shared" si="230"/>
        <v/>
      </c>
      <c r="N473" s="43" t="str">
        <f t="shared" si="230"/>
        <v/>
      </c>
      <c r="O473" s="43" t="str">
        <f t="shared" si="230"/>
        <v/>
      </c>
      <c r="P473" s="43" t="str">
        <f t="shared" si="230"/>
        <v/>
      </c>
      <c r="Q473" s="43" t="str">
        <f t="shared" si="230"/>
        <v/>
      </c>
      <c r="R473" s="43" t="str">
        <f t="shared" si="231"/>
        <v/>
      </c>
      <c r="S473" s="43" t="str">
        <f t="shared" si="231"/>
        <v/>
      </c>
      <c r="T473" s="43" t="str">
        <f t="shared" si="231"/>
        <v/>
      </c>
      <c r="U473" s="43" t="str">
        <f t="shared" si="231"/>
        <v/>
      </c>
      <c r="V473" s="43" t="str">
        <f t="shared" si="231"/>
        <v/>
      </c>
      <c r="W473" s="43" t="str">
        <f t="shared" si="231"/>
        <v/>
      </c>
      <c r="X473" s="43" t="str">
        <f t="shared" si="231"/>
        <v/>
      </c>
      <c r="Y473" s="43" t="str">
        <f t="shared" si="231"/>
        <v/>
      </c>
      <c r="Z473" s="43" t="str">
        <f t="shared" si="231"/>
        <v/>
      </c>
      <c r="AA473" s="43" t="str">
        <f t="shared" si="231"/>
        <v/>
      </c>
      <c r="AB473" s="43" t="str">
        <f t="shared" si="232"/>
        <v/>
      </c>
      <c r="AC473" s="43" t="str">
        <f t="shared" si="232"/>
        <v/>
      </c>
      <c r="AD473" s="43" t="str">
        <f t="shared" si="232"/>
        <v/>
      </c>
      <c r="AE473" s="43" t="str">
        <f t="shared" si="232"/>
        <v/>
      </c>
      <c r="AF473" s="43" t="str">
        <f t="shared" si="232"/>
        <v/>
      </c>
      <c r="AG473" s="43" t="str">
        <f t="shared" si="232"/>
        <v/>
      </c>
      <c r="AH473" s="43" t="str">
        <f t="shared" si="232"/>
        <v/>
      </c>
      <c r="AI473" s="43" t="str">
        <f t="shared" si="232"/>
        <v/>
      </c>
      <c r="AJ473" s="43" t="str">
        <f t="shared" si="232"/>
        <v/>
      </c>
      <c r="AK473" s="43" t="str">
        <f t="shared" si="232"/>
        <v/>
      </c>
      <c r="AL473" s="43" t="str">
        <f t="shared" si="233"/>
        <v/>
      </c>
      <c r="AM473" s="43" t="str">
        <f t="shared" si="233"/>
        <v/>
      </c>
      <c r="AN473" s="43" t="str">
        <f t="shared" si="233"/>
        <v/>
      </c>
      <c r="AO473" s="43" t="str">
        <f t="shared" si="233"/>
        <v/>
      </c>
      <c r="AP473" s="43" t="str">
        <f t="shared" si="233"/>
        <v/>
      </c>
      <c r="AQ473" s="43" t="str">
        <f t="shared" si="233"/>
        <v/>
      </c>
      <c r="AR473" s="43" t="str">
        <f t="shared" si="233"/>
        <v/>
      </c>
      <c r="AS473" s="43" t="str">
        <f t="shared" si="233"/>
        <v/>
      </c>
      <c r="AT473" s="43" t="str">
        <f t="shared" si="233"/>
        <v/>
      </c>
      <c r="AU473" s="43" t="str">
        <f t="shared" si="233"/>
        <v/>
      </c>
      <c r="AV473" s="43" t="str">
        <f t="shared" si="234"/>
        <v/>
      </c>
      <c r="AW473" s="43" t="str">
        <f t="shared" si="234"/>
        <v/>
      </c>
      <c r="AX473" s="43" t="str">
        <f t="shared" si="234"/>
        <v/>
      </c>
      <c r="AY473" s="43" t="str">
        <f t="shared" si="234"/>
        <v/>
      </c>
      <c r="AZ473" s="43" t="str">
        <f t="shared" si="234"/>
        <v/>
      </c>
      <c r="BA473" s="43" t="str">
        <f t="shared" si="234"/>
        <v/>
      </c>
      <c r="BB473" s="43"/>
      <c r="BC473" s="43"/>
      <c r="BD473" s="43"/>
      <c r="BE473" s="43"/>
      <c r="BF473" s="43"/>
      <c r="BG473" s="43"/>
      <c r="BW473" s="1250"/>
    </row>
    <row r="474" spans="1:75" x14ac:dyDescent="0.25">
      <c r="A474" s="1251"/>
      <c r="B474" s="462">
        <v>468</v>
      </c>
      <c r="C474" s="462"/>
      <c r="D474" s="1244"/>
      <c r="E474" s="1050"/>
      <c r="F474" s="1244"/>
      <c r="H474" s="43" t="str">
        <f t="shared" si="230"/>
        <v/>
      </c>
      <c r="I474" s="43" t="str">
        <f t="shared" si="230"/>
        <v/>
      </c>
      <c r="J474" s="43" t="str">
        <f t="shared" si="230"/>
        <v/>
      </c>
      <c r="K474" s="43" t="str">
        <f t="shared" si="230"/>
        <v/>
      </c>
      <c r="L474" s="43" t="str">
        <f t="shared" si="230"/>
        <v/>
      </c>
      <c r="M474" s="43" t="str">
        <f t="shared" si="230"/>
        <v/>
      </c>
      <c r="N474" s="43" t="str">
        <f t="shared" si="230"/>
        <v/>
      </c>
      <c r="O474" s="43" t="str">
        <f t="shared" si="230"/>
        <v/>
      </c>
      <c r="P474" s="43" t="str">
        <f t="shared" si="230"/>
        <v/>
      </c>
      <c r="Q474" s="43" t="str">
        <f t="shared" si="230"/>
        <v/>
      </c>
      <c r="R474" s="43" t="str">
        <f t="shared" si="231"/>
        <v/>
      </c>
      <c r="S474" s="43" t="str">
        <f t="shared" si="231"/>
        <v/>
      </c>
      <c r="T474" s="43" t="str">
        <f t="shared" si="231"/>
        <v/>
      </c>
      <c r="U474" s="43" t="str">
        <f t="shared" si="231"/>
        <v/>
      </c>
      <c r="V474" s="43" t="str">
        <f t="shared" si="231"/>
        <v/>
      </c>
      <c r="W474" s="43" t="str">
        <f t="shared" si="231"/>
        <v/>
      </c>
      <c r="X474" s="43" t="str">
        <f t="shared" si="231"/>
        <v/>
      </c>
      <c r="Y474" s="43" t="str">
        <f t="shared" si="231"/>
        <v/>
      </c>
      <c r="Z474" s="43" t="str">
        <f t="shared" si="231"/>
        <v/>
      </c>
      <c r="AA474" s="43" t="str">
        <f t="shared" si="231"/>
        <v/>
      </c>
      <c r="AB474" s="43" t="str">
        <f t="shared" si="232"/>
        <v/>
      </c>
      <c r="AC474" s="43" t="str">
        <f t="shared" si="232"/>
        <v/>
      </c>
      <c r="AD474" s="43" t="str">
        <f t="shared" si="232"/>
        <v/>
      </c>
      <c r="AE474" s="43" t="str">
        <f t="shared" si="232"/>
        <v/>
      </c>
      <c r="AF474" s="43" t="str">
        <f t="shared" si="232"/>
        <v/>
      </c>
      <c r="AG474" s="43" t="str">
        <f t="shared" si="232"/>
        <v/>
      </c>
      <c r="AH474" s="43" t="str">
        <f t="shared" si="232"/>
        <v/>
      </c>
      <c r="AI474" s="43" t="str">
        <f t="shared" si="232"/>
        <v/>
      </c>
      <c r="AJ474" s="43" t="str">
        <f t="shared" si="232"/>
        <v/>
      </c>
      <c r="AK474" s="43" t="str">
        <f t="shared" si="232"/>
        <v/>
      </c>
      <c r="AL474" s="43" t="str">
        <f t="shared" si="233"/>
        <v/>
      </c>
      <c r="AM474" s="43" t="str">
        <f t="shared" si="233"/>
        <v/>
      </c>
      <c r="AN474" s="43" t="str">
        <f t="shared" si="233"/>
        <v/>
      </c>
      <c r="AO474" s="43" t="str">
        <f t="shared" si="233"/>
        <v/>
      </c>
      <c r="AP474" s="43" t="str">
        <f t="shared" si="233"/>
        <v/>
      </c>
      <c r="AQ474" s="43" t="str">
        <f t="shared" si="233"/>
        <v/>
      </c>
      <c r="AR474" s="43" t="str">
        <f t="shared" si="233"/>
        <v/>
      </c>
      <c r="AS474" s="43" t="str">
        <f t="shared" si="233"/>
        <v/>
      </c>
      <c r="AT474" s="43" t="str">
        <f t="shared" si="233"/>
        <v/>
      </c>
      <c r="AU474" s="43" t="str">
        <f t="shared" si="233"/>
        <v/>
      </c>
      <c r="AV474" s="43" t="str">
        <f t="shared" si="234"/>
        <v/>
      </c>
      <c r="AW474" s="43" t="str">
        <f t="shared" si="234"/>
        <v/>
      </c>
      <c r="AX474" s="43" t="str">
        <f t="shared" si="234"/>
        <v/>
      </c>
      <c r="AY474" s="43" t="str">
        <f t="shared" si="234"/>
        <v/>
      </c>
      <c r="AZ474" s="43" t="str">
        <f t="shared" si="234"/>
        <v/>
      </c>
      <c r="BA474" s="43" t="str">
        <f t="shared" si="234"/>
        <v/>
      </c>
      <c r="BB474" s="43"/>
      <c r="BC474" s="43"/>
      <c r="BD474" s="43"/>
      <c r="BE474" s="43"/>
      <c r="BF474" s="43"/>
      <c r="BG474" s="43"/>
      <c r="BW474" s="1250"/>
    </row>
    <row r="475" spans="1:75" x14ac:dyDescent="0.25">
      <c r="A475" s="1251"/>
      <c r="B475" s="462">
        <v>469</v>
      </c>
      <c r="C475" s="462"/>
      <c r="D475" s="1244"/>
      <c r="E475" s="1050"/>
      <c r="F475" s="1244"/>
      <c r="H475" s="43" t="str">
        <f t="shared" si="230"/>
        <v/>
      </c>
      <c r="I475" s="43" t="str">
        <f t="shared" si="230"/>
        <v/>
      </c>
      <c r="J475" s="43" t="str">
        <f t="shared" si="230"/>
        <v/>
      </c>
      <c r="K475" s="43" t="str">
        <f t="shared" si="230"/>
        <v/>
      </c>
      <c r="L475" s="43" t="str">
        <f t="shared" si="230"/>
        <v/>
      </c>
      <c r="M475" s="43" t="str">
        <f t="shared" si="230"/>
        <v/>
      </c>
      <c r="N475" s="43" t="str">
        <f t="shared" si="230"/>
        <v/>
      </c>
      <c r="O475" s="43" t="str">
        <f t="shared" si="230"/>
        <v/>
      </c>
      <c r="P475" s="43" t="str">
        <f t="shared" si="230"/>
        <v/>
      </c>
      <c r="Q475" s="43" t="str">
        <f t="shared" si="230"/>
        <v/>
      </c>
      <c r="R475" s="43" t="str">
        <f t="shared" si="231"/>
        <v/>
      </c>
      <c r="S475" s="43" t="str">
        <f t="shared" si="231"/>
        <v/>
      </c>
      <c r="T475" s="43" t="str">
        <f t="shared" si="231"/>
        <v/>
      </c>
      <c r="U475" s="43" t="str">
        <f t="shared" si="231"/>
        <v/>
      </c>
      <c r="V475" s="43" t="str">
        <f t="shared" si="231"/>
        <v/>
      </c>
      <c r="W475" s="43" t="str">
        <f t="shared" si="231"/>
        <v/>
      </c>
      <c r="X475" s="43" t="str">
        <f t="shared" si="231"/>
        <v/>
      </c>
      <c r="Y475" s="43" t="str">
        <f t="shared" si="231"/>
        <v/>
      </c>
      <c r="Z475" s="43" t="str">
        <f t="shared" si="231"/>
        <v/>
      </c>
      <c r="AA475" s="43" t="str">
        <f t="shared" si="231"/>
        <v/>
      </c>
      <c r="AB475" s="43" t="str">
        <f t="shared" si="232"/>
        <v/>
      </c>
      <c r="AC475" s="43" t="str">
        <f t="shared" si="232"/>
        <v/>
      </c>
      <c r="AD475" s="43" t="str">
        <f t="shared" si="232"/>
        <v/>
      </c>
      <c r="AE475" s="43" t="str">
        <f t="shared" si="232"/>
        <v/>
      </c>
      <c r="AF475" s="43" t="str">
        <f t="shared" si="232"/>
        <v/>
      </c>
      <c r="AG475" s="43" t="str">
        <f t="shared" si="232"/>
        <v/>
      </c>
      <c r="AH475" s="43" t="str">
        <f t="shared" si="232"/>
        <v/>
      </c>
      <c r="AI475" s="43" t="str">
        <f t="shared" si="232"/>
        <v/>
      </c>
      <c r="AJ475" s="43" t="str">
        <f t="shared" si="232"/>
        <v/>
      </c>
      <c r="AK475" s="43" t="str">
        <f t="shared" si="232"/>
        <v/>
      </c>
      <c r="AL475" s="43" t="str">
        <f t="shared" si="233"/>
        <v/>
      </c>
      <c r="AM475" s="43" t="str">
        <f t="shared" si="233"/>
        <v/>
      </c>
      <c r="AN475" s="43" t="str">
        <f t="shared" si="233"/>
        <v/>
      </c>
      <c r="AO475" s="43" t="str">
        <f t="shared" si="233"/>
        <v/>
      </c>
      <c r="AP475" s="43" t="str">
        <f t="shared" si="233"/>
        <v/>
      </c>
      <c r="AQ475" s="43" t="str">
        <f t="shared" si="233"/>
        <v/>
      </c>
      <c r="AR475" s="43" t="str">
        <f t="shared" si="233"/>
        <v/>
      </c>
      <c r="AS475" s="43" t="str">
        <f t="shared" si="233"/>
        <v/>
      </c>
      <c r="AT475" s="43" t="str">
        <f t="shared" si="233"/>
        <v/>
      </c>
      <c r="AU475" s="43" t="str">
        <f t="shared" si="233"/>
        <v/>
      </c>
      <c r="AV475" s="43" t="str">
        <f t="shared" si="234"/>
        <v/>
      </c>
      <c r="AW475" s="43" t="str">
        <f t="shared" si="234"/>
        <v/>
      </c>
      <c r="AX475" s="43" t="str">
        <f t="shared" si="234"/>
        <v/>
      </c>
      <c r="AY475" s="43" t="str">
        <f t="shared" si="234"/>
        <v/>
      </c>
      <c r="AZ475" s="43" t="str">
        <f t="shared" si="234"/>
        <v/>
      </c>
      <c r="BA475" s="43" t="str">
        <f t="shared" si="234"/>
        <v/>
      </c>
      <c r="BB475" s="43"/>
      <c r="BC475" s="43"/>
      <c r="BD475" s="43"/>
      <c r="BE475" s="43"/>
      <c r="BF475" s="43"/>
      <c r="BG475" s="43"/>
      <c r="BW475" s="1250"/>
    </row>
    <row r="476" spans="1:75" x14ac:dyDescent="0.25">
      <c r="A476" s="1251"/>
      <c r="B476" s="462">
        <v>470</v>
      </c>
      <c r="C476" s="462"/>
      <c r="D476" s="1244"/>
      <c r="E476" s="1050"/>
      <c r="F476" s="1244"/>
      <c r="H476" s="43" t="str">
        <f t="shared" si="230"/>
        <v/>
      </c>
      <c r="I476" s="43" t="str">
        <f t="shared" si="230"/>
        <v/>
      </c>
      <c r="J476" s="43" t="str">
        <f t="shared" si="230"/>
        <v/>
      </c>
      <c r="K476" s="43" t="str">
        <f t="shared" si="230"/>
        <v/>
      </c>
      <c r="L476" s="43" t="str">
        <f t="shared" si="230"/>
        <v/>
      </c>
      <c r="M476" s="43" t="str">
        <f t="shared" si="230"/>
        <v/>
      </c>
      <c r="N476" s="43" t="str">
        <f t="shared" si="230"/>
        <v/>
      </c>
      <c r="O476" s="43" t="str">
        <f t="shared" si="230"/>
        <v/>
      </c>
      <c r="P476" s="43" t="str">
        <f t="shared" si="230"/>
        <v/>
      </c>
      <c r="Q476" s="43" t="str">
        <f t="shared" si="230"/>
        <v/>
      </c>
      <c r="R476" s="43" t="str">
        <f t="shared" si="231"/>
        <v/>
      </c>
      <c r="S476" s="43" t="str">
        <f t="shared" si="231"/>
        <v/>
      </c>
      <c r="T476" s="43" t="str">
        <f t="shared" si="231"/>
        <v/>
      </c>
      <c r="U476" s="43" t="str">
        <f t="shared" si="231"/>
        <v/>
      </c>
      <c r="V476" s="43" t="str">
        <f t="shared" si="231"/>
        <v/>
      </c>
      <c r="W476" s="43" t="str">
        <f t="shared" si="231"/>
        <v/>
      </c>
      <c r="X476" s="43" t="str">
        <f t="shared" si="231"/>
        <v/>
      </c>
      <c r="Y476" s="43" t="str">
        <f t="shared" si="231"/>
        <v/>
      </c>
      <c r="Z476" s="43" t="str">
        <f t="shared" si="231"/>
        <v/>
      </c>
      <c r="AA476" s="43" t="str">
        <f t="shared" si="231"/>
        <v/>
      </c>
      <c r="AB476" s="43" t="str">
        <f t="shared" si="232"/>
        <v/>
      </c>
      <c r="AC476" s="43" t="str">
        <f t="shared" si="232"/>
        <v/>
      </c>
      <c r="AD476" s="43" t="str">
        <f t="shared" si="232"/>
        <v/>
      </c>
      <c r="AE476" s="43" t="str">
        <f t="shared" si="232"/>
        <v/>
      </c>
      <c r="AF476" s="43" t="str">
        <f t="shared" si="232"/>
        <v/>
      </c>
      <c r="AG476" s="43" t="str">
        <f t="shared" si="232"/>
        <v/>
      </c>
      <c r="AH476" s="43" t="str">
        <f t="shared" si="232"/>
        <v/>
      </c>
      <c r="AI476" s="43" t="str">
        <f t="shared" si="232"/>
        <v/>
      </c>
      <c r="AJ476" s="43" t="str">
        <f t="shared" si="232"/>
        <v/>
      </c>
      <c r="AK476" s="43" t="str">
        <f t="shared" si="232"/>
        <v/>
      </c>
      <c r="AL476" s="43" t="str">
        <f t="shared" si="233"/>
        <v/>
      </c>
      <c r="AM476" s="43" t="str">
        <f t="shared" si="233"/>
        <v/>
      </c>
      <c r="AN476" s="43" t="str">
        <f t="shared" si="233"/>
        <v/>
      </c>
      <c r="AO476" s="43" t="str">
        <f t="shared" si="233"/>
        <v/>
      </c>
      <c r="AP476" s="43" t="str">
        <f t="shared" si="233"/>
        <v/>
      </c>
      <c r="AQ476" s="43" t="str">
        <f t="shared" si="233"/>
        <v/>
      </c>
      <c r="AR476" s="43" t="str">
        <f t="shared" si="233"/>
        <v/>
      </c>
      <c r="AS476" s="43" t="str">
        <f t="shared" si="233"/>
        <v/>
      </c>
      <c r="AT476" s="43" t="str">
        <f t="shared" si="233"/>
        <v/>
      </c>
      <c r="AU476" s="43" t="str">
        <f t="shared" si="233"/>
        <v/>
      </c>
      <c r="AV476" s="43" t="str">
        <f t="shared" si="234"/>
        <v/>
      </c>
      <c r="AW476" s="43" t="str">
        <f t="shared" si="234"/>
        <v/>
      </c>
      <c r="AX476" s="43" t="str">
        <f t="shared" si="234"/>
        <v/>
      </c>
      <c r="AY476" s="43" t="str">
        <f t="shared" si="234"/>
        <v/>
      </c>
      <c r="AZ476" s="43" t="str">
        <f t="shared" si="234"/>
        <v/>
      </c>
      <c r="BA476" s="43" t="str">
        <f t="shared" si="234"/>
        <v/>
      </c>
      <c r="BB476" s="43"/>
      <c r="BC476" s="43"/>
      <c r="BD476" s="43"/>
      <c r="BE476" s="43"/>
      <c r="BF476" s="43"/>
      <c r="BG476" s="43"/>
      <c r="BW476" s="1250"/>
    </row>
    <row r="477" spans="1:75" x14ac:dyDescent="0.25">
      <c r="A477" s="1251"/>
      <c r="B477" s="462">
        <v>471</v>
      </c>
      <c r="C477" s="462"/>
      <c r="D477" s="1244"/>
      <c r="E477" s="1050"/>
      <c r="F477" s="1244"/>
      <c r="H477" s="43" t="str">
        <f t="shared" ref="H477:Q486" si="235">IF($D477=H$6,$B477&amp;", ","")</f>
        <v/>
      </c>
      <c r="I477" s="43" t="str">
        <f t="shared" si="235"/>
        <v/>
      </c>
      <c r="J477" s="43" t="str">
        <f t="shared" si="235"/>
        <v/>
      </c>
      <c r="K477" s="43" t="str">
        <f t="shared" si="235"/>
        <v/>
      </c>
      <c r="L477" s="43" t="str">
        <f t="shared" si="235"/>
        <v/>
      </c>
      <c r="M477" s="43" t="str">
        <f t="shared" si="235"/>
        <v/>
      </c>
      <c r="N477" s="43" t="str">
        <f t="shared" si="235"/>
        <v/>
      </c>
      <c r="O477" s="43" t="str">
        <f t="shared" si="235"/>
        <v/>
      </c>
      <c r="P477" s="43" t="str">
        <f t="shared" si="235"/>
        <v/>
      </c>
      <c r="Q477" s="43" t="str">
        <f t="shared" si="235"/>
        <v/>
      </c>
      <c r="R477" s="43" t="str">
        <f t="shared" ref="R477:AA486" si="236">IF($D477=R$6,$B477&amp;", ","")</f>
        <v/>
      </c>
      <c r="S477" s="43" t="str">
        <f t="shared" si="236"/>
        <v/>
      </c>
      <c r="T477" s="43" t="str">
        <f t="shared" si="236"/>
        <v/>
      </c>
      <c r="U477" s="43" t="str">
        <f t="shared" si="236"/>
        <v/>
      </c>
      <c r="V477" s="43" t="str">
        <f t="shared" si="236"/>
        <v/>
      </c>
      <c r="W477" s="43" t="str">
        <f t="shared" si="236"/>
        <v/>
      </c>
      <c r="X477" s="43" t="str">
        <f t="shared" si="236"/>
        <v/>
      </c>
      <c r="Y477" s="43" t="str">
        <f t="shared" si="236"/>
        <v/>
      </c>
      <c r="Z477" s="43" t="str">
        <f t="shared" si="236"/>
        <v/>
      </c>
      <c r="AA477" s="43" t="str">
        <f t="shared" si="236"/>
        <v/>
      </c>
      <c r="AB477" s="43" t="str">
        <f t="shared" ref="AB477:AK486" si="237">IF($D477=AB$6,$B477&amp;", ","")</f>
        <v/>
      </c>
      <c r="AC477" s="43" t="str">
        <f t="shared" si="237"/>
        <v/>
      </c>
      <c r="AD477" s="43" t="str">
        <f t="shared" si="237"/>
        <v/>
      </c>
      <c r="AE477" s="43" t="str">
        <f t="shared" si="237"/>
        <v/>
      </c>
      <c r="AF477" s="43" t="str">
        <f t="shared" si="237"/>
        <v/>
      </c>
      <c r="AG477" s="43" t="str">
        <f t="shared" si="237"/>
        <v/>
      </c>
      <c r="AH477" s="43" t="str">
        <f t="shared" si="237"/>
        <v/>
      </c>
      <c r="AI477" s="43" t="str">
        <f t="shared" si="237"/>
        <v/>
      </c>
      <c r="AJ477" s="43" t="str">
        <f t="shared" si="237"/>
        <v/>
      </c>
      <c r="AK477" s="43" t="str">
        <f t="shared" si="237"/>
        <v/>
      </c>
      <c r="AL477" s="43" t="str">
        <f t="shared" ref="AL477:AU486" si="238">IF($D477=AL$6,$B477&amp;", ","")</f>
        <v/>
      </c>
      <c r="AM477" s="43" t="str">
        <f t="shared" si="238"/>
        <v/>
      </c>
      <c r="AN477" s="43" t="str">
        <f t="shared" si="238"/>
        <v/>
      </c>
      <c r="AO477" s="43" t="str">
        <f t="shared" si="238"/>
        <v/>
      </c>
      <c r="AP477" s="43" t="str">
        <f t="shared" si="238"/>
        <v/>
      </c>
      <c r="AQ477" s="43" t="str">
        <f t="shared" si="238"/>
        <v/>
      </c>
      <c r="AR477" s="43" t="str">
        <f t="shared" si="238"/>
        <v/>
      </c>
      <c r="AS477" s="43" t="str">
        <f t="shared" si="238"/>
        <v/>
      </c>
      <c r="AT477" s="43" t="str">
        <f t="shared" si="238"/>
        <v/>
      </c>
      <c r="AU477" s="43" t="str">
        <f t="shared" si="238"/>
        <v/>
      </c>
      <c r="AV477" s="43" t="str">
        <f t="shared" ref="AV477:BA486" si="239">IF($D477=AV$6,$B477&amp;", ","")</f>
        <v/>
      </c>
      <c r="AW477" s="43" t="str">
        <f t="shared" si="239"/>
        <v/>
      </c>
      <c r="AX477" s="43" t="str">
        <f t="shared" si="239"/>
        <v/>
      </c>
      <c r="AY477" s="43" t="str">
        <f t="shared" si="239"/>
        <v/>
      </c>
      <c r="AZ477" s="43" t="str">
        <f t="shared" si="239"/>
        <v/>
      </c>
      <c r="BA477" s="43" t="str">
        <f t="shared" si="239"/>
        <v/>
      </c>
      <c r="BB477" s="43"/>
      <c r="BC477" s="43"/>
      <c r="BD477" s="43"/>
      <c r="BE477" s="43"/>
      <c r="BF477" s="43"/>
      <c r="BG477" s="43"/>
      <c r="BW477" s="1250"/>
    </row>
    <row r="478" spans="1:75" x14ac:dyDescent="0.25">
      <c r="A478" s="1251"/>
      <c r="B478" s="462">
        <v>472</v>
      </c>
      <c r="C478" s="462"/>
      <c r="D478" s="1244"/>
      <c r="E478" s="1050"/>
      <c r="F478" s="1244"/>
      <c r="H478" s="43" t="str">
        <f t="shared" si="235"/>
        <v/>
      </c>
      <c r="I478" s="43" t="str">
        <f t="shared" si="235"/>
        <v/>
      </c>
      <c r="J478" s="43" t="str">
        <f t="shared" si="235"/>
        <v/>
      </c>
      <c r="K478" s="43" t="str">
        <f t="shared" si="235"/>
        <v/>
      </c>
      <c r="L478" s="43" t="str">
        <f t="shared" si="235"/>
        <v/>
      </c>
      <c r="M478" s="43" t="str">
        <f t="shared" si="235"/>
        <v/>
      </c>
      <c r="N478" s="43" t="str">
        <f t="shared" si="235"/>
        <v/>
      </c>
      <c r="O478" s="43" t="str">
        <f t="shared" si="235"/>
        <v/>
      </c>
      <c r="P478" s="43" t="str">
        <f t="shared" si="235"/>
        <v/>
      </c>
      <c r="Q478" s="43" t="str">
        <f t="shared" si="235"/>
        <v/>
      </c>
      <c r="R478" s="43" t="str">
        <f t="shared" si="236"/>
        <v/>
      </c>
      <c r="S478" s="43" t="str">
        <f t="shared" si="236"/>
        <v/>
      </c>
      <c r="T478" s="43" t="str">
        <f t="shared" si="236"/>
        <v/>
      </c>
      <c r="U478" s="43" t="str">
        <f t="shared" si="236"/>
        <v/>
      </c>
      <c r="V478" s="43" t="str">
        <f t="shared" si="236"/>
        <v/>
      </c>
      <c r="W478" s="43" t="str">
        <f t="shared" si="236"/>
        <v/>
      </c>
      <c r="X478" s="43" t="str">
        <f t="shared" si="236"/>
        <v/>
      </c>
      <c r="Y478" s="43" t="str">
        <f t="shared" si="236"/>
        <v/>
      </c>
      <c r="Z478" s="43" t="str">
        <f t="shared" si="236"/>
        <v/>
      </c>
      <c r="AA478" s="43" t="str">
        <f t="shared" si="236"/>
        <v/>
      </c>
      <c r="AB478" s="43" t="str">
        <f t="shared" si="237"/>
        <v/>
      </c>
      <c r="AC478" s="43" t="str">
        <f t="shared" si="237"/>
        <v/>
      </c>
      <c r="AD478" s="43" t="str">
        <f t="shared" si="237"/>
        <v/>
      </c>
      <c r="AE478" s="43" t="str">
        <f t="shared" si="237"/>
        <v/>
      </c>
      <c r="AF478" s="43" t="str">
        <f t="shared" si="237"/>
        <v/>
      </c>
      <c r="AG478" s="43" t="str">
        <f t="shared" si="237"/>
        <v/>
      </c>
      <c r="AH478" s="43" t="str">
        <f t="shared" si="237"/>
        <v/>
      </c>
      <c r="AI478" s="43" t="str">
        <f t="shared" si="237"/>
        <v/>
      </c>
      <c r="AJ478" s="43" t="str">
        <f t="shared" si="237"/>
        <v/>
      </c>
      <c r="AK478" s="43" t="str">
        <f t="shared" si="237"/>
        <v/>
      </c>
      <c r="AL478" s="43" t="str">
        <f t="shared" si="238"/>
        <v/>
      </c>
      <c r="AM478" s="43" t="str">
        <f t="shared" si="238"/>
        <v/>
      </c>
      <c r="AN478" s="43" t="str">
        <f t="shared" si="238"/>
        <v/>
      </c>
      <c r="AO478" s="43" t="str">
        <f t="shared" si="238"/>
        <v/>
      </c>
      <c r="AP478" s="43" t="str">
        <f t="shared" si="238"/>
        <v/>
      </c>
      <c r="AQ478" s="43" t="str">
        <f t="shared" si="238"/>
        <v/>
      </c>
      <c r="AR478" s="43" t="str">
        <f t="shared" si="238"/>
        <v/>
      </c>
      <c r="AS478" s="43" t="str">
        <f t="shared" si="238"/>
        <v/>
      </c>
      <c r="AT478" s="43" t="str">
        <f t="shared" si="238"/>
        <v/>
      </c>
      <c r="AU478" s="43" t="str">
        <f t="shared" si="238"/>
        <v/>
      </c>
      <c r="AV478" s="43" t="str">
        <f t="shared" si="239"/>
        <v/>
      </c>
      <c r="AW478" s="43" t="str">
        <f t="shared" si="239"/>
        <v/>
      </c>
      <c r="AX478" s="43" t="str">
        <f t="shared" si="239"/>
        <v/>
      </c>
      <c r="AY478" s="43" t="str">
        <f t="shared" si="239"/>
        <v/>
      </c>
      <c r="AZ478" s="43" t="str">
        <f t="shared" si="239"/>
        <v/>
      </c>
      <c r="BA478" s="43" t="str">
        <f t="shared" si="239"/>
        <v/>
      </c>
      <c r="BB478" s="43"/>
      <c r="BC478" s="43"/>
      <c r="BD478" s="43"/>
      <c r="BE478" s="43"/>
      <c r="BF478" s="43"/>
      <c r="BG478" s="43"/>
      <c r="BW478" s="1250"/>
    </row>
    <row r="479" spans="1:75" x14ac:dyDescent="0.25">
      <c r="A479" s="1251"/>
      <c r="B479" s="462">
        <v>473</v>
      </c>
      <c r="C479" s="462"/>
      <c r="D479" s="1244"/>
      <c r="E479" s="1050"/>
      <c r="F479" s="1244"/>
      <c r="H479" s="43" t="str">
        <f t="shared" si="235"/>
        <v/>
      </c>
      <c r="I479" s="43" t="str">
        <f t="shared" si="235"/>
        <v/>
      </c>
      <c r="J479" s="43" t="str">
        <f t="shared" si="235"/>
        <v/>
      </c>
      <c r="K479" s="43" t="str">
        <f t="shared" si="235"/>
        <v/>
      </c>
      <c r="L479" s="43" t="str">
        <f t="shared" si="235"/>
        <v/>
      </c>
      <c r="M479" s="43" t="str">
        <f t="shared" si="235"/>
        <v/>
      </c>
      <c r="N479" s="43" t="str">
        <f t="shared" si="235"/>
        <v/>
      </c>
      <c r="O479" s="43" t="str">
        <f t="shared" si="235"/>
        <v/>
      </c>
      <c r="P479" s="43" t="str">
        <f t="shared" si="235"/>
        <v/>
      </c>
      <c r="Q479" s="43" t="str">
        <f t="shared" si="235"/>
        <v/>
      </c>
      <c r="R479" s="43" t="str">
        <f t="shared" si="236"/>
        <v/>
      </c>
      <c r="S479" s="43" t="str">
        <f t="shared" si="236"/>
        <v/>
      </c>
      <c r="T479" s="43" t="str">
        <f t="shared" si="236"/>
        <v/>
      </c>
      <c r="U479" s="43" t="str">
        <f t="shared" si="236"/>
        <v/>
      </c>
      <c r="V479" s="43" t="str">
        <f t="shared" si="236"/>
        <v/>
      </c>
      <c r="W479" s="43" t="str">
        <f t="shared" si="236"/>
        <v/>
      </c>
      <c r="X479" s="43" t="str">
        <f t="shared" si="236"/>
        <v/>
      </c>
      <c r="Y479" s="43" t="str">
        <f t="shared" si="236"/>
        <v/>
      </c>
      <c r="Z479" s="43" t="str">
        <f t="shared" si="236"/>
        <v/>
      </c>
      <c r="AA479" s="43" t="str">
        <f t="shared" si="236"/>
        <v/>
      </c>
      <c r="AB479" s="43" t="str">
        <f t="shared" si="237"/>
        <v/>
      </c>
      <c r="AC479" s="43" t="str">
        <f t="shared" si="237"/>
        <v/>
      </c>
      <c r="AD479" s="43" t="str">
        <f t="shared" si="237"/>
        <v/>
      </c>
      <c r="AE479" s="43" t="str">
        <f t="shared" si="237"/>
        <v/>
      </c>
      <c r="AF479" s="43" t="str">
        <f t="shared" si="237"/>
        <v/>
      </c>
      <c r="AG479" s="43" t="str">
        <f t="shared" si="237"/>
        <v/>
      </c>
      <c r="AH479" s="43" t="str">
        <f t="shared" si="237"/>
        <v/>
      </c>
      <c r="AI479" s="43" t="str">
        <f t="shared" si="237"/>
        <v/>
      </c>
      <c r="AJ479" s="43" t="str">
        <f t="shared" si="237"/>
        <v/>
      </c>
      <c r="AK479" s="43" t="str">
        <f t="shared" si="237"/>
        <v/>
      </c>
      <c r="AL479" s="43" t="str">
        <f t="shared" si="238"/>
        <v/>
      </c>
      <c r="AM479" s="43" t="str">
        <f t="shared" si="238"/>
        <v/>
      </c>
      <c r="AN479" s="43" t="str">
        <f t="shared" si="238"/>
        <v/>
      </c>
      <c r="AO479" s="43" t="str">
        <f t="shared" si="238"/>
        <v/>
      </c>
      <c r="AP479" s="43" t="str">
        <f t="shared" si="238"/>
        <v/>
      </c>
      <c r="AQ479" s="43" t="str">
        <f t="shared" si="238"/>
        <v/>
      </c>
      <c r="AR479" s="43" t="str">
        <f t="shared" si="238"/>
        <v/>
      </c>
      <c r="AS479" s="43" t="str">
        <f t="shared" si="238"/>
        <v/>
      </c>
      <c r="AT479" s="43" t="str">
        <f t="shared" si="238"/>
        <v/>
      </c>
      <c r="AU479" s="43" t="str">
        <f t="shared" si="238"/>
        <v/>
      </c>
      <c r="AV479" s="43" t="str">
        <f t="shared" si="239"/>
        <v/>
      </c>
      <c r="AW479" s="43" t="str">
        <f t="shared" si="239"/>
        <v/>
      </c>
      <c r="AX479" s="43" t="str">
        <f t="shared" si="239"/>
        <v/>
      </c>
      <c r="AY479" s="43" t="str">
        <f t="shared" si="239"/>
        <v/>
      </c>
      <c r="AZ479" s="43" t="str">
        <f t="shared" si="239"/>
        <v/>
      </c>
      <c r="BA479" s="43" t="str">
        <f t="shared" si="239"/>
        <v/>
      </c>
      <c r="BB479" s="43"/>
      <c r="BC479" s="43"/>
      <c r="BD479" s="43"/>
      <c r="BE479" s="43"/>
      <c r="BF479" s="43"/>
      <c r="BG479" s="43"/>
      <c r="BW479" s="1250"/>
    </row>
    <row r="480" spans="1:75" x14ac:dyDescent="0.25">
      <c r="A480" s="1251"/>
      <c r="B480" s="462">
        <v>474</v>
      </c>
      <c r="C480" s="462"/>
      <c r="D480" s="1244"/>
      <c r="E480" s="1050"/>
      <c r="F480" s="1244"/>
      <c r="H480" s="43" t="str">
        <f t="shared" si="235"/>
        <v/>
      </c>
      <c r="I480" s="43" t="str">
        <f t="shared" si="235"/>
        <v/>
      </c>
      <c r="J480" s="43" t="str">
        <f t="shared" si="235"/>
        <v/>
      </c>
      <c r="K480" s="43" t="str">
        <f t="shared" si="235"/>
        <v/>
      </c>
      <c r="L480" s="43" t="str">
        <f t="shared" si="235"/>
        <v/>
      </c>
      <c r="M480" s="43" t="str">
        <f t="shared" si="235"/>
        <v/>
      </c>
      <c r="N480" s="43" t="str">
        <f t="shared" si="235"/>
        <v/>
      </c>
      <c r="O480" s="43" t="str">
        <f t="shared" si="235"/>
        <v/>
      </c>
      <c r="P480" s="43" t="str">
        <f t="shared" si="235"/>
        <v/>
      </c>
      <c r="Q480" s="43" t="str">
        <f t="shared" si="235"/>
        <v/>
      </c>
      <c r="R480" s="43" t="str">
        <f t="shared" si="236"/>
        <v/>
      </c>
      <c r="S480" s="43" t="str">
        <f t="shared" si="236"/>
        <v/>
      </c>
      <c r="T480" s="43" t="str">
        <f t="shared" si="236"/>
        <v/>
      </c>
      <c r="U480" s="43" t="str">
        <f t="shared" si="236"/>
        <v/>
      </c>
      <c r="V480" s="43" t="str">
        <f t="shared" si="236"/>
        <v/>
      </c>
      <c r="W480" s="43" t="str">
        <f t="shared" si="236"/>
        <v/>
      </c>
      <c r="X480" s="43" t="str">
        <f t="shared" si="236"/>
        <v/>
      </c>
      <c r="Y480" s="43" t="str">
        <f t="shared" si="236"/>
        <v/>
      </c>
      <c r="Z480" s="43" t="str">
        <f t="shared" si="236"/>
        <v/>
      </c>
      <c r="AA480" s="43" t="str">
        <f t="shared" si="236"/>
        <v/>
      </c>
      <c r="AB480" s="43" t="str">
        <f t="shared" si="237"/>
        <v/>
      </c>
      <c r="AC480" s="43" t="str">
        <f t="shared" si="237"/>
        <v/>
      </c>
      <c r="AD480" s="43" t="str">
        <f t="shared" si="237"/>
        <v/>
      </c>
      <c r="AE480" s="43" t="str">
        <f t="shared" si="237"/>
        <v/>
      </c>
      <c r="AF480" s="43" t="str">
        <f t="shared" si="237"/>
        <v/>
      </c>
      <c r="AG480" s="43" t="str">
        <f t="shared" si="237"/>
        <v/>
      </c>
      <c r="AH480" s="43" t="str">
        <f t="shared" si="237"/>
        <v/>
      </c>
      <c r="AI480" s="43" t="str">
        <f t="shared" si="237"/>
        <v/>
      </c>
      <c r="AJ480" s="43" t="str">
        <f t="shared" si="237"/>
        <v/>
      </c>
      <c r="AK480" s="43" t="str">
        <f t="shared" si="237"/>
        <v/>
      </c>
      <c r="AL480" s="43" t="str">
        <f t="shared" si="238"/>
        <v/>
      </c>
      <c r="AM480" s="43" t="str">
        <f t="shared" si="238"/>
        <v/>
      </c>
      <c r="AN480" s="43" t="str">
        <f t="shared" si="238"/>
        <v/>
      </c>
      <c r="AO480" s="43" t="str">
        <f t="shared" si="238"/>
        <v/>
      </c>
      <c r="AP480" s="43" t="str">
        <f t="shared" si="238"/>
        <v/>
      </c>
      <c r="AQ480" s="43" t="str">
        <f t="shared" si="238"/>
        <v/>
      </c>
      <c r="AR480" s="43" t="str">
        <f t="shared" si="238"/>
        <v/>
      </c>
      <c r="AS480" s="43" t="str">
        <f t="shared" si="238"/>
        <v/>
      </c>
      <c r="AT480" s="43" t="str">
        <f t="shared" si="238"/>
        <v/>
      </c>
      <c r="AU480" s="43" t="str">
        <f t="shared" si="238"/>
        <v/>
      </c>
      <c r="AV480" s="43" t="str">
        <f t="shared" si="239"/>
        <v/>
      </c>
      <c r="AW480" s="43" t="str">
        <f t="shared" si="239"/>
        <v/>
      </c>
      <c r="AX480" s="43" t="str">
        <f t="shared" si="239"/>
        <v/>
      </c>
      <c r="AY480" s="43" t="str">
        <f t="shared" si="239"/>
        <v/>
      </c>
      <c r="AZ480" s="43" t="str">
        <f t="shared" si="239"/>
        <v/>
      </c>
      <c r="BA480" s="43" t="str">
        <f t="shared" si="239"/>
        <v/>
      </c>
      <c r="BB480" s="43"/>
      <c r="BC480" s="43"/>
      <c r="BD480" s="43"/>
      <c r="BE480" s="43"/>
      <c r="BF480" s="43"/>
      <c r="BG480" s="43"/>
      <c r="BW480" s="1250"/>
    </row>
    <row r="481" spans="1:75" x14ac:dyDescent="0.25">
      <c r="A481" s="1251"/>
      <c r="B481" s="462">
        <v>475</v>
      </c>
      <c r="C481" s="462"/>
      <c r="D481" s="1244"/>
      <c r="E481" s="1050"/>
      <c r="F481" s="1244"/>
      <c r="H481" s="43" t="str">
        <f t="shared" si="235"/>
        <v/>
      </c>
      <c r="I481" s="43" t="str">
        <f t="shared" si="235"/>
        <v/>
      </c>
      <c r="J481" s="43" t="str">
        <f t="shared" si="235"/>
        <v/>
      </c>
      <c r="K481" s="43" t="str">
        <f t="shared" si="235"/>
        <v/>
      </c>
      <c r="L481" s="43" t="str">
        <f t="shared" si="235"/>
        <v/>
      </c>
      <c r="M481" s="43" t="str">
        <f t="shared" si="235"/>
        <v/>
      </c>
      <c r="N481" s="43" t="str">
        <f t="shared" si="235"/>
        <v/>
      </c>
      <c r="O481" s="43" t="str">
        <f t="shared" si="235"/>
        <v/>
      </c>
      <c r="P481" s="43" t="str">
        <f t="shared" si="235"/>
        <v/>
      </c>
      <c r="Q481" s="43" t="str">
        <f t="shared" si="235"/>
        <v/>
      </c>
      <c r="R481" s="43" t="str">
        <f t="shared" si="236"/>
        <v/>
      </c>
      <c r="S481" s="43" t="str">
        <f t="shared" si="236"/>
        <v/>
      </c>
      <c r="T481" s="43" t="str">
        <f t="shared" si="236"/>
        <v/>
      </c>
      <c r="U481" s="43" t="str">
        <f t="shared" si="236"/>
        <v/>
      </c>
      <c r="V481" s="43" t="str">
        <f t="shared" si="236"/>
        <v/>
      </c>
      <c r="W481" s="43" t="str">
        <f t="shared" si="236"/>
        <v/>
      </c>
      <c r="X481" s="43" t="str">
        <f t="shared" si="236"/>
        <v/>
      </c>
      <c r="Y481" s="43" t="str">
        <f t="shared" si="236"/>
        <v/>
      </c>
      <c r="Z481" s="43" t="str">
        <f t="shared" si="236"/>
        <v/>
      </c>
      <c r="AA481" s="43" t="str">
        <f t="shared" si="236"/>
        <v/>
      </c>
      <c r="AB481" s="43" t="str">
        <f t="shared" si="237"/>
        <v/>
      </c>
      <c r="AC481" s="43" t="str">
        <f t="shared" si="237"/>
        <v/>
      </c>
      <c r="AD481" s="43" t="str">
        <f t="shared" si="237"/>
        <v/>
      </c>
      <c r="AE481" s="43" t="str">
        <f t="shared" si="237"/>
        <v/>
      </c>
      <c r="AF481" s="43" t="str">
        <f t="shared" si="237"/>
        <v/>
      </c>
      <c r="AG481" s="43" t="str">
        <f t="shared" si="237"/>
        <v/>
      </c>
      <c r="AH481" s="43" t="str">
        <f t="shared" si="237"/>
        <v/>
      </c>
      <c r="AI481" s="43" t="str">
        <f t="shared" si="237"/>
        <v/>
      </c>
      <c r="AJ481" s="43" t="str">
        <f t="shared" si="237"/>
        <v/>
      </c>
      <c r="AK481" s="43" t="str">
        <f t="shared" si="237"/>
        <v/>
      </c>
      <c r="AL481" s="43" t="str">
        <f t="shared" si="238"/>
        <v/>
      </c>
      <c r="AM481" s="43" t="str">
        <f t="shared" si="238"/>
        <v/>
      </c>
      <c r="AN481" s="43" t="str">
        <f t="shared" si="238"/>
        <v/>
      </c>
      <c r="AO481" s="43" t="str">
        <f t="shared" si="238"/>
        <v/>
      </c>
      <c r="AP481" s="43" t="str">
        <f t="shared" si="238"/>
        <v/>
      </c>
      <c r="AQ481" s="43" t="str">
        <f t="shared" si="238"/>
        <v/>
      </c>
      <c r="AR481" s="43" t="str">
        <f t="shared" si="238"/>
        <v/>
      </c>
      <c r="AS481" s="43" t="str">
        <f t="shared" si="238"/>
        <v/>
      </c>
      <c r="AT481" s="43" t="str">
        <f t="shared" si="238"/>
        <v/>
      </c>
      <c r="AU481" s="43" t="str">
        <f t="shared" si="238"/>
        <v/>
      </c>
      <c r="AV481" s="43" t="str">
        <f t="shared" si="239"/>
        <v/>
      </c>
      <c r="AW481" s="43" t="str">
        <f t="shared" si="239"/>
        <v/>
      </c>
      <c r="AX481" s="43" t="str">
        <f t="shared" si="239"/>
        <v/>
      </c>
      <c r="AY481" s="43" t="str">
        <f t="shared" si="239"/>
        <v/>
      </c>
      <c r="AZ481" s="43" t="str">
        <f t="shared" si="239"/>
        <v/>
      </c>
      <c r="BA481" s="43" t="str">
        <f t="shared" si="239"/>
        <v/>
      </c>
      <c r="BB481" s="43"/>
      <c r="BC481" s="43"/>
      <c r="BD481" s="43"/>
      <c r="BE481" s="43"/>
      <c r="BF481" s="43"/>
      <c r="BG481" s="43"/>
      <c r="BW481" s="1250"/>
    </row>
    <row r="482" spans="1:75" x14ac:dyDescent="0.25">
      <c r="A482" s="1251"/>
      <c r="B482" s="462">
        <v>476</v>
      </c>
      <c r="C482" s="462"/>
      <c r="D482" s="1244"/>
      <c r="E482" s="1050"/>
      <c r="F482" s="1244"/>
      <c r="H482" s="43" t="str">
        <f t="shared" si="235"/>
        <v/>
      </c>
      <c r="I482" s="43" t="str">
        <f t="shared" si="235"/>
        <v/>
      </c>
      <c r="J482" s="43" t="str">
        <f t="shared" si="235"/>
        <v/>
      </c>
      <c r="K482" s="43" t="str">
        <f t="shared" si="235"/>
        <v/>
      </c>
      <c r="L482" s="43" t="str">
        <f t="shared" si="235"/>
        <v/>
      </c>
      <c r="M482" s="43" t="str">
        <f t="shared" si="235"/>
        <v/>
      </c>
      <c r="N482" s="43" t="str">
        <f t="shared" si="235"/>
        <v/>
      </c>
      <c r="O482" s="43" t="str">
        <f t="shared" si="235"/>
        <v/>
      </c>
      <c r="P482" s="43" t="str">
        <f t="shared" si="235"/>
        <v/>
      </c>
      <c r="Q482" s="43" t="str">
        <f t="shared" si="235"/>
        <v/>
      </c>
      <c r="R482" s="43" t="str">
        <f t="shared" si="236"/>
        <v/>
      </c>
      <c r="S482" s="43" t="str">
        <f t="shared" si="236"/>
        <v/>
      </c>
      <c r="T482" s="43" t="str">
        <f t="shared" si="236"/>
        <v/>
      </c>
      <c r="U482" s="43" t="str">
        <f t="shared" si="236"/>
        <v/>
      </c>
      <c r="V482" s="43" t="str">
        <f t="shared" si="236"/>
        <v/>
      </c>
      <c r="W482" s="43" t="str">
        <f t="shared" si="236"/>
        <v/>
      </c>
      <c r="X482" s="43" t="str">
        <f t="shared" si="236"/>
        <v/>
      </c>
      <c r="Y482" s="43" t="str">
        <f t="shared" si="236"/>
        <v/>
      </c>
      <c r="Z482" s="43" t="str">
        <f t="shared" si="236"/>
        <v/>
      </c>
      <c r="AA482" s="43" t="str">
        <f t="shared" si="236"/>
        <v/>
      </c>
      <c r="AB482" s="43" t="str">
        <f t="shared" si="237"/>
        <v/>
      </c>
      <c r="AC482" s="43" t="str">
        <f t="shared" si="237"/>
        <v/>
      </c>
      <c r="AD482" s="43" t="str">
        <f t="shared" si="237"/>
        <v/>
      </c>
      <c r="AE482" s="43" t="str">
        <f t="shared" si="237"/>
        <v/>
      </c>
      <c r="AF482" s="43" t="str">
        <f t="shared" si="237"/>
        <v/>
      </c>
      <c r="AG482" s="43" t="str">
        <f t="shared" si="237"/>
        <v/>
      </c>
      <c r="AH482" s="43" t="str">
        <f t="shared" si="237"/>
        <v/>
      </c>
      <c r="AI482" s="43" t="str">
        <f t="shared" si="237"/>
        <v/>
      </c>
      <c r="AJ482" s="43" t="str">
        <f t="shared" si="237"/>
        <v/>
      </c>
      <c r="AK482" s="43" t="str">
        <f t="shared" si="237"/>
        <v/>
      </c>
      <c r="AL482" s="43" t="str">
        <f t="shared" si="238"/>
        <v/>
      </c>
      <c r="AM482" s="43" t="str">
        <f t="shared" si="238"/>
        <v/>
      </c>
      <c r="AN482" s="43" t="str">
        <f t="shared" si="238"/>
        <v/>
      </c>
      <c r="AO482" s="43" t="str">
        <f t="shared" si="238"/>
        <v/>
      </c>
      <c r="AP482" s="43" t="str">
        <f t="shared" si="238"/>
        <v/>
      </c>
      <c r="AQ482" s="43" t="str">
        <f t="shared" si="238"/>
        <v/>
      </c>
      <c r="AR482" s="43" t="str">
        <f t="shared" si="238"/>
        <v/>
      </c>
      <c r="AS482" s="43" t="str">
        <f t="shared" si="238"/>
        <v/>
      </c>
      <c r="AT482" s="43" t="str">
        <f t="shared" si="238"/>
        <v/>
      </c>
      <c r="AU482" s="43" t="str">
        <f t="shared" si="238"/>
        <v/>
      </c>
      <c r="AV482" s="43" t="str">
        <f t="shared" si="239"/>
        <v/>
      </c>
      <c r="AW482" s="43" t="str">
        <f t="shared" si="239"/>
        <v/>
      </c>
      <c r="AX482" s="43" t="str">
        <f t="shared" si="239"/>
        <v/>
      </c>
      <c r="AY482" s="43" t="str">
        <f t="shared" si="239"/>
        <v/>
      </c>
      <c r="AZ482" s="43" t="str">
        <f t="shared" si="239"/>
        <v/>
      </c>
      <c r="BA482" s="43" t="str">
        <f t="shared" si="239"/>
        <v/>
      </c>
      <c r="BB482" s="43"/>
      <c r="BC482" s="43"/>
      <c r="BD482" s="43"/>
      <c r="BE482" s="43"/>
      <c r="BF482" s="43"/>
      <c r="BG482" s="43"/>
      <c r="BW482" s="1250"/>
    </row>
    <row r="483" spans="1:75" x14ac:dyDescent="0.25">
      <c r="A483" s="1251"/>
      <c r="B483" s="462">
        <v>477</v>
      </c>
      <c r="C483" s="462"/>
      <c r="D483" s="1244"/>
      <c r="E483" s="1050"/>
      <c r="F483" s="1244"/>
      <c r="H483" s="43" t="str">
        <f t="shared" si="235"/>
        <v/>
      </c>
      <c r="I483" s="43" t="str">
        <f t="shared" si="235"/>
        <v/>
      </c>
      <c r="J483" s="43" t="str">
        <f t="shared" si="235"/>
        <v/>
      </c>
      <c r="K483" s="43" t="str">
        <f t="shared" si="235"/>
        <v/>
      </c>
      <c r="L483" s="43" t="str">
        <f t="shared" si="235"/>
        <v/>
      </c>
      <c r="M483" s="43" t="str">
        <f t="shared" si="235"/>
        <v/>
      </c>
      <c r="N483" s="43" t="str">
        <f t="shared" si="235"/>
        <v/>
      </c>
      <c r="O483" s="43" t="str">
        <f t="shared" si="235"/>
        <v/>
      </c>
      <c r="P483" s="43" t="str">
        <f t="shared" si="235"/>
        <v/>
      </c>
      <c r="Q483" s="43" t="str">
        <f t="shared" si="235"/>
        <v/>
      </c>
      <c r="R483" s="43" t="str">
        <f t="shared" si="236"/>
        <v/>
      </c>
      <c r="S483" s="43" t="str">
        <f t="shared" si="236"/>
        <v/>
      </c>
      <c r="T483" s="43" t="str">
        <f t="shared" si="236"/>
        <v/>
      </c>
      <c r="U483" s="43" t="str">
        <f t="shared" si="236"/>
        <v/>
      </c>
      <c r="V483" s="43" t="str">
        <f t="shared" si="236"/>
        <v/>
      </c>
      <c r="W483" s="43" t="str">
        <f t="shared" si="236"/>
        <v/>
      </c>
      <c r="X483" s="43" t="str">
        <f t="shared" si="236"/>
        <v/>
      </c>
      <c r="Y483" s="43" t="str">
        <f t="shared" si="236"/>
        <v/>
      </c>
      <c r="Z483" s="43" t="str">
        <f t="shared" si="236"/>
        <v/>
      </c>
      <c r="AA483" s="43" t="str">
        <f t="shared" si="236"/>
        <v/>
      </c>
      <c r="AB483" s="43" t="str">
        <f t="shared" si="237"/>
        <v/>
      </c>
      <c r="AC483" s="43" t="str">
        <f t="shared" si="237"/>
        <v/>
      </c>
      <c r="AD483" s="43" t="str">
        <f t="shared" si="237"/>
        <v/>
      </c>
      <c r="AE483" s="43" t="str">
        <f t="shared" si="237"/>
        <v/>
      </c>
      <c r="AF483" s="43" t="str">
        <f t="shared" si="237"/>
        <v/>
      </c>
      <c r="AG483" s="43" t="str">
        <f t="shared" si="237"/>
        <v/>
      </c>
      <c r="AH483" s="43" t="str">
        <f t="shared" si="237"/>
        <v/>
      </c>
      <c r="AI483" s="43" t="str">
        <f t="shared" si="237"/>
        <v/>
      </c>
      <c r="AJ483" s="43" t="str">
        <f t="shared" si="237"/>
        <v/>
      </c>
      <c r="AK483" s="43" t="str">
        <f t="shared" si="237"/>
        <v/>
      </c>
      <c r="AL483" s="43" t="str">
        <f t="shared" si="238"/>
        <v/>
      </c>
      <c r="AM483" s="43" t="str">
        <f t="shared" si="238"/>
        <v/>
      </c>
      <c r="AN483" s="43" t="str">
        <f t="shared" si="238"/>
        <v/>
      </c>
      <c r="AO483" s="43" t="str">
        <f t="shared" si="238"/>
        <v/>
      </c>
      <c r="AP483" s="43" t="str">
        <f t="shared" si="238"/>
        <v/>
      </c>
      <c r="AQ483" s="43" t="str">
        <f t="shared" si="238"/>
        <v/>
      </c>
      <c r="AR483" s="43" t="str">
        <f t="shared" si="238"/>
        <v/>
      </c>
      <c r="AS483" s="43" t="str">
        <f t="shared" si="238"/>
        <v/>
      </c>
      <c r="AT483" s="43" t="str">
        <f t="shared" si="238"/>
        <v/>
      </c>
      <c r="AU483" s="43" t="str">
        <f t="shared" si="238"/>
        <v/>
      </c>
      <c r="AV483" s="43" t="str">
        <f t="shared" si="239"/>
        <v/>
      </c>
      <c r="AW483" s="43" t="str">
        <f t="shared" si="239"/>
        <v/>
      </c>
      <c r="AX483" s="43" t="str">
        <f t="shared" si="239"/>
        <v/>
      </c>
      <c r="AY483" s="43" t="str">
        <f t="shared" si="239"/>
        <v/>
      </c>
      <c r="AZ483" s="43" t="str">
        <f t="shared" si="239"/>
        <v/>
      </c>
      <c r="BA483" s="43" t="str">
        <f t="shared" si="239"/>
        <v/>
      </c>
      <c r="BB483" s="43"/>
      <c r="BC483" s="43"/>
      <c r="BD483" s="43"/>
      <c r="BE483" s="43"/>
      <c r="BF483" s="43"/>
      <c r="BG483" s="43"/>
      <c r="BW483" s="1250"/>
    </row>
    <row r="484" spans="1:75" x14ac:dyDescent="0.25">
      <c r="A484" s="1251"/>
      <c r="B484" s="462">
        <v>478</v>
      </c>
      <c r="C484" s="462"/>
      <c r="D484" s="1244"/>
      <c r="E484" s="1050"/>
      <c r="F484" s="1244"/>
      <c r="H484" s="43" t="str">
        <f t="shared" si="235"/>
        <v/>
      </c>
      <c r="I484" s="43" t="str">
        <f t="shared" si="235"/>
        <v/>
      </c>
      <c r="J484" s="43" t="str">
        <f t="shared" si="235"/>
        <v/>
      </c>
      <c r="K484" s="43" t="str">
        <f t="shared" si="235"/>
        <v/>
      </c>
      <c r="L484" s="43" t="str">
        <f t="shared" si="235"/>
        <v/>
      </c>
      <c r="M484" s="43" t="str">
        <f t="shared" si="235"/>
        <v/>
      </c>
      <c r="N484" s="43" t="str">
        <f t="shared" si="235"/>
        <v/>
      </c>
      <c r="O484" s="43" t="str">
        <f t="shared" si="235"/>
        <v/>
      </c>
      <c r="P484" s="43" t="str">
        <f t="shared" si="235"/>
        <v/>
      </c>
      <c r="Q484" s="43" t="str">
        <f t="shared" si="235"/>
        <v/>
      </c>
      <c r="R484" s="43" t="str">
        <f t="shared" si="236"/>
        <v/>
      </c>
      <c r="S484" s="43" t="str">
        <f t="shared" si="236"/>
        <v/>
      </c>
      <c r="T484" s="43" t="str">
        <f t="shared" si="236"/>
        <v/>
      </c>
      <c r="U484" s="43" t="str">
        <f t="shared" si="236"/>
        <v/>
      </c>
      <c r="V484" s="43" t="str">
        <f t="shared" si="236"/>
        <v/>
      </c>
      <c r="W484" s="43" t="str">
        <f t="shared" si="236"/>
        <v/>
      </c>
      <c r="X484" s="43" t="str">
        <f t="shared" si="236"/>
        <v/>
      </c>
      <c r="Y484" s="43" t="str">
        <f t="shared" si="236"/>
        <v/>
      </c>
      <c r="Z484" s="43" t="str">
        <f t="shared" si="236"/>
        <v/>
      </c>
      <c r="AA484" s="43" t="str">
        <f t="shared" si="236"/>
        <v/>
      </c>
      <c r="AB484" s="43" t="str">
        <f t="shared" si="237"/>
        <v/>
      </c>
      <c r="AC484" s="43" t="str">
        <f t="shared" si="237"/>
        <v/>
      </c>
      <c r="AD484" s="43" t="str">
        <f t="shared" si="237"/>
        <v/>
      </c>
      <c r="AE484" s="43" t="str">
        <f t="shared" si="237"/>
        <v/>
      </c>
      <c r="AF484" s="43" t="str">
        <f t="shared" si="237"/>
        <v/>
      </c>
      <c r="AG484" s="43" t="str">
        <f t="shared" si="237"/>
        <v/>
      </c>
      <c r="AH484" s="43" t="str">
        <f t="shared" si="237"/>
        <v/>
      </c>
      <c r="AI484" s="43" t="str">
        <f t="shared" si="237"/>
        <v/>
      </c>
      <c r="AJ484" s="43" t="str">
        <f t="shared" si="237"/>
        <v/>
      </c>
      <c r="AK484" s="43" t="str">
        <f t="shared" si="237"/>
        <v/>
      </c>
      <c r="AL484" s="43" t="str">
        <f t="shared" si="238"/>
        <v/>
      </c>
      <c r="AM484" s="43" t="str">
        <f t="shared" si="238"/>
        <v/>
      </c>
      <c r="AN484" s="43" t="str">
        <f t="shared" si="238"/>
        <v/>
      </c>
      <c r="AO484" s="43" t="str">
        <f t="shared" si="238"/>
        <v/>
      </c>
      <c r="AP484" s="43" t="str">
        <f t="shared" si="238"/>
        <v/>
      </c>
      <c r="AQ484" s="43" t="str">
        <f t="shared" si="238"/>
        <v/>
      </c>
      <c r="AR484" s="43" t="str">
        <f t="shared" si="238"/>
        <v/>
      </c>
      <c r="AS484" s="43" t="str">
        <f t="shared" si="238"/>
        <v/>
      </c>
      <c r="AT484" s="43" t="str">
        <f t="shared" si="238"/>
        <v/>
      </c>
      <c r="AU484" s="43" t="str">
        <f t="shared" si="238"/>
        <v/>
      </c>
      <c r="AV484" s="43" t="str">
        <f t="shared" si="239"/>
        <v/>
      </c>
      <c r="AW484" s="43" t="str">
        <f t="shared" si="239"/>
        <v/>
      </c>
      <c r="AX484" s="43" t="str">
        <f t="shared" si="239"/>
        <v/>
      </c>
      <c r="AY484" s="43" t="str">
        <f t="shared" si="239"/>
        <v/>
      </c>
      <c r="AZ484" s="43" t="str">
        <f t="shared" si="239"/>
        <v/>
      </c>
      <c r="BA484" s="43" t="str">
        <f t="shared" si="239"/>
        <v/>
      </c>
      <c r="BB484" s="43"/>
      <c r="BC484" s="43"/>
      <c r="BD484" s="43"/>
      <c r="BE484" s="43"/>
      <c r="BF484" s="43"/>
      <c r="BG484" s="43"/>
      <c r="BW484" s="1250"/>
    </row>
    <row r="485" spans="1:75" x14ac:dyDescent="0.25">
      <c r="A485" s="1251"/>
      <c r="B485" s="462">
        <v>479</v>
      </c>
      <c r="C485" s="462"/>
      <c r="D485" s="1244"/>
      <c r="E485" s="1050"/>
      <c r="F485" s="1244"/>
      <c r="H485" s="43" t="str">
        <f t="shared" si="235"/>
        <v/>
      </c>
      <c r="I485" s="43" t="str">
        <f t="shared" si="235"/>
        <v/>
      </c>
      <c r="J485" s="43" t="str">
        <f t="shared" si="235"/>
        <v/>
      </c>
      <c r="K485" s="43" t="str">
        <f t="shared" si="235"/>
        <v/>
      </c>
      <c r="L485" s="43" t="str">
        <f t="shared" si="235"/>
        <v/>
      </c>
      <c r="M485" s="43" t="str">
        <f t="shared" si="235"/>
        <v/>
      </c>
      <c r="N485" s="43" t="str">
        <f t="shared" si="235"/>
        <v/>
      </c>
      <c r="O485" s="43" t="str">
        <f t="shared" si="235"/>
        <v/>
      </c>
      <c r="P485" s="43" t="str">
        <f t="shared" si="235"/>
        <v/>
      </c>
      <c r="Q485" s="43" t="str">
        <f t="shared" si="235"/>
        <v/>
      </c>
      <c r="R485" s="43" t="str">
        <f t="shared" si="236"/>
        <v/>
      </c>
      <c r="S485" s="43" t="str">
        <f t="shared" si="236"/>
        <v/>
      </c>
      <c r="T485" s="43" t="str">
        <f t="shared" si="236"/>
        <v/>
      </c>
      <c r="U485" s="43" t="str">
        <f t="shared" si="236"/>
        <v/>
      </c>
      <c r="V485" s="43" t="str">
        <f t="shared" si="236"/>
        <v/>
      </c>
      <c r="W485" s="43" t="str">
        <f t="shared" si="236"/>
        <v/>
      </c>
      <c r="X485" s="43" t="str">
        <f t="shared" si="236"/>
        <v/>
      </c>
      <c r="Y485" s="43" t="str">
        <f t="shared" si="236"/>
        <v/>
      </c>
      <c r="Z485" s="43" t="str">
        <f t="shared" si="236"/>
        <v/>
      </c>
      <c r="AA485" s="43" t="str">
        <f t="shared" si="236"/>
        <v/>
      </c>
      <c r="AB485" s="43" t="str">
        <f t="shared" si="237"/>
        <v/>
      </c>
      <c r="AC485" s="43" t="str">
        <f t="shared" si="237"/>
        <v/>
      </c>
      <c r="AD485" s="43" t="str">
        <f t="shared" si="237"/>
        <v/>
      </c>
      <c r="AE485" s="43" t="str">
        <f t="shared" si="237"/>
        <v/>
      </c>
      <c r="AF485" s="43" t="str">
        <f t="shared" si="237"/>
        <v/>
      </c>
      <c r="AG485" s="43" t="str">
        <f t="shared" si="237"/>
        <v/>
      </c>
      <c r="AH485" s="43" t="str">
        <f t="shared" si="237"/>
        <v/>
      </c>
      <c r="AI485" s="43" t="str">
        <f t="shared" si="237"/>
        <v/>
      </c>
      <c r="AJ485" s="43" t="str">
        <f t="shared" si="237"/>
        <v/>
      </c>
      <c r="AK485" s="43" t="str">
        <f t="shared" si="237"/>
        <v/>
      </c>
      <c r="AL485" s="43" t="str">
        <f t="shared" si="238"/>
        <v/>
      </c>
      <c r="AM485" s="43" t="str">
        <f t="shared" si="238"/>
        <v/>
      </c>
      <c r="AN485" s="43" t="str">
        <f t="shared" si="238"/>
        <v/>
      </c>
      <c r="AO485" s="43" t="str">
        <f t="shared" si="238"/>
        <v/>
      </c>
      <c r="AP485" s="43" t="str">
        <f t="shared" si="238"/>
        <v/>
      </c>
      <c r="AQ485" s="43" t="str">
        <f t="shared" si="238"/>
        <v/>
      </c>
      <c r="AR485" s="43" t="str">
        <f t="shared" si="238"/>
        <v/>
      </c>
      <c r="AS485" s="43" t="str">
        <f t="shared" si="238"/>
        <v/>
      </c>
      <c r="AT485" s="43" t="str">
        <f t="shared" si="238"/>
        <v/>
      </c>
      <c r="AU485" s="43" t="str">
        <f t="shared" si="238"/>
        <v/>
      </c>
      <c r="AV485" s="43" t="str">
        <f t="shared" si="239"/>
        <v/>
      </c>
      <c r="AW485" s="43" t="str">
        <f t="shared" si="239"/>
        <v/>
      </c>
      <c r="AX485" s="43" t="str">
        <f t="shared" si="239"/>
        <v/>
      </c>
      <c r="AY485" s="43" t="str">
        <f t="shared" si="239"/>
        <v/>
      </c>
      <c r="AZ485" s="43" t="str">
        <f t="shared" si="239"/>
        <v/>
      </c>
      <c r="BA485" s="43" t="str">
        <f t="shared" si="239"/>
        <v/>
      </c>
      <c r="BB485" s="43"/>
      <c r="BC485" s="43"/>
      <c r="BD485" s="43"/>
      <c r="BE485" s="43"/>
      <c r="BF485" s="43"/>
      <c r="BG485" s="43"/>
      <c r="BW485" s="1250"/>
    </row>
    <row r="486" spans="1:75" x14ac:dyDescent="0.25">
      <c r="A486" s="1251"/>
      <c r="B486" s="462">
        <v>480</v>
      </c>
      <c r="C486" s="462"/>
      <c r="D486" s="1244"/>
      <c r="E486" s="1050"/>
      <c r="F486" s="1244"/>
      <c r="H486" s="43" t="str">
        <f t="shared" si="235"/>
        <v/>
      </c>
      <c r="I486" s="43" t="str">
        <f t="shared" si="235"/>
        <v/>
      </c>
      <c r="J486" s="43" t="str">
        <f t="shared" si="235"/>
        <v/>
      </c>
      <c r="K486" s="43" t="str">
        <f t="shared" si="235"/>
        <v/>
      </c>
      <c r="L486" s="43" t="str">
        <f t="shared" si="235"/>
        <v/>
      </c>
      <c r="M486" s="43" t="str">
        <f t="shared" si="235"/>
        <v/>
      </c>
      <c r="N486" s="43" t="str">
        <f t="shared" si="235"/>
        <v/>
      </c>
      <c r="O486" s="43" t="str">
        <f t="shared" si="235"/>
        <v/>
      </c>
      <c r="P486" s="43" t="str">
        <f t="shared" si="235"/>
        <v/>
      </c>
      <c r="Q486" s="43" t="str">
        <f t="shared" si="235"/>
        <v/>
      </c>
      <c r="R486" s="43" t="str">
        <f t="shared" si="236"/>
        <v/>
      </c>
      <c r="S486" s="43" t="str">
        <f t="shared" si="236"/>
        <v/>
      </c>
      <c r="T486" s="43" t="str">
        <f t="shared" si="236"/>
        <v/>
      </c>
      <c r="U486" s="43" t="str">
        <f t="shared" si="236"/>
        <v/>
      </c>
      <c r="V486" s="43" t="str">
        <f t="shared" si="236"/>
        <v/>
      </c>
      <c r="W486" s="43" t="str">
        <f t="shared" si="236"/>
        <v/>
      </c>
      <c r="X486" s="43" t="str">
        <f t="shared" si="236"/>
        <v/>
      </c>
      <c r="Y486" s="43" t="str">
        <f t="shared" si="236"/>
        <v/>
      </c>
      <c r="Z486" s="43" t="str">
        <f t="shared" si="236"/>
        <v/>
      </c>
      <c r="AA486" s="43" t="str">
        <f t="shared" si="236"/>
        <v/>
      </c>
      <c r="AB486" s="43" t="str">
        <f t="shared" si="237"/>
        <v/>
      </c>
      <c r="AC486" s="43" t="str">
        <f t="shared" si="237"/>
        <v/>
      </c>
      <c r="AD486" s="43" t="str">
        <f t="shared" si="237"/>
        <v/>
      </c>
      <c r="AE486" s="43" t="str">
        <f t="shared" si="237"/>
        <v/>
      </c>
      <c r="AF486" s="43" t="str">
        <f t="shared" si="237"/>
        <v/>
      </c>
      <c r="AG486" s="43" t="str">
        <f t="shared" si="237"/>
        <v/>
      </c>
      <c r="AH486" s="43" t="str">
        <f t="shared" si="237"/>
        <v/>
      </c>
      <c r="AI486" s="43" t="str">
        <f t="shared" si="237"/>
        <v/>
      </c>
      <c r="AJ486" s="43" t="str">
        <f t="shared" si="237"/>
        <v/>
      </c>
      <c r="AK486" s="43" t="str">
        <f t="shared" si="237"/>
        <v/>
      </c>
      <c r="AL486" s="43" t="str">
        <f t="shared" si="238"/>
        <v/>
      </c>
      <c r="AM486" s="43" t="str">
        <f t="shared" si="238"/>
        <v/>
      </c>
      <c r="AN486" s="43" t="str">
        <f t="shared" si="238"/>
        <v/>
      </c>
      <c r="AO486" s="43" t="str">
        <f t="shared" si="238"/>
        <v/>
      </c>
      <c r="AP486" s="43" t="str">
        <f t="shared" si="238"/>
        <v/>
      </c>
      <c r="AQ486" s="43" t="str">
        <f t="shared" si="238"/>
        <v/>
      </c>
      <c r="AR486" s="43" t="str">
        <f t="shared" si="238"/>
        <v/>
      </c>
      <c r="AS486" s="43" t="str">
        <f t="shared" si="238"/>
        <v/>
      </c>
      <c r="AT486" s="43" t="str">
        <f t="shared" si="238"/>
        <v/>
      </c>
      <c r="AU486" s="43" t="str">
        <f t="shared" si="238"/>
        <v/>
      </c>
      <c r="AV486" s="43" t="str">
        <f t="shared" si="239"/>
        <v/>
      </c>
      <c r="AW486" s="43" t="str">
        <f t="shared" si="239"/>
        <v/>
      </c>
      <c r="AX486" s="43" t="str">
        <f t="shared" si="239"/>
        <v/>
      </c>
      <c r="AY486" s="43" t="str">
        <f t="shared" si="239"/>
        <v/>
      </c>
      <c r="AZ486" s="43" t="str">
        <f t="shared" si="239"/>
        <v/>
      </c>
      <c r="BA486" s="43" t="str">
        <f t="shared" si="239"/>
        <v/>
      </c>
      <c r="BB486" s="43"/>
      <c r="BC486" s="43"/>
      <c r="BD486" s="43"/>
      <c r="BE486" s="43"/>
      <c r="BF486" s="43"/>
      <c r="BG486" s="43"/>
      <c r="BW486" s="1250"/>
    </row>
    <row r="487" spans="1:75" x14ac:dyDescent="0.25">
      <c r="A487" s="1251"/>
      <c r="B487" s="462">
        <v>481</v>
      </c>
      <c r="C487" s="462"/>
      <c r="D487" s="1244"/>
      <c r="E487" s="1050"/>
      <c r="F487" s="1244"/>
      <c r="H487" s="43" t="str">
        <f t="shared" ref="H487:Q496" si="240">IF($D487=H$6,$B487&amp;", ","")</f>
        <v/>
      </c>
      <c r="I487" s="43" t="str">
        <f t="shared" si="240"/>
        <v/>
      </c>
      <c r="J487" s="43" t="str">
        <f t="shared" si="240"/>
        <v/>
      </c>
      <c r="K487" s="43" t="str">
        <f t="shared" si="240"/>
        <v/>
      </c>
      <c r="L487" s="43" t="str">
        <f t="shared" si="240"/>
        <v/>
      </c>
      <c r="M487" s="43" t="str">
        <f t="shared" si="240"/>
        <v/>
      </c>
      <c r="N487" s="43" t="str">
        <f t="shared" si="240"/>
        <v/>
      </c>
      <c r="O487" s="43" t="str">
        <f t="shared" si="240"/>
        <v/>
      </c>
      <c r="P487" s="43" t="str">
        <f t="shared" si="240"/>
        <v/>
      </c>
      <c r="Q487" s="43" t="str">
        <f t="shared" si="240"/>
        <v/>
      </c>
      <c r="R487" s="43" t="str">
        <f t="shared" ref="R487:AA496" si="241">IF($D487=R$6,$B487&amp;", ","")</f>
        <v/>
      </c>
      <c r="S487" s="43" t="str">
        <f t="shared" si="241"/>
        <v/>
      </c>
      <c r="T487" s="43" t="str">
        <f t="shared" si="241"/>
        <v/>
      </c>
      <c r="U487" s="43" t="str">
        <f t="shared" si="241"/>
        <v/>
      </c>
      <c r="V487" s="43" t="str">
        <f t="shared" si="241"/>
        <v/>
      </c>
      <c r="W487" s="43" t="str">
        <f t="shared" si="241"/>
        <v/>
      </c>
      <c r="X487" s="43" t="str">
        <f t="shared" si="241"/>
        <v/>
      </c>
      <c r="Y487" s="43" t="str">
        <f t="shared" si="241"/>
        <v/>
      </c>
      <c r="Z487" s="43" t="str">
        <f t="shared" si="241"/>
        <v/>
      </c>
      <c r="AA487" s="43" t="str">
        <f t="shared" si="241"/>
        <v/>
      </c>
      <c r="AB487" s="43" t="str">
        <f t="shared" ref="AB487:AK496" si="242">IF($D487=AB$6,$B487&amp;", ","")</f>
        <v/>
      </c>
      <c r="AC487" s="43" t="str">
        <f t="shared" si="242"/>
        <v/>
      </c>
      <c r="AD487" s="43" t="str">
        <f t="shared" si="242"/>
        <v/>
      </c>
      <c r="AE487" s="43" t="str">
        <f t="shared" si="242"/>
        <v/>
      </c>
      <c r="AF487" s="43" t="str">
        <f t="shared" si="242"/>
        <v/>
      </c>
      <c r="AG487" s="43" t="str">
        <f t="shared" si="242"/>
        <v/>
      </c>
      <c r="AH487" s="43" t="str">
        <f t="shared" si="242"/>
        <v/>
      </c>
      <c r="AI487" s="43" t="str">
        <f t="shared" si="242"/>
        <v/>
      </c>
      <c r="AJ487" s="43" t="str">
        <f t="shared" si="242"/>
        <v/>
      </c>
      <c r="AK487" s="43" t="str">
        <f t="shared" si="242"/>
        <v/>
      </c>
      <c r="AL487" s="43" t="str">
        <f t="shared" ref="AL487:AU496" si="243">IF($D487=AL$6,$B487&amp;", ","")</f>
        <v/>
      </c>
      <c r="AM487" s="43" t="str">
        <f t="shared" si="243"/>
        <v/>
      </c>
      <c r="AN487" s="43" t="str">
        <f t="shared" si="243"/>
        <v/>
      </c>
      <c r="AO487" s="43" t="str">
        <f t="shared" si="243"/>
        <v/>
      </c>
      <c r="AP487" s="43" t="str">
        <f t="shared" si="243"/>
        <v/>
      </c>
      <c r="AQ487" s="43" t="str">
        <f t="shared" si="243"/>
        <v/>
      </c>
      <c r="AR487" s="43" t="str">
        <f t="shared" si="243"/>
        <v/>
      </c>
      <c r="AS487" s="43" t="str">
        <f t="shared" si="243"/>
        <v/>
      </c>
      <c r="AT487" s="43" t="str">
        <f t="shared" si="243"/>
        <v/>
      </c>
      <c r="AU487" s="43" t="str">
        <f t="shared" si="243"/>
        <v/>
      </c>
      <c r="AV487" s="43" t="str">
        <f t="shared" ref="AV487:BA496" si="244">IF($D487=AV$6,$B487&amp;", ","")</f>
        <v/>
      </c>
      <c r="AW487" s="43" t="str">
        <f t="shared" si="244"/>
        <v/>
      </c>
      <c r="AX487" s="43" t="str">
        <f t="shared" si="244"/>
        <v/>
      </c>
      <c r="AY487" s="43" t="str">
        <f t="shared" si="244"/>
        <v/>
      </c>
      <c r="AZ487" s="43" t="str">
        <f t="shared" si="244"/>
        <v/>
      </c>
      <c r="BA487" s="43" t="str">
        <f t="shared" si="244"/>
        <v/>
      </c>
      <c r="BB487" s="43"/>
      <c r="BC487" s="43"/>
      <c r="BD487" s="43"/>
      <c r="BE487" s="43"/>
      <c r="BF487" s="43"/>
      <c r="BG487" s="43"/>
      <c r="BW487" s="1250"/>
    </row>
    <row r="488" spans="1:75" x14ac:dyDescent="0.25">
      <c r="A488" s="1251"/>
      <c r="B488" s="462">
        <v>482</v>
      </c>
      <c r="C488" s="462"/>
      <c r="D488" s="1244"/>
      <c r="E488" s="1050"/>
      <c r="F488" s="1244"/>
      <c r="H488" s="43" t="str">
        <f t="shared" si="240"/>
        <v/>
      </c>
      <c r="I488" s="43" t="str">
        <f t="shared" si="240"/>
        <v/>
      </c>
      <c r="J488" s="43" t="str">
        <f t="shared" si="240"/>
        <v/>
      </c>
      <c r="K488" s="43" t="str">
        <f t="shared" si="240"/>
        <v/>
      </c>
      <c r="L488" s="43" t="str">
        <f t="shared" si="240"/>
        <v/>
      </c>
      <c r="M488" s="43" t="str">
        <f t="shared" si="240"/>
        <v/>
      </c>
      <c r="N488" s="43" t="str">
        <f t="shared" si="240"/>
        <v/>
      </c>
      <c r="O488" s="43" t="str">
        <f t="shared" si="240"/>
        <v/>
      </c>
      <c r="P488" s="43" t="str">
        <f t="shared" si="240"/>
        <v/>
      </c>
      <c r="Q488" s="43" t="str">
        <f t="shared" si="240"/>
        <v/>
      </c>
      <c r="R488" s="43" t="str">
        <f t="shared" si="241"/>
        <v/>
      </c>
      <c r="S488" s="43" t="str">
        <f t="shared" si="241"/>
        <v/>
      </c>
      <c r="T488" s="43" t="str">
        <f t="shared" si="241"/>
        <v/>
      </c>
      <c r="U488" s="43" t="str">
        <f t="shared" si="241"/>
        <v/>
      </c>
      <c r="V488" s="43" t="str">
        <f t="shared" si="241"/>
        <v/>
      </c>
      <c r="W488" s="43" t="str">
        <f t="shared" si="241"/>
        <v/>
      </c>
      <c r="X488" s="43" t="str">
        <f t="shared" si="241"/>
        <v/>
      </c>
      <c r="Y488" s="43" t="str">
        <f t="shared" si="241"/>
        <v/>
      </c>
      <c r="Z488" s="43" t="str">
        <f t="shared" si="241"/>
        <v/>
      </c>
      <c r="AA488" s="43" t="str">
        <f t="shared" si="241"/>
        <v/>
      </c>
      <c r="AB488" s="43" t="str">
        <f t="shared" si="242"/>
        <v/>
      </c>
      <c r="AC488" s="43" t="str">
        <f t="shared" si="242"/>
        <v/>
      </c>
      <c r="AD488" s="43" t="str">
        <f t="shared" si="242"/>
        <v/>
      </c>
      <c r="AE488" s="43" t="str">
        <f t="shared" si="242"/>
        <v/>
      </c>
      <c r="AF488" s="43" t="str">
        <f t="shared" si="242"/>
        <v/>
      </c>
      <c r="AG488" s="43" t="str">
        <f t="shared" si="242"/>
        <v/>
      </c>
      <c r="AH488" s="43" t="str">
        <f t="shared" si="242"/>
        <v/>
      </c>
      <c r="AI488" s="43" t="str">
        <f t="shared" si="242"/>
        <v/>
      </c>
      <c r="AJ488" s="43" t="str">
        <f t="shared" si="242"/>
        <v/>
      </c>
      <c r="AK488" s="43" t="str">
        <f t="shared" si="242"/>
        <v/>
      </c>
      <c r="AL488" s="43" t="str">
        <f t="shared" si="243"/>
        <v/>
      </c>
      <c r="AM488" s="43" t="str">
        <f t="shared" si="243"/>
        <v/>
      </c>
      <c r="AN488" s="43" t="str">
        <f t="shared" si="243"/>
        <v/>
      </c>
      <c r="AO488" s="43" t="str">
        <f t="shared" si="243"/>
        <v/>
      </c>
      <c r="AP488" s="43" t="str">
        <f t="shared" si="243"/>
        <v/>
      </c>
      <c r="AQ488" s="43" t="str">
        <f t="shared" si="243"/>
        <v/>
      </c>
      <c r="AR488" s="43" t="str">
        <f t="shared" si="243"/>
        <v/>
      </c>
      <c r="AS488" s="43" t="str">
        <f t="shared" si="243"/>
        <v/>
      </c>
      <c r="AT488" s="43" t="str">
        <f t="shared" si="243"/>
        <v/>
      </c>
      <c r="AU488" s="43" t="str">
        <f t="shared" si="243"/>
        <v/>
      </c>
      <c r="AV488" s="43" t="str">
        <f t="shared" si="244"/>
        <v/>
      </c>
      <c r="AW488" s="43" t="str">
        <f t="shared" si="244"/>
        <v/>
      </c>
      <c r="AX488" s="43" t="str">
        <f t="shared" si="244"/>
        <v/>
      </c>
      <c r="AY488" s="43" t="str">
        <f t="shared" si="244"/>
        <v/>
      </c>
      <c r="AZ488" s="43" t="str">
        <f t="shared" si="244"/>
        <v/>
      </c>
      <c r="BA488" s="43" t="str">
        <f t="shared" si="244"/>
        <v/>
      </c>
      <c r="BB488" s="43"/>
      <c r="BC488" s="43"/>
      <c r="BD488" s="43"/>
      <c r="BE488" s="43"/>
      <c r="BF488" s="43"/>
      <c r="BG488" s="43"/>
      <c r="BW488" s="1250"/>
    </row>
    <row r="489" spans="1:75" x14ac:dyDescent="0.25">
      <c r="A489" s="1251"/>
      <c r="B489" s="462">
        <v>483</v>
      </c>
      <c r="C489" s="462"/>
      <c r="D489" s="1244"/>
      <c r="E489" s="1050"/>
      <c r="F489" s="1244"/>
      <c r="H489" s="43" t="str">
        <f t="shared" si="240"/>
        <v/>
      </c>
      <c r="I489" s="43" t="str">
        <f t="shared" si="240"/>
        <v/>
      </c>
      <c r="J489" s="43" t="str">
        <f t="shared" si="240"/>
        <v/>
      </c>
      <c r="K489" s="43" t="str">
        <f t="shared" si="240"/>
        <v/>
      </c>
      <c r="L489" s="43" t="str">
        <f t="shared" si="240"/>
        <v/>
      </c>
      <c r="M489" s="43" t="str">
        <f t="shared" si="240"/>
        <v/>
      </c>
      <c r="N489" s="43" t="str">
        <f t="shared" si="240"/>
        <v/>
      </c>
      <c r="O489" s="43" t="str">
        <f t="shared" si="240"/>
        <v/>
      </c>
      <c r="P489" s="43" t="str">
        <f t="shared" si="240"/>
        <v/>
      </c>
      <c r="Q489" s="43" t="str">
        <f t="shared" si="240"/>
        <v/>
      </c>
      <c r="R489" s="43" t="str">
        <f t="shared" si="241"/>
        <v/>
      </c>
      <c r="S489" s="43" t="str">
        <f t="shared" si="241"/>
        <v/>
      </c>
      <c r="T489" s="43" t="str">
        <f t="shared" si="241"/>
        <v/>
      </c>
      <c r="U489" s="43" t="str">
        <f t="shared" si="241"/>
        <v/>
      </c>
      <c r="V489" s="43" t="str">
        <f t="shared" si="241"/>
        <v/>
      </c>
      <c r="W489" s="43" t="str">
        <f t="shared" si="241"/>
        <v/>
      </c>
      <c r="X489" s="43" t="str">
        <f t="shared" si="241"/>
        <v/>
      </c>
      <c r="Y489" s="43" t="str">
        <f t="shared" si="241"/>
        <v/>
      </c>
      <c r="Z489" s="43" t="str">
        <f t="shared" si="241"/>
        <v/>
      </c>
      <c r="AA489" s="43" t="str">
        <f t="shared" si="241"/>
        <v/>
      </c>
      <c r="AB489" s="43" t="str">
        <f t="shared" si="242"/>
        <v/>
      </c>
      <c r="AC489" s="43" t="str">
        <f t="shared" si="242"/>
        <v/>
      </c>
      <c r="AD489" s="43" t="str">
        <f t="shared" si="242"/>
        <v/>
      </c>
      <c r="AE489" s="43" t="str">
        <f t="shared" si="242"/>
        <v/>
      </c>
      <c r="AF489" s="43" t="str">
        <f t="shared" si="242"/>
        <v/>
      </c>
      <c r="AG489" s="43" t="str">
        <f t="shared" si="242"/>
        <v/>
      </c>
      <c r="AH489" s="43" t="str">
        <f t="shared" si="242"/>
        <v/>
      </c>
      <c r="AI489" s="43" t="str">
        <f t="shared" si="242"/>
        <v/>
      </c>
      <c r="AJ489" s="43" t="str">
        <f t="shared" si="242"/>
        <v/>
      </c>
      <c r="AK489" s="43" t="str">
        <f t="shared" si="242"/>
        <v/>
      </c>
      <c r="AL489" s="43" t="str">
        <f t="shared" si="243"/>
        <v/>
      </c>
      <c r="AM489" s="43" t="str">
        <f t="shared" si="243"/>
        <v/>
      </c>
      <c r="AN489" s="43" t="str">
        <f t="shared" si="243"/>
        <v/>
      </c>
      <c r="AO489" s="43" t="str">
        <f t="shared" si="243"/>
        <v/>
      </c>
      <c r="AP489" s="43" t="str">
        <f t="shared" si="243"/>
        <v/>
      </c>
      <c r="AQ489" s="43" t="str">
        <f t="shared" si="243"/>
        <v/>
      </c>
      <c r="AR489" s="43" t="str">
        <f t="shared" si="243"/>
        <v/>
      </c>
      <c r="AS489" s="43" t="str">
        <f t="shared" si="243"/>
        <v/>
      </c>
      <c r="AT489" s="43" t="str">
        <f t="shared" si="243"/>
        <v/>
      </c>
      <c r="AU489" s="43" t="str">
        <f t="shared" si="243"/>
        <v/>
      </c>
      <c r="AV489" s="43" t="str">
        <f t="shared" si="244"/>
        <v/>
      </c>
      <c r="AW489" s="43" t="str">
        <f t="shared" si="244"/>
        <v/>
      </c>
      <c r="AX489" s="43" t="str">
        <f t="shared" si="244"/>
        <v/>
      </c>
      <c r="AY489" s="43" t="str">
        <f t="shared" si="244"/>
        <v/>
      </c>
      <c r="AZ489" s="43" t="str">
        <f t="shared" si="244"/>
        <v/>
      </c>
      <c r="BA489" s="43" t="str">
        <f t="shared" si="244"/>
        <v/>
      </c>
      <c r="BB489" s="43"/>
      <c r="BC489" s="43"/>
      <c r="BD489" s="43"/>
      <c r="BE489" s="43"/>
      <c r="BF489" s="43"/>
      <c r="BG489" s="43"/>
      <c r="BW489" s="1250"/>
    </row>
    <row r="490" spans="1:75" x14ac:dyDescent="0.25">
      <c r="A490" s="1251"/>
      <c r="B490" s="462">
        <v>484</v>
      </c>
      <c r="C490" s="462"/>
      <c r="D490" s="1244"/>
      <c r="E490" s="1050"/>
      <c r="F490" s="1244"/>
      <c r="H490" s="43" t="str">
        <f t="shared" si="240"/>
        <v/>
      </c>
      <c r="I490" s="43" t="str">
        <f t="shared" si="240"/>
        <v/>
      </c>
      <c r="J490" s="43" t="str">
        <f t="shared" si="240"/>
        <v/>
      </c>
      <c r="K490" s="43" t="str">
        <f t="shared" si="240"/>
        <v/>
      </c>
      <c r="L490" s="43" t="str">
        <f t="shared" si="240"/>
        <v/>
      </c>
      <c r="M490" s="43" t="str">
        <f t="shared" si="240"/>
        <v/>
      </c>
      <c r="N490" s="43" t="str">
        <f t="shared" si="240"/>
        <v/>
      </c>
      <c r="O490" s="43" t="str">
        <f t="shared" si="240"/>
        <v/>
      </c>
      <c r="P490" s="43" t="str">
        <f t="shared" si="240"/>
        <v/>
      </c>
      <c r="Q490" s="43" t="str">
        <f t="shared" si="240"/>
        <v/>
      </c>
      <c r="R490" s="43" t="str">
        <f t="shared" si="241"/>
        <v/>
      </c>
      <c r="S490" s="43" t="str">
        <f t="shared" si="241"/>
        <v/>
      </c>
      <c r="T490" s="43" t="str">
        <f t="shared" si="241"/>
        <v/>
      </c>
      <c r="U490" s="43" t="str">
        <f t="shared" si="241"/>
        <v/>
      </c>
      <c r="V490" s="43" t="str">
        <f t="shared" si="241"/>
        <v/>
      </c>
      <c r="W490" s="43" t="str">
        <f t="shared" si="241"/>
        <v/>
      </c>
      <c r="X490" s="43" t="str">
        <f t="shared" si="241"/>
        <v/>
      </c>
      <c r="Y490" s="43" t="str">
        <f t="shared" si="241"/>
        <v/>
      </c>
      <c r="Z490" s="43" t="str">
        <f t="shared" si="241"/>
        <v/>
      </c>
      <c r="AA490" s="43" t="str">
        <f t="shared" si="241"/>
        <v/>
      </c>
      <c r="AB490" s="43" t="str">
        <f t="shared" si="242"/>
        <v/>
      </c>
      <c r="AC490" s="43" t="str">
        <f t="shared" si="242"/>
        <v/>
      </c>
      <c r="AD490" s="43" t="str">
        <f t="shared" si="242"/>
        <v/>
      </c>
      <c r="AE490" s="43" t="str">
        <f t="shared" si="242"/>
        <v/>
      </c>
      <c r="AF490" s="43" t="str">
        <f t="shared" si="242"/>
        <v/>
      </c>
      <c r="AG490" s="43" t="str">
        <f t="shared" si="242"/>
        <v/>
      </c>
      <c r="AH490" s="43" t="str">
        <f t="shared" si="242"/>
        <v/>
      </c>
      <c r="AI490" s="43" t="str">
        <f t="shared" si="242"/>
        <v/>
      </c>
      <c r="AJ490" s="43" t="str">
        <f t="shared" si="242"/>
        <v/>
      </c>
      <c r="AK490" s="43" t="str">
        <f t="shared" si="242"/>
        <v/>
      </c>
      <c r="AL490" s="43" t="str">
        <f t="shared" si="243"/>
        <v/>
      </c>
      <c r="AM490" s="43" t="str">
        <f t="shared" si="243"/>
        <v/>
      </c>
      <c r="AN490" s="43" t="str">
        <f t="shared" si="243"/>
        <v/>
      </c>
      <c r="AO490" s="43" t="str">
        <f t="shared" si="243"/>
        <v/>
      </c>
      <c r="AP490" s="43" t="str">
        <f t="shared" si="243"/>
        <v/>
      </c>
      <c r="AQ490" s="43" t="str">
        <f t="shared" si="243"/>
        <v/>
      </c>
      <c r="AR490" s="43" t="str">
        <f t="shared" si="243"/>
        <v/>
      </c>
      <c r="AS490" s="43" t="str">
        <f t="shared" si="243"/>
        <v/>
      </c>
      <c r="AT490" s="43" t="str">
        <f t="shared" si="243"/>
        <v/>
      </c>
      <c r="AU490" s="43" t="str">
        <f t="shared" si="243"/>
        <v/>
      </c>
      <c r="AV490" s="43" t="str">
        <f t="shared" si="244"/>
        <v/>
      </c>
      <c r="AW490" s="43" t="str">
        <f t="shared" si="244"/>
        <v/>
      </c>
      <c r="AX490" s="43" t="str">
        <f t="shared" si="244"/>
        <v/>
      </c>
      <c r="AY490" s="43" t="str">
        <f t="shared" si="244"/>
        <v/>
      </c>
      <c r="AZ490" s="43" t="str">
        <f t="shared" si="244"/>
        <v/>
      </c>
      <c r="BA490" s="43" t="str">
        <f t="shared" si="244"/>
        <v/>
      </c>
      <c r="BB490" s="43"/>
      <c r="BC490" s="43"/>
      <c r="BD490" s="43"/>
      <c r="BE490" s="43"/>
      <c r="BF490" s="43"/>
      <c r="BG490" s="43"/>
      <c r="BW490" s="1250"/>
    </row>
    <row r="491" spans="1:75" x14ac:dyDescent="0.25">
      <c r="A491" s="1251"/>
      <c r="B491" s="462">
        <v>485</v>
      </c>
      <c r="C491" s="462"/>
      <c r="D491" s="1244"/>
      <c r="E491" s="1050"/>
      <c r="F491" s="1244"/>
      <c r="H491" s="43" t="str">
        <f t="shared" si="240"/>
        <v/>
      </c>
      <c r="I491" s="43" t="str">
        <f t="shared" si="240"/>
        <v/>
      </c>
      <c r="J491" s="43" t="str">
        <f t="shared" si="240"/>
        <v/>
      </c>
      <c r="K491" s="43" t="str">
        <f t="shared" si="240"/>
        <v/>
      </c>
      <c r="L491" s="43" t="str">
        <f t="shared" si="240"/>
        <v/>
      </c>
      <c r="M491" s="43" t="str">
        <f t="shared" si="240"/>
        <v/>
      </c>
      <c r="N491" s="43" t="str">
        <f t="shared" si="240"/>
        <v/>
      </c>
      <c r="O491" s="43" t="str">
        <f t="shared" si="240"/>
        <v/>
      </c>
      <c r="P491" s="43" t="str">
        <f t="shared" si="240"/>
        <v/>
      </c>
      <c r="Q491" s="43" t="str">
        <f t="shared" si="240"/>
        <v/>
      </c>
      <c r="R491" s="43" t="str">
        <f t="shared" si="241"/>
        <v/>
      </c>
      <c r="S491" s="43" t="str">
        <f t="shared" si="241"/>
        <v/>
      </c>
      <c r="T491" s="43" t="str">
        <f t="shared" si="241"/>
        <v/>
      </c>
      <c r="U491" s="43" t="str">
        <f t="shared" si="241"/>
        <v/>
      </c>
      <c r="V491" s="43" t="str">
        <f t="shared" si="241"/>
        <v/>
      </c>
      <c r="W491" s="43" t="str">
        <f t="shared" si="241"/>
        <v/>
      </c>
      <c r="X491" s="43" t="str">
        <f t="shared" si="241"/>
        <v/>
      </c>
      <c r="Y491" s="43" t="str">
        <f t="shared" si="241"/>
        <v/>
      </c>
      <c r="Z491" s="43" t="str">
        <f t="shared" si="241"/>
        <v/>
      </c>
      <c r="AA491" s="43" t="str">
        <f t="shared" si="241"/>
        <v/>
      </c>
      <c r="AB491" s="43" t="str">
        <f t="shared" si="242"/>
        <v/>
      </c>
      <c r="AC491" s="43" t="str">
        <f t="shared" si="242"/>
        <v/>
      </c>
      <c r="AD491" s="43" t="str">
        <f t="shared" si="242"/>
        <v/>
      </c>
      <c r="AE491" s="43" t="str">
        <f t="shared" si="242"/>
        <v/>
      </c>
      <c r="AF491" s="43" t="str">
        <f t="shared" si="242"/>
        <v/>
      </c>
      <c r="AG491" s="43" t="str">
        <f t="shared" si="242"/>
        <v/>
      </c>
      <c r="AH491" s="43" t="str">
        <f t="shared" si="242"/>
        <v/>
      </c>
      <c r="AI491" s="43" t="str">
        <f t="shared" si="242"/>
        <v/>
      </c>
      <c r="AJ491" s="43" t="str">
        <f t="shared" si="242"/>
        <v/>
      </c>
      <c r="AK491" s="43" t="str">
        <f t="shared" si="242"/>
        <v/>
      </c>
      <c r="AL491" s="43" t="str">
        <f t="shared" si="243"/>
        <v/>
      </c>
      <c r="AM491" s="43" t="str">
        <f t="shared" si="243"/>
        <v/>
      </c>
      <c r="AN491" s="43" t="str">
        <f t="shared" si="243"/>
        <v/>
      </c>
      <c r="AO491" s="43" t="str">
        <f t="shared" si="243"/>
        <v/>
      </c>
      <c r="AP491" s="43" t="str">
        <f t="shared" si="243"/>
        <v/>
      </c>
      <c r="AQ491" s="43" t="str">
        <f t="shared" si="243"/>
        <v/>
      </c>
      <c r="AR491" s="43" t="str">
        <f t="shared" si="243"/>
        <v/>
      </c>
      <c r="AS491" s="43" t="str">
        <f t="shared" si="243"/>
        <v/>
      </c>
      <c r="AT491" s="43" t="str">
        <f t="shared" si="243"/>
        <v/>
      </c>
      <c r="AU491" s="43" t="str">
        <f t="shared" si="243"/>
        <v/>
      </c>
      <c r="AV491" s="43" t="str">
        <f t="shared" si="244"/>
        <v/>
      </c>
      <c r="AW491" s="43" t="str">
        <f t="shared" si="244"/>
        <v/>
      </c>
      <c r="AX491" s="43" t="str">
        <f t="shared" si="244"/>
        <v/>
      </c>
      <c r="AY491" s="43" t="str">
        <f t="shared" si="244"/>
        <v/>
      </c>
      <c r="AZ491" s="43" t="str">
        <f t="shared" si="244"/>
        <v/>
      </c>
      <c r="BA491" s="43" t="str">
        <f t="shared" si="244"/>
        <v/>
      </c>
      <c r="BB491" s="43"/>
      <c r="BC491" s="43"/>
      <c r="BD491" s="43"/>
      <c r="BE491" s="43"/>
      <c r="BF491" s="43"/>
      <c r="BG491" s="43"/>
      <c r="BW491" s="1250"/>
    </row>
    <row r="492" spans="1:75" x14ac:dyDescent="0.25">
      <c r="A492" s="1251"/>
      <c r="B492" s="462">
        <v>486</v>
      </c>
      <c r="C492" s="462"/>
      <c r="D492" s="1244"/>
      <c r="E492" s="1050"/>
      <c r="F492" s="1244"/>
      <c r="H492" s="43" t="str">
        <f t="shared" si="240"/>
        <v/>
      </c>
      <c r="I492" s="43" t="str">
        <f t="shared" si="240"/>
        <v/>
      </c>
      <c r="J492" s="43" t="str">
        <f t="shared" si="240"/>
        <v/>
      </c>
      <c r="K492" s="43" t="str">
        <f t="shared" si="240"/>
        <v/>
      </c>
      <c r="L492" s="43" t="str">
        <f t="shared" si="240"/>
        <v/>
      </c>
      <c r="M492" s="43" t="str">
        <f t="shared" si="240"/>
        <v/>
      </c>
      <c r="N492" s="43" t="str">
        <f t="shared" si="240"/>
        <v/>
      </c>
      <c r="O492" s="43" t="str">
        <f t="shared" si="240"/>
        <v/>
      </c>
      <c r="P492" s="43" t="str">
        <f t="shared" si="240"/>
        <v/>
      </c>
      <c r="Q492" s="43" t="str">
        <f t="shared" si="240"/>
        <v/>
      </c>
      <c r="R492" s="43" t="str">
        <f t="shared" si="241"/>
        <v/>
      </c>
      <c r="S492" s="43" t="str">
        <f t="shared" si="241"/>
        <v/>
      </c>
      <c r="T492" s="43" t="str">
        <f t="shared" si="241"/>
        <v/>
      </c>
      <c r="U492" s="43" t="str">
        <f t="shared" si="241"/>
        <v/>
      </c>
      <c r="V492" s="43" t="str">
        <f t="shared" si="241"/>
        <v/>
      </c>
      <c r="W492" s="43" t="str">
        <f t="shared" si="241"/>
        <v/>
      </c>
      <c r="X492" s="43" t="str">
        <f t="shared" si="241"/>
        <v/>
      </c>
      <c r="Y492" s="43" t="str">
        <f t="shared" si="241"/>
        <v/>
      </c>
      <c r="Z492" s="43" t="str">
        <f t="shared" si="241"/>
        <v/>
      </c>
      <c r="AA492" s="43" t="str">
        <f t="shared" si="241"/>
        <v/>
      </c>
      <c r="AB492" s="43" t="str">
        <f t="shared" si="242"/>
        <v/>
      </c>
      <c r="AC492" s="43" t="str">
        <f t="shared" si="242"/>
        <v/>
      </c>
      <c r="AD492" s="43" t="str">
        <f t="shared" si="242"/>
        <v/>
      </c>
      <c r="AE492" s="43" t="str">
        <f t="shared" si="242"/>
        <v/>
      </c>
      <c r="AF492" s="43" t="str">
        <f t="shared" si="242"/>
        <v/>
      </c>
      <c r="AG492" s="43" t="str">
        <f t="shared" si="242"/>
        <v/>
      </c>
      <c r="AH492" s="43" t="str">
        <f t="shared" si="242"/>
        <v/>
      </c>
      <c r="AI492" s="43" t="str">
        <f t="shared" si="242"/>
        <v/>
      </c>
      <c r="AJ492" s="43" t="str">
        <f t="shared" si="242"/>
        <v/>
      </c>
      <c r="AK492" s="43" t="str">
        <f t="shared" si="242"/>
        <v/>
      </c>
      <c r="AL492" s="43" t="str">
        <f t="shared" si="243"/>
        <v/>
      </c>
      <c r="AM492" s="43" t="str">
        <f t="shared" si="243"/>
        <v/>
      </c>
      <c r="AN492" s="43" t="str">
        <f t="shared" si="243"/>
        <v/>
      </c>
      <c r="AO492" s="43" t="str">
        <f t="shared" si="243"/>
        <v/>
      </c>
      <c r="AP492" s="43" t="str">
        <f t="shared" si="243"/>
        <v/>
      </c>
      <c r="AQ492" s="43" t="str">
        <f t="shared" si="243"/>
        <v/>
      </c>
      <c r="AR492" s="43" t="str">
        <f t="shared" si="243"/>
        <v/>
      </c>
      <c r="AS492" s="43" t="str">
        <f t="shared" si="243"/>
        <v/>
      </c>
      <c r="AT492" s="43" t="str">
        <f t="shared" si="243"/>
        <v/>
      </c>
      <c r="AU492" s="43" t="str">
        <f t="shared" si="243"/>
        <v/>
      </c>
      <c r="AV492" s="43" t="str">
        <f t="shared" si="244"/>
        <v/>
      </c>
      <c r="AW492" s="43" t="str">
        <f t="shared" si="244"/>
        <v/>
      </c>
      <c r="AX492" s="43" t="str">
        <f t="shared" si="244"/>
        <v/>
      </c>
      <c r="AY492" s="43" t="str">
        <f t="shared" si="244"/>
        <v/>
      </c>
      <c r="AZ492" s="43" t="str">
        <f t="shared" si="244"/>
        <v/>
      </c>
      <c r="BA492" s="43" t="str">
        <f t="shared" si="244"/>
        <v/>
      </c>
      <c r="BB492" s="43"/>
      <c r="BC492" s="43"/>
      <c r="BD492" s="43"/>
      <c r="BE492" s="43"/>
      <c r="BF492" s="43"/>
      <c r="BG492" s="43"/>
      <c r="BW492" s="1250"/>
    </row>
    <row r="493" spans="1:75" x14ac:dyDescent="0.25">
      <c r="A493" s="1251"/>
      <c r="B493" s="462">
        <v>487</v>
      </c>
      <c r="C493" s="462"/>
      <c r="D493" s="1244"/>
      <c r="E493" s="1050"/>
      <c r="F493" s="1244"/>
      <c r="H493" s="43" t="str">
        <f t="shared" si="240"/>
        <v/>
      </c>
      <c r="I493" s="43" t="str">
        <f t="shared" si="240"/>
        <v/>
      </c>
      <c r="J493" s="43" t="str">
        <f t="shared" si="240"/>
        <v/>
      </c>
      <c r="K493" s="43" t="str">
        <f t="shared" si="240"/>
        <v/>
      </c>
      <c r="L493" s="43" t="str">
        <f t="shared" si="240"/>
        <v/>
      </c>
      <c r="M493" s="43" t="str">
        <f t="shared" si="240"/>
        <v/>
      </c>
      <c r="N493" s="43" t="str">
        <f t="shared" si="240"/>
        <v/>
      </c>
      <c r="O493" s="43" t="str">
        <f t="shared" si="240"/>
        <v/>
      </c>
      <c r="P493" s="43" t="str">
        <f t="shared" si="240"/>
        <v/>
      </c>
      <c r="Q493" s="43" t="str">
        <f t="shared" si="240"/>
        <v/>
      </c>
      <c r="R493" s="43" t="str">
        <f t="shared" si="241"/>
        <v/>
      </c>
      <c r="S493" s="43" t="str">
        <f t="shared" si="241"/>
        <v/>
      </c>
      <c r="T493" s="43" t="str">
        <f t="shared" si="241"/>
        <v/>
      </c>
      <c r="U493" s="43" t="str">
        <f t="shared" si="241"/>
        <v/>
      </c>
      <c r="V493" s="43" t="str">
        <f t="shared" si="241"/>
        <v/>
      </c>
      <c r="W493" s="43" t="str">
        <f t="shared" si="241"/>
        <v/>
      </c>
      <c r="X493" s="43" t="str">
        <f t="shared" si="241"/>
        <v/>
      </c>
      <c r="Y493" s="43" t="str">
        <f t="shared" si="241"/>
        <v/>
      </c>
      <c r="Z493" s="43" t="str">
        <f t="shared" si="241"/>
        <v/>
      </c>
      <c r="AA493" s="43" t="str">
        <f t="shared" si="241"/>
        <v/>
      </c>
      <c r="AB493" s="43" t="str">
        <f t="shared" si="242"/>
        <v/>
      </c>
      <c r="AC493" s="43" t="str">
        <f t="shared" si="242"/>
        <v/>
      </c>
      <c r="AD493" s="43" t="str">
        <f t="shared" si="242"/>
        <v/>
      </c>
      <c r="AE493" s="43" t="str">
        <f t="shared" si="242"/>
        <v/>
      </c>
      <c r="AF493" s="43" t="str">
        <f t="shared" si="242"/>
        <v/>
      </c>
      <c r="AG493" s="43" t="str">
        <f t="shared" si="242"/>
        <v/>
      </c>
      <c r="AH493" s="43" t="str">
        <f t="shared" si="242"/>
        <v/>
      </c>
      <c r="AI493" s="43" t="str">
        <f t="shared" si="242"/>
        <v/>
      </c>
      <c r="AJ493" s="43" t="str">
        <f t="shared" si="242"/>
        <v/>
      </c>
      <c r="AK493" s="43" t="str">
        <f t="shared" si="242"/>
        <v/>
      </c>
      <c r="AL493" s="43" t="str">
        <f t="shared" si="243"/>
        <v/>
      </c>
      <c r="AM493" s="43" t="str">
        <f t="shared" si="243"/>
        <v/>
      </c>
      <c r="AN493" s="43" t="str">
        <f t="shared" si="243"/>
        <v/>
      </c>
      <c r="AO493" s="43" t="str">
        <f t="shared" si="243"/>
        <v/>
      </c>
      <c r="AP493" s="43" t="str">
        <f t="shared" si="243"/>
        <v/>
      </c>
      <c r="AQ493" s="43" t="str">
        <f t="shared" si="243"/>
        <v/>
      </c>
      <c r="AR493" s="43" t="str">
        <f t="shared" si="243"/>
        <v/>
      </c>
      <c r="AS493" s="43" t="str">
        <f t="shared" si="243"/>
        <v/>
      </c>
      <c r="AT493" s="43" t="str">
        <f t="shared" si="243"/>
        <v/>
      </c>
      <c r="AU493" s="43" t="str">
        <f t="shared" si="243"/>
        <v/>
      </c>
      <c r="AV493" s="43" t="str">
        <f t="shared" si="244"/>
        <v/>
      </c>
      <c r="AW493" s="43" t="str">
        <f t="shared" si="244"/>
        <v/>
      </c>
      <c r="AX493" s="43" t="str">
        <f t="shared" si="244"/>
        <v/>
      </c>
      <c r="AY493" s="43" t="str">
        <f t="shared" si="244"/>
        <v/>
      </c>
      <c r="AZ493" s="43" t="str">
        <f t="shared" si="244"/>
        <v/>
      </c>
      <c r="BA493" s="43" t="str">
        <f t="shared" si="244"/>
        <v/>
      </c>
      <c r="BB493" s="43"/>
      <c r="BC493" s="43"/>
      <c r="BD493" s="43"/>
      <c r="BE493" s="43"/>
      <c r="BF493" s="43"/>
      <c r="BG493" s="43"/>
      <c r="BW493" s="1250"/>
    </row>
    <row r="494" spans="1:75" x14ac:dyDescent="0.25">
      <c r="A494" s="1251"/>
      <c r="B494" s="462">
        <v>488</v>
      </c>
      <c r="C494" s="462"/>
      <c r="D494" s="1244"/>
      <c r="E494" s="1050"/>
      <c r="F494" s="1244"/>
      <c r="H494" s="43" t="str">
        <f t="shared" si="240"/>
        <v/>
      </c>
      <c r="I494" s="43" t="str">
        <f t="shared" si="240"/>
        <v/>
      </c>
      <c r="J494" s="43" t="str">
        <f t="shared" si="240"/>
        <v/>
      </c>
      <c r="K494" s="43" t="str">
        <f t="shared" si="240"/>
        <v/>
      </c>
      <c r="L494" s="43" t="str">
        <f t="shared" si="240"/>
        <v/>
      </c>
      <c r="M494" s="43" t="str">
        <f t="shared" si="240"/>
        <v/>
      </c>
      <c r="N494" s="43" t="str">
        <f t="shared" si="240"/>
        <v/>
      </c>
      <c r="O494" s="43" t="str">
        <f t="shared" si="240"/>
        <v/>
      </c>
      <c r="P494" s="43" t="str">
        <f t="shared" si="240"/>
        <v/>
      </c>
      <c r="Q494" s="43" t="str">
        <f t="shared" si="240"/>
        <v/>
      </c>
      <c r="R494" s="43" t="str">
        <f t="shared" si="241"/>
        <v/>
      </c>
      <c r="S494" s="43" t="str">
        <f t="shared" si="241"/>
        <v/>
      </c>
      <c r="T494" s="43" t="str">
        <f t="shared" si="241"/>
        <v/>
      </c>
      <c r="U494" s="43" t="str">
        <f t="shared" si="241"/>
        <v/>
      </c>
      <c r="V494" s="43" t="str">
        <f t="shared" si="241"/>
        <v/>
      </c>
      <c r="W494" s="43" t="str">
        <f t="shared" si="241"/>
        <v/>
      </c>
      <c r="X494" s="43" t="str">
        <f t="shared" si="241"/>
        <v/>
      </c>
      <c r="Y494" s="43" t="str">
        <f t="shared" si="241"/>
        <v/>
      </c>
      <c r="Z494" s="43" t="str">
        <f t="shared" si="241"/>
        <v/>
      </c>
      <c r="AA494" s="43" t="str">
        <f t="shared" si="241"/>
        <v/>
      </c>
      <c r="AB494" s="43" t="str">
        <f t="shared" si="242"/>
        <v/>
      </c>
      <c r="AC494" s="43" t="str">
        <f t="shared" si="242"/>
        <v/>
      </c>
      <c r="AD494" s="43" t="str">
        <f t="shared" si="242"/>
        <v/>
      </c>
      <c r="AE494" s="43" t="str">
        <f t="shared" si="242"/>
        <v/>
      </c>
      <c r="AF494" s="43" t="str">
        <f t="shared" si="242"/>
        <v/>
      </c>
      <c r="AG494" s="43" t="str">
        <f t="shared" si="242"/>
        <v/>
      </c>
      <c r="AH494" s="43" t="str">
        <f t="shared" si="242"/>
        <v/>
      </c>
      <c r="AI494" s="43" t="str">
        <f t="shared" si="242"/>
        <v/>
      </c>
      <c r="AJ494" s="43" t="str">
        <f t="shared" si="242"/>
        <v/>
      </c>
      <c r="AK494" s="43" t="str">
        <f t="shared" si="242"/>
        <v/>
      </c>
      <c r="AL494" s="43" t="str">
        <f t="shared" si="243"/>
        <v/>
      </c>
      <c r="AM494" s="43" t="str">
        <f t="shared" si="243"/>
        <v/>
      </c>
      <c r="AN494" s="43" t="str">
        <f t="shared" si="243"/>
        <v/>
      </c>
      <c r="AO494" s="43" t="str">
        <f t="shared" si="243"/>
        <v/>
      </c>
      <c r="AP494" s="43" t="str">
        <f t="shared" si="243"/>
        <v/>
      </c>
      <c r="AQ494" s="43" t="str">
        <f t="shared" si="243"/>
        <v/>
      </c>
      <c r="AR494" s="43" t="str">
        <f t="shared" si="243"/>
        <v/>
      </c>
      <c r="AS494" s="43" t="str">
        <f t="shared" si="243"/>
        <v/>
      </c>
      <c r="AT494" s="43" t="str">
        <f t="shared" si="243"/>
        <v/>
      </c>
      <c r="AU494" s="43" t="str">
        <f t="shared" si="243"/>
        <v/>
      </c>
      <c r="AV494" s="43" t="str">
        <f t="shared" si="244"/>
        <v/>
      </c>
      <c r="AW494" s="43" t="str">
        <f t="shared" si="244"/>
        <v/>
      </c>
      <c r="AX494" s="43" t="str">
        <f t="shared" si="244"/>
        <v/>
      </c>
      <c r="AY494" s="43" t="str">
        <f t="shared" si="244"/>
        <v/>
      </c>
      <c r="AZ494" s="43" t="str">
        <f t="shared" si="244"/>
        <v/>
      </c>
      <c r="BA494" s="43" t="str">
        <f t="shared" si="244"/>
        <v/>
      </c>
      <c r="BB494" s="43"/>
      <c r="BC494" s="43"/>
      <c r="BD494" s="43"/>
      <c r="BE494" s="43"/>
      <c r="BF494" s="43"/>
      <c r="BG494" s="43"/>
      <c r="BW494" s="1250"/>
    </row>
    <row r="495" spans="1:75" x14ac:dyDescent="0.25">
      <c r="A495" s="1251"/>
      <c r="B495" s="462">
        <v>489</v>
      </c>
      <c r="C495" s="462"/>
      <c r="D495" s="1244"/>
      <c r="E495" s="1050"/>
      <c r="F495" s="1244"/>
      <c r="H495" s="43" t="str">
        <f t="shared" si="240"/>
        <v/>
      </c>
      <c r="I495" s="43" t="str">
        <f t="shared" si="240"/>
        <v/>
      </c>
      <c r="J495" s="43" t="str">
        <f t="shared" si="240"/>
        <v/>
      </c>
      <c r="K495" s="43" t="str">
        <f t="shared" si="240"/>
        <v/>
      </c>
      <c r="L495" s="43" t="str">
        <f t="shared" si="240"/>
        <v/>
      </c>
      <c r="M495" s="43" t="str">
        <f t="shared" si="240"/>
        <v/>
      </c>
      <c r="N495" s="43" t="str">
        <f t="shared" si="240"/>
        <v/>
      </c>
      <c r="O495" s="43" t="str">
        <f t="shared" si="240"/>
        <v/>
      </c>
      <c r="P495" s="43" t="str">
        <f t="shared" si="240"/>
        <v/>
      </c>
      <c r="Q495" s="43" t="str">
        <f t="shared" si="240"/>
        <v/>
      </c>
      <c r="R495" s="43" t="str">
        <f t="shared" si="241"/>
        <v/>
      </c>
      <c r="S495" s="43" t="str">
        <f t="shared" si="241"/>
        <v/>
      </c>
      <c r="T495" s="43" t="str">
        <f t="shared" si="241"/>
        <v/>
      </c>
      <c r="U495" s="43" t="str">
        <f t="shared" si="241"/>
        <v/>
      </c>
      <c r="V495" s="43" t="str">
        <f t="shared" si="241"/>
        <v/>
      </c>
      <c r="W495" s="43" t="str">
        <f t="shared" si="241"/>
        <v/>
      </c>
      <c r="X495" s="43" t="str">
        <f t="shared" si="241"/>
        <v/>
      </c>
      <c r="Y495" s="43" t="str">
        <f t="shared" si="241"/>
        <v/>
      </c>
      <c r="Z495" s="43" t="str">
        <f t="shared" si="241"/>
        <v/>
      </c>
      <c r="AA495" s="43" t="str">
        <f t="shared" si="241"/>
        <v/>
      </c>
      <c r="AB495" s="43" t="str">
        <f t="shared" si="242"/>
        <v/>
      </c>
      <c r="AC495" s="43" t="str">
        <f t="shared" si="242"/>
        <v/>
      </c>
      <c r="AD495" s="43" t="str">
        <f t="shared" si="242"/>
        <v/>
      </c>
      <c r="AE495" s="43" t="str">
        <f t="shared" si="242"/>
        <v/>
      </c>
      <c r="AF495" s="43" t="str">
        <f t="shared" si="242"/>
        <v/>
      </c>
      <c r="AG495" s="43" t="str">
        <f t="shared" si="242"/>
        <v/>
      </c>
      <c r="AH495" s="43" t="str">
        <f t="shared" si="242"/>
        <v/>
      </c>
      <c r="AI495" s="43" t="str">
        <f t="shared" si="242"/>
        <v/>
      </c>
      <c r="AJ495" s="43" t="str">
        <f t="shared" si="242"/>
        <v/>
      </c>
      <c r="AK495" s="43" t="str">
        <f t="shared" si="242"/>
        <v/>
      </c>
      <c r="AL495" s="43" t="str">
        <f t="shared" si="243"/>
        <v/>
      </c>
      <c r="AM495" s="43" t="str">
        <f t="shared" si="243"/>
        <v/>
      </c>
      <c r="AN495" s="43" t="str">
        <f t="shared" si="243"/>
        <v/>
      </c>
      <c r="AO495" s="43" t="str">
        <f t="shared" si="243"/>
        <v/>
      </c>
      <c r="AP495" s="43" t="str">
        <f t="shared" si="243"/>
        <v/>
      </c>
      <c r="AQ495" s="43" t="str">
        <f t="shared" si="243"/>
        <v/>
      </c>
      <c r="AR495" s="43" t="str">
        <f t="shared" si="243"/>
        <v/>
      </c>
      <c r="AS495" s="43" t="str">
        <f t="shared" si="243"/>
        <v/>
      </c>
      <c r="AT495" s="43" t="str">
        <f t="shared" si="243"/>
        <v/>
      </c>
      <c r="AU495" s="43" t="str">
        <f t="shared" si="243"/>
        <v/>
      </c>
      <c r="AV495" s="43" t="str">
        <f t="shared" si="244"/>
        <v/>
      </c>
      <c r="AW495" s="43" t="str">
        <f t="shared" si="244"/>
        <v/>
      </c>
      <c r="AX495" s="43" t="str">
        <f t="shared" si="244"/>
        <v/>
      </c>
      <c r="AY495" s="43" t="str">
        <f t="shared" si="244"/>
        <v/>
      </c>
      <c r="AZ495" s="43" t="str">
        <f t="shared" si="244"/>
        <v/>
      </c>
      <c r="BA495" s="43" t="str">
        <f t="shared" si="244"/>
        <v/>
      </c>
      <c r="BB495" s="43"/>
      <c r="BC495" s="43"/>
      <c r="BD495" s="43"/>
      <c r="BE495" s="43"/>
      <c r="BF495" s="43"/>
      <c r="BG495" s="43"/>
      <c r="BW495" s="1250"/>
    </row>
    <row r="496" spans="1:75" x14ac:dyDescent="0.25">
      <c r="A496" s="1251"/>
      <c r="B496" s="462">
        <v>490</v>
      </c>
      <c r="C496" s="462"/>
      <c r="D496" s="1244"/>
      <c r="E496" s="1050"/>
      <c r="F496" s="1244"/>
      <c r="H496" s="43" t="str">
        <f t="shared" si="240"/>
        <v/>
      </c>
      <c r="I496" s="43" t="str">
        <f t="shared" si="240"/>
        <v/>
      </c>
      <c r="J496" s="43" t="str">
        <f t="shared" si="240"/>
        <v/>
      </c>
      <c r="K496" s="43" t="str">
        <f t="shared" si="240"/>
        <v/>
      </c>
      <c r="L496" s="43" t="str">
        <f t="shared" si="240"/>
        <v/>
      </c>
      <c r="M496" s="43" t="str">
        <f t="shared" si="240"/>
        <v/>
      </c>
      <c r="N496" s="43" t="str">
        <f t="shared" si="240"/>
        <v/>
      </c>
      <c r="O496" s="43" t="str">
        <f t="shared" si="240"/>
        <v/>
      </c>
      <c r="P496" s="43" t="str">
        <f t="shared" si="240"/>
        <v/>
      </c>
      <c r="Q496" s="43" t="str">
        <f t="shared" si="240"/>
        <v/>
      </c>
      <c r="R496" s="43" t="str">
        <f t="shared" si="241"/>
        <v/>
      </c>
      <c r="S496" s="43" t="str">
        <f t="shared" si="241"/>
        <v/>
      </c>
      <c r="T496" s="43" t="str">
        <f t="shared" si="241"/>
        <v/>
      </c>
      <c r="U496" s="43" t="str">
        <f t="shared" si="241"/>
        <v/>
      </c>
      <c r="V496" s="43" t="str">
        <f t="shared" si="241"/>
        <v/>
      </c>
      <c r="W496" s="43" t="str">
        <f t="shared" si="241"/>
        <v/>
      </c>
      <c r="X496" s="43" t="str">
        <f t="shared" si="241"/>
        <v/>
      </c>
      <c r="Y496" s="43" t="str">
        <f t="shared" si="241"/>
        <v/>
      </c>
      <c r="Z496" s="43" t="str">
        <f t="shared" si="241"/>
        <v/>
      </c>
      <c r="AA496" s="43" t="str">
        <f t="shared" si="241"/>
        <v/>
      </c>
      <c r="AB496" s="43" t="str">
        <f t="shared" si="242"/>
        <v/>
      </c>
      <c r="AC496" s="43" t="str">
        <f t="shared" si="242"/>
        <v/>
      </c>
      <c r="AD496" s="43" t="str">
        <f t="shared" si="242"/>
        <v/>
      </c>
      <c r="AE496" s="43" t="str">
        <f t="shared" si="242"/>
        <v/>
      </c>
      <c r="AF496" s="43" t="str">
        <f t="shared" si="242"/>
        <v/>
      </c>
      <c r="AG496" s="43" t="str">
        <f t="shared" si="242"/>
        <v/>
      </c>
      <c r="AH496" s="43" t="str">
        <f t="shared" si="242"/>
        <v/>
      </c>
      <c r="AI496" s="43" t="str">
        <f t="shared" si="242"/>
        <v/>
      </c>
      <c r="AJ496" s="43" t="str">
        <f t="shared" si="242"/>
        <v/>
      </c>
      <c r="AK496" s="43" t="str">
        <f t="shared" si="242"/>
        <v/>
      </c>
      <c r="AL496" s="43" t="str">
        <f t="shared" si="243"/>
        <v/>
      </c>
      <c r="AM496" s="43" t="str">
        <f t="shared" si="243"/>
        <v/>
      </c>
      <c r="AN496" s="43" t="str">
        <f t="shared" si="243"/>
        <v/>
      </c>
      <c r="AO496" s="43" t="str">
        <f t="shared" si="243"/>
        <v/>
      </c>
      <c r="AP496" s="43" t="str">
        <f t="shared" si="243"/>
        <v/>
      </c>
      <c r="AQ496" s="43" t="str">
        <f t="shared" si="243"/>
        <v/>
      </c>
      <c r="AR496" s="43" t="str">
        <f t="shared" si="243"/>
        <v/>
      </c>
      <c r="AS496" s="43" t="str">
        <f t="shared" si="243"/>
        <v/>
      </c>
      <c r="AT496" s="43" t="str">
        <f t="shared" si="243"/>
        <v/>
      </c>
      <c r="AU496" s="43" t="str">
        <f t="shared" si="243"/>
        <v/>
      </c>
      <c r="AV496" s="43" t="str">
        <f t="shared" si="244"/>
        <v/>
      </c>
      <c r="AW496" s="43" t="str">
        <f t="shared" si="244"/>
        <v/>
      </c>
      <c r="AX496" s="43" t="str">
        <f t="shared" si="244"/>
        <v/>
      </c>
      <c r="AY496" s="43" t="str">
        <f t="shared" si="244"/>
        <v/>
      </c>
      <c r="AZ496" s="43" t="str">
        <f t="shared" si="244"/>
        <v/>
      </c>
      <c r="BA496" s="43" t="str">
        <f t="shared" si="244"/>
        <v/>
      </c>
      <c r="BB496" s="43"/>
      <c r="BC496" s="43"/>
      <c r="BD496" s="43"/>
      <c r="BE496" s="43"/>
      <c r="BF496" s="43"/>
      <c r="BG496" s="43"/>
      <c r="BW496" s="1250"/>
    </row>
    <row r="497" spans="1:75" x14ac:dyDescent="0.25">
      <c r="A497" s="1251"/>
      <c r="B497" s="462">
        <v>491</v>
      </c>
      <c r="C497" s="462"/>
      <c r="D497" s="1244"/>
      <c r="E497" s="1050"/>
      <c r="F497" s="1244"/>
      <c r="H497" s="43" t="str">
        <f t="shared" ref="H497:Q506" si="245">IF($D497=H$6,$B497&amp;", ","")</f>
        <v/>
      </c>
      <c r="I497" s="43" t="str">
        <f t="shared" si="245"/>
        <v/>
      </c>
      <c r="J497" s="43" t="str">
        <f t="shared" si="245"/>
        <v/>
      </c>
      <c r="K497" s="43" t="str">
        <f t="shared" si="245"/>
        <v/>
      </c>
      <c r="L497" s="43" t="str">
        <f t="shared" si="245"/>
        <v/>
      </c>
      <c r="M497" s="43" t="str">
        <f t="shared" si="245"/>
        <v/>
      </c>
      <c r="N497" s="43" t="str">
        <f t="shared" si="245"/>
        <v/>
      </c>
      <c r="O497" s="43" t="str">
        <f t="shared" si="245"/>
        <v/>
      </c>
      <c r="P497" s="43" t="str">
        <f t="shared" si="245"/>
        <v/>
      </c>
      <c r="Q497" s="43" t="str">
        <f t="shared" si="245"/>
        <v/>
      </c>
      <c r="R497" s="43" t="str">
        <f t="shared" ref="R497:AA506" si="246">IF($D497=R$6,$B497&amp;", ","")</f>
        <v/>
      </c>
      <c r="S497" s="43" t="str">
        <f t="shared" si="246"/>
        <v/>
      </c>
      <c r="T497" s="43" t="str">
        <f t="shared" si="246"/>
        <v/>
      </c>
      <c r="U497" s="43" t="str">
        <f t="shared" si="246"/>
        <v/>
      </c>
      <c r="V497" s="43" t="str">
        <f t="shared" si="246"/>
        <v/>
      </c>
      <c r="W497" s="43" t="str">
        <f t="shared" si="246"/>
        <v/>
      </c>
      <c r="X497" s="43" t="str">
        <f t="shared" si="246"/>
        <v/>
      </c>
      <c r="Y497" s="43" t="str">
        <f t="shared" si="246"/>
        <v/>
      </c>
      <c r="Z497" s="43" t="str">
        <f t="shared" si="246"/>
        <v/>
      </c>
      <c r="AA497" s="43" t="str">
        <f t="shared" si="246"/>
        <v/>
      </c>
      <c r="AB497" s="43" t="str">
        <f t="shared" ref="AB497:AK506" si="247">IF($D497=AB$6,$B497&amp;", ","")</f>
        <v/>
      </c>
      <c r="AC497" s="43" t="str">
        <f t="shared" si="247"/>
        <v/>
      </c>
      <c r="AD497" s="43" t="str">
        <f t="shared" si="247"/>
        <v/>
      </c>
      <c r="AE497" s="43" t="str">
        <f t="shared" si="247"/>
        <v/>
      </c>
      <c r="AF497" s="43" t="str">
        <f t="shared" si="247"/>
        <v/>
      </c>
      <c r="AG497" s="43" t="str">
        <f t="shared" si="247"/>
        <v/>
      </c>
      <c r="AH497" s="43" t="str">
        <f t="shared" si="247"/>
        <v/>
      </c>
      <c r="AI497" s="43" t="str">
        <f t="shared" si="247"/>
        <v/>
      </c>
      <c r="AJ497" s="43" t="str">
        <f t="shared" si="247"/>
        <v/>
      </c>
      <c r="AK497" s="43" t="str">
        <f t="shared" si="247"/>
        <v/>
      </c>
      <c r="AL497" s="43" t="str">
        <f t="shared" ref="AL497:AU506" si="248">IF($D497=AL$6,$B497&amp;", ","")</f>
        <v/>
      </c>
      <c r="AM497" s="43" t="str">
        <f t="shared" si="248"/>
        <v/>
      </c>
      <c r="AN497" s="43" t="str">
        <f t="shared" si="248"/>
        <v/>
      </c>
      <c r="AO497" s="43" t="str">
        <f t="shared" si="248"/>
        <v/>
      </c>
      <c r="AP497" s="43" t="str">
        <f t="shared" si="248"/>
        <v/>
      </c>
      <c r="AQ497" s="43" t="str">
        <f t="shared" si="248"/>
        <v/>
      </c>
      <c r="AR497" s="43" t="str">
        <f t="shared" si="248"/>
        <v/>
      </c>
      <c r="AS497" s="43" t="str">
        <f t="shared" si="248"/>
        <v/>
      </c>
      <c r="AT497" s="43" t="str">
        <f t="shared" si="248"/>
        <v/>
      </c>
      <c r="AU497" s="43" t="str">
        <f t="shared" si="248"/>
        <v/>
      </c>
      <c r="AV497" s="43" t="str">
        <f t="shared" ref="AV497:BA506" si="249">IF($D497=AV$6,$B497&amp;", ","")</f>
        <v/>
      </c>
      <c r="AW497" s="43" t="str">
        <f t="shared" si="249"/>
        <v/>
      </c>
      <c r="AX497" s="43" t="str">
        <f t="shared" si="249"/>
        <v/>
      </c>
      <c r="AY497" s="43" t="str">
        <f t="shared" si="249"/>
        <v/>
      </c>
      <c r="AZ497" s="43" t="str">
        <f t="shared" si="249"/>
        <v/>
      </c>
      <c r="BA497" s="43" t="str">
        <f t="shared" si="249"/>
        <v/>
      </c>
      <c r="BB497" s="43"/>
      <c r="BC497" s="43"/>
      <c r="BD497" s="43"/>
      <c r="BE497" s="43"/>
      <c r="BF497" s="43"/>
      <c r="BG497" s="43"/>
      <c r="BW497" s="1250"/>
    </row>
    <row r="498" spans="1:75" x14ac:dyDescent="0.25">
      <c r="A498" s="1251"/>
      <c r="B498" s="462">
        <v>492</v>
      </c>
      <c r="C498" s="462"/>
      <c r="D498" s="1244"/>
      <c r="E498" s="1050"/>
      <c r="F498" s="1244"/>
      <c r="H498" s="43" t="str">
        <f t="shared" si="245"/>
        <v/>
      </c>
      <c r="I498" s="43" t="str">
        <f t="shared" si="245"/>
        <v/>
      </c>
      <c r="J498" s="43" t="str">
        <f t="shared" si="245"/>
        <v/>
      </c>
      <c r="K498" s="43" t="str">
        <f t="shared" si="245"/>
        <v/>
      </c>
      <c r="L498" s="43" t="str">
        <f t="shared" si="245"/>
        <v/>
      </c>
      <c r="M498" s="43" t="str">
        <f t="shared" si="245"/>
        <v/>
      </c>
      <c r="N498" s="43" t="str">
        <f t="shared" si="245"/>
        <v/>
      </c>
      <c r="O498" s="43" t="str">
        <f t="shared" si="245"/>
        <v/>
      </c>
      <c r="P498" s="43" t="str">
        <f t="shared" si="245"/>
        <v/>
      </c>
      <c r="Q498" s="43" t="str">
        <f t="shared" si="245"/>
        <v/>
      </c>
      <c r="R498" s="43" t="str">
        <f t="shared" si="246"/>
        <v/>
      </c>
      <c r="S498" s="43" t="str">
        <f t="shared" si="246"/>
        <v/>
      </c>
      <c r="T498" s="43" t="str">
        <f t="shared" si="246"/>
        <v/>
      </c>
      <c r="U498" s="43" t="str">
        <f t="shared" si="246"/>
        <v/>
      </c>
      <c r="V498" s="43" t="str">
        <f t="shared" si="246"/>
        <v/>
      </c>
      <c r="W498" s="43" t="str">
        <f t="shared" si="246"/>
        <v/>
      </c>
      <c r="X498" s="43" t="str">
        <f t="shared" si="246"/>
        <v/>
      </c>
      <c r="Y498" s="43" t="str">
        <f t="shared" si="246"/>
        <v/>
      </c>
      <c r="Z498" s="43" t="str">
        <f t="shared" si="246"/>
        <v/>
      </c>
      <c r="AA498" s="43" t="str">
        <f t="shared" si="246"/>
        <v/>
      </c>
      <c r="AB498" s="43" t="str">
        <f t="shared" si="247"/>
        <v/>
      </c>
      <c r="AC498" s="43" t="str">
        <f t="shared" si="247"/>
        <v/>
      </c>
      <c r="AD498" s="43" t="str">
        <f t="shared" si="247"/>
        <v/>
      </c>
      <c r="AE498" s="43" t="str">
        <f t="shared" si="247"/>
        <v/>
      </c>
      <c r="AF498" s="43" t="str">
        <f t="shared" si="247"/>
        <v/>
      </c>
      <c r="AG498" s="43" t="str">
        <f t="shared" si="247"/>
        <v/>
      </c>
      <c r="AH498" s="43" t="str">
        <f t="shared" si="247"/>
        <v/>
      </c>
      <c r="AI498" s="43" t="str">
        <f t="shared" si="247"/>
        <v/>
      </c>
      <c r="AJ498" s="43" t="str">
        <f t="shared" si="247"/>
        <v/>
      </c>
      <c r="AK498" s="43" t="str">
        <f t="shared" si="247"/>
        <v/>
      </c>
      <c r="AL498" s="43" t="str">
        <f t="shared" si="248"/>
        <v/>
      </c>
      <c r="AM498" s="43" t="str">
        <f t="shared" si="248"/>
        <v/>
      </c>
      <c r="AN498" s="43" t="str">
        <f t="shared" si="248"/>
        <v/>
      </c>
      <c r="AO498" s="43" t="str">
        <f t="shared" si="248"/>
        <v/>
      </c>
      <c r="AP498" s="43" t="str">
        <f t="shared" si="248"/>
        <v/>
      </c>
      <c r="AQ498" s="43" t="str">
        <f t="shared" si="248"/>
        <v/>
      </c>
      <c r="AR498" s="43" t="str">
        <f t="shared" si="248"/>
        <v/>
      </c>
      <c r="AS498" s="43" t="str">
        <f t="shared" si="248"/>
        <v/>
      </c>
      <c r="AT498" s="43" t="str">
        <f t="shared" si="248"/>
        <v/>
      </c>
      <c r="AU498" s="43" t="str">
        <f t="shared" si="248"/>
        <v/>
      </c>
      <c r="AV498" s="43" t="str">
        <f t="shared" si="249"/>
        <v/>
      </c>
      <c r="AW498" s="43" t="str">
        <f t="shared" si="249"/>
        <v/>
      </c>
      <c r="AX498" s="43" t="str">
        <f t="shared" si="249"/>
        <v/>
      </c>
      <c r="AY498" s="43" t="str">
        <f t="shared" si="249"/>
        <v/>
      </c>
      <c r="AZ498" s="43" t="str">
        <f t="shared" si="249"/>
        <v/>
      </c>
      <c r="BA498" s="43" t="str">
        <f t="shared" si="249"/>
        <v/>
      </c>
      <c r="BB498" s="43"/>
      <c r="BC498" s="43"/>
      <c r="BD498" s="43"/>
      <c r="BE498" s="43"/>
      <c r="BF498" s="43"/>
      <c r="BG498" s="43"/>
      <c r="BW498" s="1250"/>
    </row>
    <row r="499" spans="1:75" x14ac:dyDescent="0.25">
      <c r="A499" s="1251"/>
      <c r="B499" s="462">
        <v>493</v>
      </c>
      <c r="C499" s="462"/>
      <c r="D499" s="1244"/>
      <c r="E499" s="1050"/>
      <c r="F499" s="1244"/>
      <c r="H499" s="43" t="str">
        <f t="shared" si="245"/>
        <v/>
      </c>
      <c r="I499" s="43" t="str">
        <f t="shared" si="245"/>
        <v/>
      </c>
      <c r="J499" s="43" t="str">
        <f t="shared" si="245"/>
        <v/>
      </c>
      <c r="K499" s="43" t="str">
        <f t="shared" si="245"/>
        <v/>
      </c>
      <c r="L499" s="43" t="str">
        <f t="shared" si="245"/>
        <v/>
      </c>
      <c r="M499" s="43" t="str">
        <f t="shared" si="245"/>
        <v/>
      </c>
      <c r="N499" s="43" t="str">
        <f t="shared" si="245"/>
        <v/>
      </c>
      <c r="O499" s="43" t="str">
        <f t="shared" si="245"/>
        <v/>
      </c>
      <c r="P499" s="43" t="str">
        <f t="shared" si="245"/>
        <v/>
      </c>
      <c r="Q499" s="43" t="str">
        <f t="shared" si="245"/>
        <v/>
      </c>
      <c r="R499" s="43" t="str">
        <f t="shared" si="246"/>
        <v/>
      </c>
      <c r="S499" s="43" t="str">
        <f t="shared" si="246"/>
        <v/>
      </c>
      <c r="T499" s="43" t="str">
        <f t="shared" si="246"/>
        <v/>
      </c>
      <c r="U499" s="43" t="str">
        <f t="shared" si="246"/>
        <v/>
      </c>
      <c r="V499" s="43" t="str">
        <f t="shared" si="246"/>
        <v/>
      </c>
      <c r="W499" s="43" t="str">
        <f t="shared" si="246"/>
        <v/>
      </c>
      <c r="X499" s="43" t="str">
        <f t="shared" si="246"/>
        <v/>
      </c>
      <c r="Y499" s="43" t="str">
        <f t="shared" si="246"/>
        <v/>
      </c>
      <c r="Z499" s="43" t="str">
        <f t="shared" si="246"/>
        <v/>
      </c>
      <c r="AA499" s="43" t="str">
        <f t="shared" si="246"/>
        <v/>
      </c>
      <c r="AB499" s="43" t="str">
        <f t="shared" si="247"/>
        <v/>
      </c>
      <c r="AC499" s="43" t="str">
        <f t="shared" si="247"/>
        <v/>
      </c>
      <c r="AD499" s="43" t="str">
        <f t="shared" si="247"/>
        <v/>
      </c>
      <c r="AE499" s="43" t="str">
        <f t="shared" si="247"/>
        <v/>
      </c>
      <c r="AF499" s="43" t="str">
        <f t="shared" si="247"/>
        <v/>
      </c>
      <c r="AG499" s="43" t="str">
        <f t="shared" si="247"/>
        <v/>
      </c>
      <c r="AH499" s="43" t="str">
        <f t="shared" si="247"/>
        <v/>
      </c>
      <c r="AI499" s="43" t="str">
        <f t="shared" si="247"/>
        <v/>
      </c>
      <c r="AJ499" s="43" t="str">
        <f t="shared" si="247"/>
        <v/>
      </c>
      <c r="AK499" s="43" t="str">
        <f t="shared" si="247"/>
        <v/>
      </c>
      <c r="AL499" s="43" t="str">
        <f t="shared" si="248"/>
        <v/>
      </c>
      <c r="AM499" s="43" t="str">
        <f t="shared" si="248"/>
        <v/>
      </c>
      <c r="AN499" s="43" t="str">
        <f t="shared" si="248"/>
        <v/>
      </c>
      <c r="AO499" s="43" t="str">
        <f t="shared" si="248"/>
        <v/>
      </c>
      <c r="AP499" s="43" t="str">
        <f t="shared" si="248"/>
        <v/>
      </c>
      <c r="AQ499" s="43" t="str">
        <f t="shared" si="248"/>
        <v/>
      </c>
      <c r="AR499" s="43" t="str">
        <f t="shared" si="248"/>
        <v/>
      </c>
      <c r="AS499" s="43" t="str">
        <f t="shared" si="248"/>
        <v/>
      </c>
      <c r="AT499" s="43" t="str">
        <f t="shared" si="248"/>
        <v/>
      </c>
      <c r="AU499" s="43" t="str">
        <f t="shared" si="248"/>
        <v/>
      </c>
      <c r="AV499" s="43" t="str">
        <f t="shared" si="249"/>
        <v/>
      </c>
      <c r="AW499" s="43" t="str">
        <f t="shared" si="249"/>
        <v/>
      </c>
      <c r="AX499" s="43" t="str">
        <f t="shared" si="249"/>
        <v/>
      </c>
      <c r="AY499" s="43" t="str">
        <f t="shared" si="249"/>
        <v/>
      </c>
      <c r="AZ499" s="43" t="str">
        <f t="shared" si="249"/>
        <v/>
      </c>
      <c r="BA499" s="43" t="str">
        <f t="shared" si="249"/>
        <v/>
      </c>
      <c r="BB499" s="43"/>
      <c r="BC499" s="43"/>
      <c r="BD499" s="43"/>
      <c r="BE499" s="43"/>
      <c r="BF499" s="43"/>
      <c r="BG499" s="43"/>
      <c r="BW499" s="1250"/>
    </row>
    <row r="500" spans="1:75" x14ac:dyDescent="0.25">
      <c r="A500" s="1251"/>
      <c r="B500" s="462">
        <v>494</v>
      </c>
      <c r="C500" s="462"/>
      <c r="D500" s="1244"/>
      <c r="E500" s="1050"/>
      <c r="F500" s="1244"/>
      <c r="H500" s="43" t="str">
        <f t="shared" si="245"/>
        <v/>
      </c>
      <c r="I500" s="43" t="str">
        <f t="shared" si="245"/>
        <v/>
      </c>
      <c r="J500" s="43" t="str">
        <f t="shared" si="245"/>
        <v/>
      </c>
      <c r="K500" s="43" t="str">
        <f t="shared" si="245"/>
        <v/>
      </c>
      <c r="L500" s="43" t="str">
        <f t="shared" si="245"/>
        <v/>
      </c>
      <c r="M500" s="43" t="str">
        <f t="shared" si="245"/>
        <v/>
      </c>
      <c r="N500" s="43" t="str">
        <f t="shared" si="245"/>
        <v/>
      </c>
      <c r="O500" s="43" t="str">
        <f t="shared" si="245"/>
        <v/>
      </c>
      <c r="P500" s="43" t="str">
        <f t="shared" si="245"/>
        <v/>
      </c>
      <c r="Q500" s="43" t="str">
        <f t="shared" si="245"/>
        <v/>
      </c>
      <c r="R500" s="43" t="str">
        <f t="shared" si="246"/>
        <v/>
      </c>
      <c r="S500" s="43" t="str">
        <f t="shared" si="246"/>
        <v/>
      </c>
      <c r="T500" s="43" t="str">
        <f t="shared" si="246"/>
        <v/>
      </c>
      <c r="U500" s="43" t="str">
        <f t="shared" si="246"/>
        <v/>
      </c>
      <c r="V500" s="43" t="str">
        <f t="shared" si="246"/>
        <v/>
      </c>
      <c r="W500" s="43" t="str">
        <f t="shared" si="246"/>
        <v/>
      </c>
      <c r="X500" s="43" t="str">
        <f t="shared" si="246"/>
        <v/>
      </c>
      <c r="Y500" s="43" t="str">
        <f t="shared" si="246"/>
        <v/>
      </c>
      <c r="Z500" s="43" t="str">
        <f t="shared" si="246"/>
        <v/>
      </c>
      <c r="AA500" s="43" t="str">
        <f t="shared" si="246"/>
        <v/>
      </c>
      <c r="AB500" s="43" t="str">
        <f t="shared" si="247"/>
        <v/>
      </c>
      <c r="AC500" s="43" t="str">
        <f t="shared" si="247"/>
        <v/>
      </c>
      <c r="AD500" s="43" t="str">
        <f t="shared" si="247"/>
        <v/>
      </c>
      <c r="AE500" s="43" t="str">
        <f t="shared" si="247"/>
        <v/>
      </c>
      <c r="AF500" s="43" t="str">
        <f t="shared" si="247"/>
        <v/>
      </c>
      <c r="AG500" s="43" t="str">
        <f t="shared" si="247"/>
        <v/>
      </c>
      <c r="AH500" s="43" t="str">
        <f t="shared" si="247"/>
        <v/>
      </c>
      <c r="AI500" s="43" t="str">
        <f t="shared" si="247"/>
        <v/>
      </c>
      <c r="AJ500" s="43" t="str">
        <f t="shared" si="247"/>
        <v/>
      </c>
      <c r="AK500" s="43" t="str">
        <f t="shared" si="247"/>
        <v/>
      </c>
      <c r="AL500" s="43" t="str">
        <f t="shared" si="248"/>
        <v/>
      </c>
      <c r="AM500" s="43" t="str">
        <f t="shared" si="248"/>
        <v/>
      </c>
      <c r="AN500" s="43" t="str">
        <f t="shared" si="248"/>
        <v/>
      </c>
      <c r="AO500" s="43" t="str">
        <f t="shared" si="248"/>
        <v/>
      </c>
      <c r="AP500" s="43" t="str">
        <f t="shared" si="248"/>
        <v/>
      </c>
      <c r="AQ500" s="43" t="str">
        <f t="shared" si="248"/>
        <v/>
      </c>
      <c r="AR500" s="43" t="str">
        <f t="shared" si="248"/>
        <v/>
      </c>
      <c r="AS500" s="43" t="str">
        <f t="shared" si="248"/>
        <v/>
      </c>
      <c r="AT500" s="43" t="str">
        <f t="shared" si="248"/>
        <v/>
      </c>
      <c r="AU500" s="43" t="str">
        <f t="shared" si="248"/>
        <v/>
      </c>
      <c r="AV500" s="43" t="str">
        <f t="shared" si="249"/>
        <v/>
      </c>
      <c r="AW500" s="43" t="str">
        <f t="shared" si="249"/>
        <v/>
      </c>
      <c r="AX500" s="43" t="str">
        <f t="shared" si="249"/>
        <v/>
      </c>
      <c r="AY500" s="43" t="str">
        <f t="shared" si="249"/>
        <v/>
      </c>
      <c r="AZ500" s="43" t="str">
        <f t="shared" si="249"/>
        <v/>
      </c>
      <c r="BA500" s="43" t="str">
        <f t="shared" si="249"/>
        <v/>
      </c>
      <c r="BB500" s="43"/>
      <c r="BC500" s="43"/>
      <c r="BD500" s="43"/>
      <c r="BE500" s="43"/>
      <c r="BF500" s="43"/>
      <c r="BG500" s="43"/>
      <c r="BW500" s="1250"/>
    </row>
    <row r="501" spans="1:75" x14ac:dyDescent="0.25">
      <c r="A501" s="1251"/>
      <c r="B501" s="462">
        <v>495</v>
      </c>
      <c r="C501" s="462"/>
      <c r="D501" s="1244"/>
      <c r="E501" s="1050"/>
      <c r="F501" s="1244"/>
      <c r="H501" s="43" t="str">
        <f t="shared" si="245"/>
        <v/>
      </c>
      <c r="I501" s="43" t="str">
        <f t="shared" si="245"/>
        <v/>
      </c>
      <c r="J501" s="43" t="str">
        <f t="shared" si="245"/>
        <v/>
      </c>
      <c r="K501" s="43" t="str">
        <f t="shared" si="245"/>
        <v/>
      </c>
      <c r="L501" s="43" t="str">
        <f t="shared" si="245"/>
        <v/>
      </c>
      <c r="M501" s="43" t="str">
        <f t="shared" si="245"/>
        <v/>
      </c>
      <c r="N501" s="43" t="str">
        <f t="shared" si="245"/>
        <v/>
      </c>
      <c r="O501" s="43" t="str">
        <f t="shared" si="245"/>
        <v/>
      </c>
      <c r="P501" s="43" t="str">
        <f t="shared" si="245"/>
        <v/>
      </c>
      <c r="Q501" s="43" t="str">
        <f t="shared" si="245"/>
        <v/>
      </c>
      <c r="R501" s="43" t="str">
        <f t="shared" si="246"/>
        <v/>
      </c>
      <c r="S501" s="43" t="str">
        <f t="shared" si="246"/>
        <v/>
      </c>
      <c r="T501" s="43" t="str">
        <f t="shared" si="246"/>
        <v/>
      </c>
      <c r="U501" s="43" t="str">
        <f t="shared" si="246"/>
        <v/>
      </c>
      <c r="V501" s="43" t="str">
        <f t="shared" si="246"/>
        <v/>
      </c>
      <c r="W501" s="43" t="str">
        <f t="shared" si="246"/>
        <v/>
      </c>
      <c r="X501" s="43" t="str">
        <f t="shared" si="246"/>
        <v/>
      </c>
      <c r="Y501" s="43" t="str">
        <f t="shared" si="246"/>
        <v/>
      </c>
      <c r="Z501" s="43" t="str">
        <f t="shared" si="246"/>
        <v/>
      </c>
      <c r="AA501" s="43" t="str">
        <f t="shared" si="246"/>
        <v/>
      </c>
      <c r="AB501" s="43" t="str">
        <f t="shared" si="247"/>
        <v/>
      </c>
      <c r="AC501" s="43" t="str">
        <f t="shared" si="247"/>
        <v/>
      </c>
      <c r="AD501" s="43" t="str">
        <f t="shared" si="247"/>
        <v/>
      </c>
      <c r="AE501" s="43" t="str">
        <f t="shared" si="247"/>
        <v/>
      </c>
      <c r="AF501" s="43" t="str">
        <f t="shared" si="247"/>
        <v/>
      </c>
      <c r="AG501" s="43" t="str">
        <f t="shared" si="247"/>
        <v/>
      </c>
      <c r="AH501" s="43" t="str">
        <f t="shared" si="247"/>
        <v/>
      </c>
      <c r="AI501" s="43" t="str">
        <f t="shared" si="247"/>
        <v/>
      </c>
      <c r="AJ501" s="43" t="str">
        <f t="shared" si="247"/>
        <v/>
      </c>
      <c r="AK501" s="43" t="str">
        <f t="shared" si="247"/>
        <v/>
      </c>
      <c r="AL501" s="43" t="str">
        <f t="shared" si="248"/>
        <v/>
      </c>
      <c r="AM501" s="43" t="str">
        <f t="shared" si="248"/>
        <v/>
      </c>
      <c r="AN501" s="43" t="str">
        <f t="shared" si="248"/>
        <v/>
      </c>
      <c r="AO501" s="43" t="str">
        <f t="shared" si="248"/>
        <v/>
      </c>
      <c r="AP501" s="43" t="str">
        <f t="shared" si="248"/>
        <v/>
      </c>
      <c r="AQ501" s="43" t="str">
        <f t="shared" si="248"/>
        <v/>
      </c>
      <c r="AR501" s="43" t="str">
        <f t="shared" si="248"/>
        <v/>
      </c>
      <c r="AS501" s="43" t="str">
        <f t="shared" si="248"/>
        <v/>
      </c>
      <c r="AT501" s="43" t="str">
        <f t="shared" si="248"/>
        <v/>
      </c>
      <c r="AU501" s="43" t="str">
        <f t="shared" si="248"/>
        <v/>
      </c>
      <c r="AV501" s="43" t="str">
        <f t="shared" si="249"/>
        <v/>
      </c>
      <c r="AW501" s="43" t="str">
        <f t="shared" si="249"/>
        <v/>
      </c>
      <c r="AX501" s="43" t="str">
        <f t="shared" si="249"/>
        <v/>
      </c>
      <c r="AY501" s="43" t="str">
        <f t="shared" si="249"/>
        <v/>
      </c>
      <c r="AZ501" s="43" t="str">
        <f t="shared" si="249"/>
        <v/>
      </c>
      <c r="BA501" s="43" t="str">
        <f t="shared" si="249"/>
        <v/>
      </c>
      <c r="BB501" s="43"/>
      <c r="BC501" s="43"/>
      <c r="BD501" s="43"/>
      <c r="BE501" s="43"/>
      <c r="BF501" s="43"/>
      <c r="BG501" s="43"/>
      <c r="BW501" s="1250"/>
    </row>
    <row r="502" spans="1:75" x14ac:dyDescent="0.25">
      <c r="A502" s="1251"/>
      <c r="B502" s="462">
        <v>496</v>
      </c>
      <c r="C502" s="462"/>
      <c r="D502" s="1244"/>
      <c r="E502" s="1050"/>
      <c r="F502" s="1244"/>
      <c r="H502" s="43" t="str">
        <f t="shared" si="245"/>
        <v/>
      </c>
      <c r="I502" s="43" t="str">
        <f t="shared" si="245"/>
        <v/>
      </c>
      <c r="J502" s="43" t="str">
        <f t="shared" si="245"/>
        <v/>
      </c>
      <c r="K502" s="43" t="str">
        <f t="shared" si="245"/>
        <v/>
      </c>
      <c r="L502" s="43" t="str">
        <f t="shared" si="245"/>
        <v/>
      </c>
      <c r="M502" s="43" t="str">
        <f t="shared" si="245"/>
        <v/>
      </c>
      <c r="N502" s="43" t="str">
        <f t="shared" si="245"/>
        <v/>
      </c>
      <c r="O502" s="43" t="str">
        <f t="shared" si="245"/>
        <v/>
      </c>
      <c r="P502" s="43" t="str">
        <f t="shared" si="245"/>
        <v/>
      </c>
      <c r="Q502" s="43" t="str">
        <f t="shared" si="245"/>
        <v/>
      </c>
      <c r="R502" s="43" t="str">
        <f t="shared" si="246"/>
        <v/>
      </c>
      <c r="S502" s="43" t="str">
        <f t="shared" si="246"/>
        <v/>
      </c>
      <c r="T502" s="43" t="str">
        <f t="shared" si="246"/>
        <v/>
      </c>
      <c r="U502" s="43" t="str">
        <f t="shared" si="246"/>
        <v/>
      </c>
      <c r="V502" s="43" t="str">
        <f t="shared" si="246"/>
        <v/>
      </c>
      <c r="W502" s="43" t="str">
        <f t="shared" si="246"/>
        <v/>
      </c>
      <c r="X502" s="43" t="str">
        <f t="shared" si="246"/>
        <v/>
      </c>
      <c r="Y502" s="43" t="str">
        <f t="shared" si="246"/>
        <v/>
      </c>
      <c r="Z502" s="43" t="str">
        <f t="shared" si="246"/>
        <v/>
      </c>
      <c r="AA502" s="43" t="str">
        <f t="shared" si="246"/>
        <v/>
      </c>
      <c r="AB502" s="43" t="str">
        <f t="shared" si="247"/>
        <v/>
      </c>
      <c r="AC502" s="43" t="str">
        <f t="shared" si="247"/>
        <v/>
      </c>
      <c r="AD502" s="43" t="str">
        <f t="shared" si="247"/>
        <v/>
      </c>
      <c r="AE502" s="43" t="str">
        <f t="shared" si="247"/>
        <v/>
      </c>
      <c r="AF502" s="43" t="str">
        <f t="shared" si="247"/>
        <v/>
      </c>
      <c r="AG502" s="43" t="str">
        <f t="shared" si="247"/>
        <v/>
      </c>
      <c r="AH502" s="43" t="str">
        <f t="shared" si="247"/>
        <v/>
      </c>
      <c r="AI502" s="43" t="str">
        <f t="shared" si="247"/>
        <v/>
      </c>
      <c r="AJ502" s="43" t="str">
        <f t="shared" si="247"/>
        <v/>
      </c>
      <c r="AK502" s="43" t="str">
        <f t="shared" si="247"/>
        <v/>
      </c>
      <c r="AL502" s="43" t="str">
        <f t="shared" si="248"/>
        <v/>
      </c>
      <c r="AM502" s="43" t="str">
        <f t="shared" si="248"/>
        <v/>
      </c>
      <c r="AN502" s="43" t="str">
        <f t="shared" si="248"/>
        <v/>
      </c>
      <c r="AO502" s="43" t="str">
        <f t="shared" si="248"/>
        <v/>
      </c>
      <c r="AP502" s="43" t="str">
        <f t="shared" si="248"/>
        <v/>
      </c>
      <c r="AQ502" s="43" t="str">
        <f t="shared" si="248"/>
        <v/>
      </c>
      <c r="AR502" s="43" t="str">
        <f t="shared" si="248"/>
        <v/>
      </c>
      <c r="AS502" s="43" t="str">
        <f t="shared" si="248"/>
        <v/>
      </c>
      <c r="AT502" s="43" t="str">
        <f t="shared" si="248"/>
        <v/>
      </c>
      <c r="AU502" s="43" t="str">
        <f t="shared" si="248"/>
        <v/>
      </c>
      <c r="AV502" s="43" t="str">
        <f t="shared" si="249"/>
        <v/>
      </c>
      <c r="AW502" s="43" t="str">
        <f t="shared" si="249"/>
        <v/>
      </c>
      <c r="AX502" s="43" t="str">
        <f t="shared" si="249"/>
        <v/>
      </c>
      <c r="AY502" s="43" t="str">
        <f t="shared" si="249"/>
        <v/>
      </c>
      <c r="AZ502" s="43" t="str">
        <f t="shared" si="249"/>
        <v/>
      </c>
      <c r="BA502" s="43" t="str">
        <f t="shared" si="249"/>
        <v/>
      </c>
      <c r="BB502" s="43"/>
      <c r="BC502" s="43"/>
      <c r="BD502" s="43"/>
      <c r="BE502" s="43"/>
      <c r="BF502" s="43"/>
      <c r="BG502" s="43"/>
      <c r="BW502" s="1250"/>
    </row>
    <row r="503" spans="1:75" x14ac:dyDescent="0.25">
      <c r="A503" s="1251"/>
      <c r="B503" s="462">
        <v>497</v>
      </c>
      <c r="C503" s="462"/>
      <c r="D503" s="1244"/>
      <c r="E503" s="1050"/>
      <c r="F503" s="1244"/>
      <c r="H503" s="43" t="str">
        <f t="shared" si="245"/>
        <v/>
      </c>
      <c r="I503" s="43" t="str">
        <f t="shared" si="245"/>
        <v/>
      </c>
      <c r="J503" s="43" t="str">
        <f t="shared" si="245"/>
        <v/>
      </c>
      <c r="K503" s="43" t="str">
        <f t="shared" si="245"/>
        <v/>
      </c>
      <c r="L503" s="43" t="str">
        <f t="shared" si="245"/>
        <v/>
      </c>
      <c r="M503" s="43" t="str">
        <f t="shared" si="245"/>
        <v/>
      </c>
      <c r="N503" s="43" t="str">
        <f t="shared" si="245"/>
        <v/>
      </c>
      <c r="O503" s="43" t="str">
        <f t="shared" si="245"/>
        <v/>
      </c>
      <c r="P503" s="43" t="str">
        <f t="shared" si="245"/>
        <v/>
      </c>
      <c r="Q503" s="43" t="str">
        <f t="shared" si="245"/>
        <v/>
      </c>
      <c r="R503" s="43" t="str">
        <f t="shared" si="246"/>
        <v/>
      </c>
      <c r="S503" s="43" t="str">
        <f t="shared" si="246"/>
        <v/>
      </c>
      <c r="T503" s="43" t="str">
        <f t="shared" si="246"/>
        <v/>
      </c>
      <c r="U503" s="43" t="str">
        <f t="shared" si="246"/>
        <v/>
      </c>
      <c r="V503" s="43" t="str">
        <f t="shared" si="246"/>
        <v/>
      </c>
      <c r="W503" s="43" t="str">
        <f t="shared" si="246"/>
        <v/>
      </c>
      <c r="X503" s="43" t="str">
        <f t="shared" si="246"/>
        <v/>
      </c>
      <c r="Y503" s="43" t="str">
        <f t="shared" si="246"/>
        <v/>
      </c>
      <c r="Z503" s="43" t="str">
        <f t="shared" si="246"/>
        <v/>
      </c>
      <c r="AA503" s="43" t="str">
        <f t="shared" si="246"/>
        <v/>
      </c>
      <c r="AB503" s="43" t="str">
        <f t="shared" si="247"/>
        <v/>
      </c>
      <c r="AC503" s="43" t="str">
        <f t="shared" si="247"/>
        <v/>
      </c>
      <c r="AD503" s="43" t="str">
        <f t="shared" si="247"/>
        <v/>
      </c>
      <c r="AE503" s="43" t="str">
        <f t="shared" si="247"/>
        <v/>
      </c>
      <c r="AF503" s="43" t="str">
        <f t="shared" si="247"/>
        <v/>
      </c>
      <c r="AG503" s="43" t="str">
        <f t="shared" si="247"/>
        <v/>
      </c>
      <c r="AH503" s="43" t="str">
        <f t="shared" si="247"/>
        <v/>
      </c>
      <c r="AI503" s="43" t="str">
        <f t="shared" si="247"/>
        <v/>
      </c>
      <c r="AJ503" s="43" t="str">
        <f t="shared" si="247"/>
        <v/>
      </c>
      <c r="AK503" s="43" t="str">
        <f t="shared" si="247"/>
        <v/>
      </c>
      <c r="AL503" s="43" t="str">
        <f t="shared" si="248"/>
        <v/>
      </c>
      <c r="AM503" s="43" t="str">
        <f t="shared" si="248"/>
        <v/>
      </c>
      <c r="AN503" s="43" t="str">
        <f t="shared" si="248"/>
        <v/>
      </c>
      <c r="AO503" s="43" t="str">
        <f t="shared" si="248"/>
        <v/>
      </c>
      <c r="AP503" s="43" t="str">
        <f t="shared" si="248"/>
        <v/>
      </c>
      <c r="AQ503" s="43" t="str">
        <f t="shared" si="248"/>
        <v/>
      </c>
      <c r="AR503" s="43" t="str">
        <f t="shared" si="248"/>
        <v/>
      </c>
      <c r="AS503" s="43" t="str">
        <f t="shared" si="248"/>
        <v/>
      </c>
      <c r="AT503" s="43" t="str">
        <f t="shared" si="248"/>
        <v/>
      </c>
      <c r="AU503" s="43" t="str">
        <f t="shared" si="248"/>
        <v/>
      </c>
      <c r="AV503" s="43" t="str">
        <f t="shared" si="249"/>
        <v/>
      </c>
      <c r="AW503" s="43" t="str">
        <f t="shared" si="249"/>
        <v/>
      </c>
      <c r="AX503" s="43" t="str">
        <f t="shared" si="249"/>
        <v/>
      </c>
      <c r="AY503" s="43" t="str">
        <f t="shared" si="249"/>
        <v/>
      </c>
      <c r="AZ503" s="43" t="str">
        <f t="shared" si="249"/>
        <v/>
      </c>
      <c r="BA503" s="43" t="str">
        <f t="shared" si="249"/>
        <v/>
      </c>
      <c r="BB503" s="43"/>
      <c r="BC503" s="43"/>
      <c r="BD503" s="43"/>
      <c r="BE503" s="43"/>
      <c r="BF503" s="43"/>
      <c r="BG503" s="43"/>
      <c r="BW503" s="1250"/>
    </row>
    <row r="504" spans="1:75" x14ac:dyDescent="0.25">
      <c r="A504" s="1251"/>
      <c r="B504" s="462">
        <v>498</v>
      </c>
      <c r="C504" s="462"/>
      <c r="D504" s="1244"/>
      <c r="E504" s="1050"/>
      <c r="F504" s="1244"/>
      <c r="H504" s="43" t="str">
        <f t="shared" si="245"/>
        <v/>
      </c>
      <c r="I504" s="43" t="str">
        <f t="shared" si="245"/>
        <v/>
      </c>
      <c r="J504" s="43" t="str">
        <f t="shared" si="245"/>
        <v/>
      </c>
      <c r="K504" s="43" t="str">
        <f t="shared" si="245"/>
        <v/>
      </c>
      <c r="L504" s="43" t="str">
        <f t="shared" si="245"/>
        <v/>
      </c>
      <c r="M504" s="43" t="str">
        <f t="shared" si="245"/>
        <v/>
      </c>
      <c r="N504" s="43" t="str">
        <f t="shared" si="245"/>
        <v/>
      </c>
      <c r="O504" s="43" t="str">
        <f t="shared" si="245"/>
        <v/>
      </c>
      <c r="P504" s="43" t="str">
        <f t="shared" si="245"/>
        <v/>
      </c>
      <c r="Q504" s="43" t="str">
        <f t="shared" si="245"/>
        <v/>
      </c>
      <c r="R504" s="43" t="str">
        <f t="shared" si="246"/>
        <v/>
      </c>
      <c r="S504" s="43" t="str">
        <f t="shared" si="246"/>
        <v/>
      </c>
      <c r="T504" s="43" t="str">
        <f t="shared" si="246"/>
        <v/>
      </c>
      <c r="U504" s="43" t="str">
        <f t="shared" si="246"/>
        <v/>
      </c>
      <c r="V504" s="43" t="str">
        <f t="shared" si="246"/>
        <v/>
      </c>
      <c r="W504" s="43" t="str">
        <f t="shared" si="246"/>
        <v/>
      </c>
      <c r="X504" s="43" t="str">
        <f t="shared" si="246"/>
        <v/>
      </c>
      <c r="Y504" s="43" t="str">
        <f t="shared" si="246"/>
        <v/>
      </c>
      <c r="Z504" s="43" t="str">
        <f t="shared" si="246"/>
        <v/>
      </c>
      <c r="AA504" s="43" t="str">
        <f t="shared" si="246"/>
        <v/>
      </c>
      <c r="AB504" s="43" t="str">
        <f t="shared" si="247"/>
        <v/>
      </c>
      <c r="AC504" s="43" t="str">
        <f t="shared" si="247"/>
        <v/>
      </c>
      <c r="AD504" s="43" t="str">
        <f t="shared" si="247"/>
        <v/>
      </c>
      <c r="AE504" s="43" t="str">
        <f t="shared" si="247"/>
        <v/>
      </c>
      <c r="AF504" s="43" t="str">
        <f t="shared" si="247"/>
        <v/>
      </c>
      <c r="AG504" s="43" t="str">
        <f t="shared" si="247"/>
        <v/>
      </c>
      <c r="AH504" s="43" t="str">
        <f t="shared" si="247"/>
        <v/>
      </c>
      <c r="AI504" s="43" t="str">
        <f t="shared" si="247"/>
        <v/>
      </c>
      <c r="AJ504" s="43" t="str">
        <f t="shared" si="247"/>
        <v/>
      </c>
      <c r="AK504" s="43" t="str">
        <f t="shared" si="247"/>
        <v/>
      </c>
      <c r="AL504" s="43" t="str">
        <f t="shared" si="248"/>
        <v/>
      </c>
      <c r="AM504" s="43" t="str">
        <f t="shared" si="248"/>
        <v/>
      </c>
      <c r="AN504" s="43" t="str">
        <f t="shared" si="248"/>
        <v/>
      </c>
      <c r="AO504" s="43" t="str">
        <f t="shared" si="248"/>
        <v/>
      </c>
      <c r="AP504" s="43" t="str">
        <f t="shared" si="248"/>
        <v/>
      </c>
      <c r="AQ504" s="43" t="str">
        <f t="shared" si="248"/>
        <v/>
      </c>
      <c r="AR504" s="43" t="str">
        <f t="shared" si="248"/>
        <v/>
      </c>
      <c r="AS504" s="43" t="str">
        <f t="shared" si="248"/>
        <v/>
      </c>
      <c r="AT504" s="43" t="str">
        <f t="shared" si="248"/>
        <v/>
      </c>
      <c r="AU504" s="43" t="str">
        <f t="shared" si="248"/>
        <v/>
      </c>
      <c r="AV504" s="43" t="str">
        <f t="shared" si="249"/>
        <v/>
      </c>
      <c r="AW504" s="43" t="str">
        <f t="shared" si="249"/>
        <v/>
      </c>
      <c r="AX504" s="43" t="str">
        <f t="shared" si="249"/>
        <v/>
      </c>
      <c r="AY504" s="43" t="str">
        <f t="shared" si="249"/>
        <v/>
      </c>
      <c r="AZ504" s="43" t="str">
        <f t="shared" si="249"/>
        <v/>
      </c>
      <c r="BA504" s="43" t="str">
        <f t="shared" si="249"/>
        <v/>
      </c>
      <c r="BB504" s="43"/>
      <c r="BC504" s="43"/>
      <c r="BD504" s="43"/>
      <c r="BE504" s="43"/>
      <c r="BF504" s="43"/>
      <c r="BG504" s="43"/>
      <c r="BW504" s="1250"/>
    </row>
    <row r="505" spans="1:75" x14ac:dyDescent="0.25">
      <c r="A505" s="1251"/>
      <c r="B505" s="462">
        <v>499</v>
      </c>
      <c r="C505" s="462"/>
      <c r="D505" s="1244"/>
      <c r="E505" s="1050"/>
      <c r="F505" s="1244"/>
      <c r="H505" s="43" t="str">
        <f t="shared" si="245"/>
        <v/>
      </c>
      <c r="I505" s="43" t="str">
        <f t="shared" si="245"/>
        <v/>
      </c>
      <c r="J505" s="43" t="str">
        <f t="shared" si="245"/>
        <v/>
      </c>
      <c r="K505" s="43" t="str">
        <f t="shared" si="245"/>
        <v/>
      </c>
      <c r="L505" s="43" t="str">
        <f t="shared" si="245"/>
        <v/>
      </c>
      <c r="M505" s="43" t="str">
        <f t="shared" si="245"/>
        <v/>
      </c>
      <c r="N505" s="43" t="str">
        <f t="shared" si="245"/>
        <v/>
      </c>
      <c r="O505" s="43" t="str">
        <f t="shared" si="245"/>
        <v/>
      </c>
      <c r="P505" s="43" t="str">
        <f t="shared" si="245"/>
        <v/>
      </c>
      <c r="Q505" s="43" t="str">
        <f t="shared" si="245"/>
        <v/>
      </c>
      <c r="R505" s="43" t="str">
        <f t="shared" si="246"/>
        <v/>
      </c>
      <c r="S505" s="43" t="str">
        <f t="shared" si="246"/>
        <v/>
      </c>
      <c r="T505" s="43" t="str">
        <f t="shared" si="246"/>
        <v/>
      </c>
      <c r="U505" s="43" t="str">
        <f t="shared" si="246"/>
        <v/>
      </c>
      <c r="V505" s="43" t="str">
        <f t="shared" si="246"/>
        <v/>
      </c>
      <c r="W505" s="43" t="str">
        <f t="shared" si="246"/>
        <v/>
      </c>
      <c r="X505" s="43" t="str">
        <f t="shared" si="246"/>
        <v/>
      </c>
      <c r="Y505" s="43" t="str">
        <f t="shared" si="246"/>
        <v/>
      </c>
      <c r="Z505" s="43" t="str">
        <f t="shared" si="246"/>
        <v/>
      </c>
      <c r="AA505" s="43" t="str">
        <f t="shared" si="246"/>
        <v/>
      </c>
      <c r="AB505" s="43" t="str">
        <f t="shared" si="247"/>
        <v/>
      </c>
      <c r="AC505" s="43" t="str">
        <f t="shared" si="247"/>
        <v/>
      </c>
      <c r="AD505" s="43" t="str">
        <f t="shared" si="247"/>
        <v/>
      </c>
      <c r="AE505" s="43" t="str">
        <f t="shared" si="247"/>
        <v/>
      </c>
      <c r="AF505" s="43" t="str">
        <f t="shared" si="247"/>
        <v/>
      </c>
      <c r="AG505" s="43" t="str">
        <f t="shared" si="247"/>
        <v/>
      </c>
      <c r="AH505" s="43" t="str">
        <f t="shared" si="247"/>
        <v/>
      </c>
      <c r="AI505" s="43" t="str">
        <f t="shared" si="247"/>
        <v/>
      </c>
      <c r="AJ505" s="43" t="str">
        <f t="shared" si="247"/>
        <v/>
      </c>
      <c r="AK505" s="43" t="str">
        <f t="shared" si="247"/>
        <v/>
      </c>
      <c r="AL505" s="43" t="str">
        <f t="shared" si="248"/>
        <v/>
      </c>
      <c r="AM505" s="43" t="str">
        <f t="shared" si="248"/>
        <v/>
      </c>
      <c r="AN505" s="43" t="str">
        <f t="shared" si="248"/>
        <v/>
      </c>
      <c r="AO505" s="43" t="str">
        <f t="shared" si="248"/>
        <v/>
      </c>
      <c r="AP505" s="43" t="str">
        <f t="shared" si="248"/>
        <v/>
      </c>
      <c r="AQ505" s="43" t="str">
        <f t="shared" si="248"/>
        <v/>
      </c>
      <c r="AR505" s="43" t="str">
        <f t="shared" si="248"/>
        <v/>
      </c>
      <c r="AS505" s="43" t="str">
        <f t="shared" si="248"/>
        <v/>
      </c>
      <c r="AT505" s="43" t="str">
        <f t="shared" si="248"/>
        <v/>
      </c>
      <c r="AU505" s="43" t="str">
        <f t="shared" si="248"/>
        <v/>
      </c>
      <c r="AV505" s="43" t="str">
        <f t="shared" si="249"/>
        <v/>
      </c>
      <c r="AW505" s="43" t="str">
        <f t="shared" si="249"/>
        <v/>
      </c>
      <c r="AX505" s="43" t="str">
        <f t="shared" si="249"/>
        <v/>
      </c>
      <c r="AY505" s="43" t="str">
        <f t="shared" si="249"/>
        <v/>
      </c>
      <c r="AZ505" s="43" t="str">
        <f t="shared" si="249"/>
        <v/>
      </c>
      <c r="BA505" s="43" t="str">
        <f t="shared" si="249"/>
        <v/>
      </c>
      <c r="BB505" s="43"/>
      <c r="BC505" s="43"/>
      <c r="BD505" s="43"/>
      <c r="BE505" s="43"/>
      <c r="BF505" s="43"/>
      <c r="BG505" s="43"/>
      <c r="BW505" s="1250"/>
    </row>
    <row r="506" spans="1:75" ht="15.75" thickBot="1" x14ac:dyDescent="0.3">
      <c r="A506" s="1251"/>
      <c r="B506" s="462">
        <v>500</v>
      </c>
      <c r="C506" s="462"/>
      <c r="D506" s="1244"/>
      <c r="E506" s="1050"/>
      <c r="F506" s="1244"/>
      <c r="H506" s="48" t="str">
        <f t="shared" si="245"/>
        <v/>
      </c>
      <c r="I506" s="48" t="str">
        <f t="shared" si="245"/>
        <v/>
      </c>
      <c r="J506" s="48" t="str">
        <f t="shared" si="245"/>
        <v/>
      </c>
      <c r="K506" s="48" t="str">
        <f t="shared" si="245"/>
        <v/>
      </c>
      <c r="L506" s="48" t="str">
        <f t="shared" si="245"/>
        <v/>
      </c>
      <c r="M506" s="48" t="str">
        <f t="shared" si="245"/>
        <v/>
      </c>
      <c r="N506" s="48" t="str">
        <f t="shared" si="245"/>
        <v/>
      </c>
      <c r="O506" s="48" t="str">
        <f t="shared" si="245"/>
        <v/>
      </c>
      <c r="P506" s="48" t="str">
        <f t="shared" si="245"/>
        <v/>
      </c>
      <c r="Q506" s="48" t="str">
        <f t="shared" si="245"/>
        <v/>
      </c>
      <c r="R506" s="48" t="str">
        <f t="shared" si="246"/>
        <v/>
      </c>
      <c r="S506" s="48" t="str">
        <f t="shared" si="246"/>
        <v/>
      </c>
      <c r="T506" s="48" t="str">
        <f t="shared" si="246"/>
        <v/>
      </c>
      <c r="U506" s="48" t="str">
        <f t="shared" si="246"/>
        <v/>
      </c>
      <c r="V506" s="48" t="str">
        <f t="shared" si="246"/>
        <v/>
      </c>
      <c r="W506" s="48" t="str">
        <f t="shared" si="246"/>
        <v/>
      </c>
      <c r="X506" s="48" t="str">
        <f t="shared" si="246"/>
        <v/>
      </c>
      <c r="Y506" s="48" t="str">
        <f t="shared" si="246"/>
        <v/>
      </c>
      <c r="Z506" s="48" t="str">
        <f t="shared" si="246"/>
        <v/>
      </c>
      <c r="AA506" s="48" t="str">
        <f t="shared" si="246"/>
        <v/>
      </c>
      <c r="AB506" s="48" t="str">
        <f t="shared" si="247"/>
        <v/>
      </c>
      <c r="AC506" s="48" t="str">
        <f t="shared" si="247"/>
        <v/>
      </c>
      <c r="AD506" s="48" t="str">
        <f t="shared" si="247"/>
        <v/>
      </c>
      <c r="AE506" s="48" t="str">
        <f t="shared" si="247"/>
        <v/>
      </c>
      <c r="AF506" s="48" t="str">
        <f t="shared" si="247"/>
        <v/>
      </c>
      <c r="AG506" s="48" t="str">
        <f t="shared" si="247"/>
        <v/>
      </c>
      <c r="AH506" s="48" t="str">
        <f t="shared" si="247"/>
        <v/>
      </c>
      <c r="AI506" s="48" t="str">
        <f t="shared" si="247"/>
        <v/>
      </c>
      <c r="AJ506" s="48" t="str">
        <f t="shared" si="247"/>
        <v/>
      </c>
      <c r="AK506" s="48" t="str">
        <f t="shared" si="247"/>
        <v/>
      </c>
      <c r="AL506" s="48" t="str">
        <f t="shared" si="248"/>
        <v/>
      </c>
      <c r="AM506" s="48" t="str">
        <f t="shared" si="248"/>
        <v/>
      </c>
      <c r="AN506" s="48" t="str">
        <f t="shared" si="248"/>
        <v/>
      </c>
      <c r="AO506" s="48" t="str">
        <f t="shared" si="248"/>
        <v/>
      </c>
      <c r="AP506" s="48" t="str">
        <f t="shared" si="248"/>
        <v/>
      </c>
      <c r="AQ506" s="48" t="str">
        <f t="shared" si="248"/>
        <v/>
      </c>
      <c r="AR506" s="48" t="str">
        <f t="shared" si="248"/>
        <v/>
      </c>
      <c r="AS506" s="48" t="str">
        <f t="shared" si="248"/>
        <v/>
      </c>
      <c r="AT506" s="48" t="str">
        <f t="shared" si="248"/>
        <v/>
      </c>
      <c r="AU506" s="48" t="str">
        <f t="shared" si="248"/>
        <v/>
      </c>
      <c r="AV506" s="48" t="str">
        <f t="shared" si="249"/>
        <v/>
      </c>
      <c r="AW506" s="48" t="str">
        <f t="shared" si="249"/>
        <v/>
      </c>
      <c r="AX506" s="48" t="str">
        <f t="shared" si="249"/>
        <v/>
      </c>
      <c r="AY506" s="48" t="str">
        <f t="shared" si="249"/>
        <v/>
      </c>
      <c r="AZ506" s="48" t="str">
        <f t="shared" si="249"/>
        <v/>
      </c>
      <c r="BA506" s="48" t="str">
        <f t="shared" si="249"/>
        <v/>
      </c>
      <c r="BB506" s="48"/>
      <c r="BC506" s="48"/>
      <c r="BD506" s="48"/>
      <c r="BE506" s="48"/>
      <c r="BF506" s="48"/>
      <c r="BG506" s="48"/>
      <c r="BW506" s="1250"/>
    </row>
    <row r="507" spans="1:75" x14ac:dyDescent="0.25">
      <c r="A507" s="1251"/>
      <c r="H507" s="189" t="str">
        <f t="shared" ref="H507:AM507" si="250">CONCATENATE(H7,H8,H9,H10,H11,H12,H13,H14,H15,H16,H17,H18,H19,H20,H21,H22,H23,H24,H25,H26,H27,H28,H29,H30,H31,H32,H33,H34,H35,H36,H37,H38,H39,H40,H41,H42,H43,H44,H45,H46,H47,H48,H49,H50,H51,H52,H53,H54,H55,H56,H57,H58,H59,H60,H61,H62,H63,H64,H65,H66,H67,H68,H69,H70,H71,H72,H73,H74,H75,H76,H77,H78,H79,H80,H81,H82,H83,H84,H85,H86,H87,H88,H89,H90,H91,H92,H93,H94,H95,H96,H97,H98,H99,H100,H101,H102,H103,H104,H105,H106)</f>
        <v xml:space="preserve">1, </v>
      </c>
      <c r="I507" s="156" t="str">
        <f t="shared" si="250"/>
        <v xml:space="preserve">2, </v>
      </c>
      <c r="J507" s="156" t="str">
        <f t="shared" si="250"/>
        <v/>
      </c>
      <c r="K507" s="156" t="str">
        <f t="shared" si="250"/>
        <v/>
      </c>
      <c r="L507" s="156" t="str">
        <f t="shared" si="250"/>
        <v/>
      </c>
      <c r="M507" s="156" t="str">
        <f t="shared" si="250"/>
        <v/>
      </c>
      <c r="N507" s="156" t="str">
        <f t="shared" si="250"/>
        <v/>
      </c>
      <c r="O507" s="156" t="str">
        <f t="shared" si="250"/>
        <v/>
      </c>
      <c r="P507" s="156" t="str">
        <f t="shared" si="250"/>
        <v/>
      </c>
      <c r="Q507" s="156" t="str">
        <f t="shared" si="250"/>
        <v/>
      </c>
      <c r="R507" s="156" t="str">
        <f t="shared" si="250"/>
        <v/>
      </c>
      <c r="S507" s="156" t="str">
        <f t="shared" si="250"/>
        <v/>
      </c>
      <c r="T507" s="156" t="str">
        <f t="shared" si="250"/>
        <v/>
      </c>
      <c r="U507" s="156" t="str">
        <f t="shared" si="250"/>
        <v/>
      </c>
      <c r="V507" s="156" t="str">
        <f t="shared" si="250"/>
        <v/>
      </c>
      <c r="W507" s="156" t="str">
        <f t="shared" si="250"/>
        <v/>
      </c>
      <c r="X507" s="156" t="str">
        <f t="shared" si="250"/>
        <v/>
      </c>
      <c r="Y507" s="156" t="str">
        <f t="shared" si="250"/>
        <v/>
      </c>
      <c r="Z507" s="156" t="str">
        <f t="shared" si="250"/>
        <v/>
      </c>
      <c r="AA507" s="156" t="str">
        <f t="shared" si="250"/>
        <v/>
      </c>
      <c r="AB507" s="156" t="str">
        <f t="shared" si="250"/>
        <v/>
      </c>
      <c r="AC507" s="156" t="str">
        <f t="shared" si="250"/>
        <v/>
      </c>
      <c r="AD507" s="156" t="str">
        <f t="shared" si="250"/>
        <v/>
      </c>
      <c r="AE507" s="156" t="str">
        <f t="shared" si="250"/>
        <v/>
      </c>
      <c r="AF507" s="156" t="str">
        <f t="shared" si="250"/>
        <v/>
      </c>
      <c r="AG507" s="156" t="str">
        <f t="shared" si="250"/>
        <v/>
      </c>
      <c r="AH507" s="156" t="str">
        <f t="shared" si="250"/>
        <v/>
      </c>
      <c r="AI507" s="156" t="str">
        <f t="shared" si="250"/>
        <v/>
      </c>
      <c r="AJ507" s="156" t="str">
        <f t="shared" si="250"/>
        <v/>
      </c>
      <c r="AK507" s="156" t="str">
        <f t="shared" si="250"/>
        <v/>
      </c>
      <c r="AL507" s="156" t="str">
        <f t="shared" si="250"/>
        <v/>
      </c>
      <c r="AM507" s="156" t="str">
        <f t="shared" si="250"/>
        <v/>
      </c>
      <c r="AN507" s="156" t="str">
        <f t="shared" ref="AN507:BG507" si="251">CONCATENATE(AN7,AN8,AN9,AN10,AN11,AN12,AN13,AN14,AN15,AN16,AN17,AN18,AN19,AN20,AN21,AN22,AN23,AN24,AN25,AN26,AN27,AN28,AN29,AN30,AN31,AN32,AN33,AN34,AN35,AN36,AN37,AN38,AN39,AN40,AN41,AN42,AN43,AN44,AN45,AN46,AN47,AN48,AN49,AN50,AN51,AN52,AN53,AN54,AN55,AN56,AN57,AN58,AN59,AN60,AN61,AN62,AN63,AN64,AN65,AN66,AN67,AN68,AN69,AN70,AN71,AN72,AN73,AN74,AN75,AN76,AN77,AN78,AN79,AN80,AN81,AN82,AN83,AN84,AN85,AN86,AN87,AN88,AN89,AN90,AN91,AN92,AN93,AN94,AN95,AN96,AN97,AN98,AN99,AN100,AN101,AN102,AN103,AN104,AN105,AN106)</f>
        <v/>
      </c>
      <c r="AO507" s="156" t="str">
        <f t="shared" si="251"/>
        <v/>
      </c>
      <c r="AP507" s="156" t="str">
        <f t="shared" si="251"/>
        <v/>
      </c>
      <c r="AQ507" s="156" t="str">
        <f t="shared" si="251"/>
        <v/>
      </c>
      <c r="AR507" s="156" t="str">
        <f t="shared" si="251"/>
        <v/>
      </c>
      <c r="AS507" s="156" t="str">
        <f t="shared" si="251"/>
        <v/>
      </c>
      <c r="AT507" s="156" t="str">
        <f t="shared" si="251"/>
        <v/>
      </c>
      <c r="AU507" s="156" t="str">
        <f t="shared" si="251"/>
        <v/>
      </c>
      <c r="AV507" s="156" t="str">
        <f t="shared" si="251"/>
        <v/>
      </c>
      <c r="AW507" s="156" t="str">
        <f t="shared" si="251"/>
        <v/>
      </c>
      <c r="AX507" s="156" t="str">
        <f t="shared" si="251"/>
        <v/>
      </c>
      <c r="AY507" s="156" t="str">
        <f t="shared" si="251"/>
        <v/>
      </c>
      <c r="AZ507" s="156" t="str">
        <f t="shared" si="251"/>
        <v/>
      </c>
      <c r="BA507" s="156" t="str">
        <f t="shared" si="251"/>
        <v/>
      </c>
      <c r="BB507" s="156" t="str">
        <f t="shared" si="251"/>
        <v/>
      </c>
      <c r="BC507" s="156" t="str">
        <f t="shared" si="251"/>
        <v/>
      </c>
      <c r="BD507" s="156" t="str">
        <f t="shared" si="251"/>
        <v/>
      </c>
      <c r="BE507" s="156" t="str">
        <f t="shared" si="251"/>
        <v/>
      </c>
      <c r="BF507" s="156" t="str">
        <f t="shared" si="251"/>
        <v/>
      </c>
      <c r="BG507" s="157" t="str">
        <f t="shared" si="251"/>
        <v/>
      </c>
      <c r="BW507" s="1250"/>
    </row>
    <row r="508" spans="1:75" x14ac:dyDescent="0.25">
      <c r="A508" s="1251"/>
      <c r="H508" s="146" t="str">
        <f t="shared" ref="H508:AM508" si="252">CONCATENATE(H107,H108,H109,H110,H111,H112,H113,H114,H115,H116,H117,H118,H119,H120,H121,H122,H123,H124,H125,H126,H127,H128,H129,H130,H131,H132,H133,H134,H135,H136,H137,H138,H139,H140,H141,H142,H143,H144,H145,H146,H147,H148,H149,H150,H151,H152,H153,H154,H155,H156,H157,H158,H159,H160,H161,H162,H163,H164,H165,H166,H167,H168,H169,H170,H171,H172,H173,H174,H175,H176,H177,H178,H179,H180,H181,H182,H183,H184,H185,H186,H187,H188,H189,H190,H191,H192,H193,H194,H195,H196,H197,H198,H199,H200,H201,H202,H203,H204,H205,H206)</f>
        <v/>
      </c>
      <c r="I508" s="43" t="str">
        <f t="shared" si="252"/>
        <v/>
      </c>
      <c r="J508" s="43" t="str">
        <f t="shared" si="252"/>
        <v/>
      </c>
      <c r="K508" s="43" t="str">
        <f t="shared" si="252"/>
        <v/>
      </c>
      <c r="L508" s="43" t="str">
        <f t="shared" si="252"/>
        <v/>
      </c>
      <c r="M508" s="43" t="str">
        <f t="shared" si="252"/>
        <v/>
      </c>
      <c r="N508" s="43" t="str">
        <f t="shared" si="252"/>
        <v/>
      </c>
      <c r="O508" s="43" t="str">
        <f t="shared" si="252"/>
        <v/>
      </c>
      <c r="P508" s="43" t="str">
        <f t="shared" si="252"/>
        <v/>
      </c>
      <c r="Q508" s="43" t="str">
        <f t="shared" si="252"/>
        <v/>
      </c>
      <c r="R508" s="43" t="str">
        <f t="shared" si="252"/>
        <v/>
      </c>
      <c r="S508" s="43" t="str">
        <f t="shared" si="252"/>
        <v/>
      </c>
      <c r="T508" s="43" t="str">
        <f t="shared" si="252"/>
        <v/>
      </c>
      <c r="U508" s="43" t="str">
        <f t="shared" si="252"/>
        <v/>
      </c>
      <c r="V508" s="43" t="str">
        <f t="shared" si="252"/>
        <v/>
      </c>
      <c r="W508" s="43" t="str">
        <f t="shared" si="252"/>
        <v/>
      </c>
      <c r="X508" s="43" t="str">
        <f t="shared" si="252"/>
        <v/>
      </c>
      <c r="Y508" s="43" t="str">
        <f t="shared" si="252"/>
        <v/>
      </c>
      <c r="Z508" s="43" t="str">
        <f t="shared" si="252"/>
        <v/>
      </c>
      <c r="AA508" s="43" t="str">
        <f t="shared" si="252"/>
        <v/>
      </c>
      <c r="AB508" s="43" t="str">
        <f t="shared" si="252"/>
        <v/>
      </c>
      <c r="AC508" s="43" t="str">
        <f t="shared" si="252"/>
        <v/>
      </c>
      <c r="AD508" s="43" t="str">
        <f t="shared" si="252"/>
        <v/>
      </c>
      <c r="AE508" s="43" t="str">
        <f t="shared" si="252"/>
        <v/>
      </c>
      <c r="AF508" s="43" t="str">
        <f t="shared" si="252"/>
        <v/>
      </c>
      <c r="AG508" s="43" t="str">
        <f t="shared" si="252"/>
        <v/>
      </c>
      <c r="AH508" s="43" t="str">
        <f t="shared" si="252"/>
        <v/>
      </c>
      <c r="AI508" s="43" t="str">
        <f t="shared" si="252"/>
        <v/>
      </c>
      <c r="AJ508" s="43" t="str">
        <f t="shared" si="252"/>
        <v/>
      </c>
      <c r="AK508" s="43" t="str">
        <f t="shared" si="252"/>
        <v/>
      </c>
      <c r="AL508" s="43" t="str">
        <f t="shared" si="252"/>
        <v/>
      </c>
      <c r="AM508" s="43" t="str">
        <f t="shared" si="252"/>
        <v/>
      </c>
      <c r="AN508" s="43" t="str">
        <f t="shared" ref="AN508:BG508" si="253">CONCATENATE(AN107,AN108,AN109,AN110,AN111,AN112,AN113,AN114,AN115,AN116,AN117,AN118,AN119,AN120,AN121,AN122,AN123,AN124,AN125,AN126,AN127,AN128,AN129,AN130,AN131,AN132,AN133,AN134,AN135,AN136,AN137,AN138,AN139,AN140,AN141,AN142,AN143,AN144,AN145,AN146,AN147,AN148,AN149,AN150,AN151,AN152,AN153,AN154,AN155,AN156,AN157,AN158,AN159,AN160,AN161,AN162,AN163,AN164,AN165,AN166,AN167,AN168,AN169,AN170,AN171,AN172,AN173,AN174,AN175,AN176,AN177,AN178,AN179,AN180,AN181,AN182,AN183,AN184,AN185,AN186,AN187,AN188,AN189,AN190,AN191,AN192,AN193,AN194,AN195,AN196,AN197,AN198,AN199,AN200,AN201,AN202,AN203,AN204,AN205,AN206)</f>
        <v/>
      </c>
      <c r="AO508" s="43" t="str">
        <f t="shared" si="253"/>
        <v/>
      </c>
      <c r="AP508" s="43" t="str">
        <f t="shared" si="253"/>
        <v/>
      </c>
      <c r="AQ508" s="43" t="str">
        <f t="shared" si="253"/>
        <v/>
      </c>
      <c r="AR508" s="43" t="str">
        <f t="shared" si="253"/>
        <v/>
      </c>
      <c r="AS508" s="43" t="str">
        <f t="shared" si="253"/>
        <v/>
      </c>
      <c r="AT508" s="43" t="str">
        <f t="shared" si="253"/>
        <v/>
      </c>
      <c r="AU508" s="43" t="str">
        <f t="shared" si="253"/>
        <v/>
      </c>
      <c r="AV508" s="43" t="str">
        <f t="shared" si="253"/>
        <v/>
      </c>
      <c r="AW508" s="43" t="str">
        <f t="shared" si="253"/>
        <v/>
      </c>
      <c r="AX508" s="43" t="str">
        <f t="shared" si="253"/>
        <v/>
      </c>
      <c r="AY508" s="43" t="str">
        <f t="shared" si="253"/>
        <v/>
      </c>
      <c r="AZ508" s="43" t="str">
        <f t="shared" si="253"/>
        <v/>
      </c>
      <c r="BA508" s="43" t="str">
        <f t="shared" si="253"/>
        <v/>
      </c>
      <c r="BB508" s="43" t="str">
        <f t="shared" si="253"/>
        <v/>
      </c>
      <c r="BC508" s="43" t="str">
        <f t="shared" si="253"/>
        <v/>
      </c>
      <c r="BD508" s="43" t="str">
        <f t="shared" si="253"/>
        <v/>
      </c>
      <c r="BE508" s="43" t="str">
        <f t="shared" si="253"/>
        <v/>
      </c>
      <c r="BF508" s="43" t="str">
        <f t="shared" si="253"/>
        <v/>
      </c>
      <c r="BG508" s="163" t="str">
        <f t="shared" si="253"/>
        <v/>
      </c>
      <c r="BW508" s="1250"/>
    </row>
    <row r="509" spans="1:75" x14ac:dyDescent="0.25">
      <c r="A509" s="1251"/>
      <c r="H509" s="146" t="str">
        <f t="shared" ref="H509:AM509" si="254">CONCATENATE(H207,H208,H209,H210,H211,H212,H213,H214,H215,H216,H217,H218,H219,H220,H221,H222,H223,H224,H225,H226,H227,H228,H229,H230,H231,H232,H233,H234,H235,H236,H237,H238,H239,H240,H241,H242,H243,H244,H245,H246,H247,H248,H249,H250,H251,H252,H253,H254,H255,H256,H257,H258,H259,H260,H261,H262,H263,H264,H265,H266,H267,H268,H269,H270,H271,H272,H273,H274,H275,H276,H277,H278,H279,H280,H281,H282,H283,H284,H285,H286,H287,H288,H289,H290,H291,H292,H293,H294,H295,H296,H297,H298,H299,H300,H301,H302,H303,H304,H305,H306)</f>
        <v/>
      </c>
      <c r="I509" s="43" t="str">
        <f t="shared" si="254"/>
        <v/>
      </c>
      <c r="J509" s="43" t="str">
        <f t="shared" si="254"/>
        <v/>
      </c>
      <c r="K509" s="43" t="str">
        <f t="shared" si="254"/>
        <v/>
      </c>
      <c r="L509" s="43" t="str">
        <f t="shared" si="254"/>
        <v/>
      </c>
      <c r="M509" s="43" t="str">
        <f t="shared" si="254"/>
        <v/>
      </c>
      <c r="N509" s="43" t="str">
        <f t="shared" si="254"/>
        <v/>
      </c>
      <c r="O509" s="43" t="str">
        <f t="shared" si="254"/>
        <v/>
      </c>
      <c r="P509" s="43" t="str">
        <f t="shared" si="254"/>
        <v/>
      </c>
      <c r="Q509" s="43" t="str">
        <f t="shared" si="254"/>
        <v/>
      </c>
      <c r="R509" s="43" t="str">
        <f t="shared" si="254"/>
        <v/>
      </c>
      <c r="S509" s="43" t="str">
        <f t="shared" si="254"/>
        <v/>
      </c>
      <c r="T509" s="43" t="str">
        <f t="shared" si="254"/>
        <v/>
      </c>
      <c r="U509" s="43" t="str">
        <f t="shared" si="254"/>
        <v/>
      </c>
      <c r="V509" s="43" t="str">
        <f t="shared" si="254"/>
        <v/>
      </c>
      <c r="W509" s="43" t="str">
        <f t="shared" si="254"/>
        <v/>
      </c>
      <c r="X509" s="43" t="str">
        <f t="shared" si="254"/>
        <v/>
      </c>
      <c r="Y509" s="43" t="str">
        <f t="shared" si="254"/>
        <v/>
      </c>
      <c r="Z509" s="43" t="str">
        <f t="shared" si="254"/>
        <v/>
      </c>
      <c r="AA509" s="43" t="str">
        <f t="shared" si="254"/>
        <v/>
      </c>
      <c r="AB509" s="43" t="str">
        <f t="shared" si="254"/>
        <v/>
      </c>
      <c r="AC509" s="43" t="str">
        <f t="shared" si="254"/>
        <v/>
      </c>
      <c r="AD509" s="43" t="str">
        <f t="shared" si="254"/>
        <v/>
      </c>
      <c r="AE509" s="43" t="str">
        <f t="shared" si="254"/>
        <v/>
      </c>
      <c r="AF509" s="43" t="str">
        <f t="shared" si="254"/>
        <v/>
      </c>
      <c r="AG509" s="43" t="str">
        <f t="shared" si="254"/>
        <v/>
      </c>
      <c r="AH509" s="43" t="str">
        <f t="shared" si="254"/>
        <v/>
      </c>
      <c r="AI509" s="43" t="str">
        <f t="shared" si="254"/>
        <v/>
      </c>
      <c r="AJ509" s="43" t="str">
        <f t="shared" si="254"/>
        <v/>
      </c>
      <c r="AK509" s="43" t="str">
        <f t="shared" si="254"/>
        <v/>
      </c>
      <c r="AL509" s="43" t="str">
        <f t="shared" si="254"/>
        <v/>
      </c>
      <c r="AM509" s="43" t="str">
        <f t="shared" si="254"/>
        <v/>
      </c>
      <c r="AN509" s="43" t="str">
        <f t="shared" ref="AN509:BG509" si="255">CONCATENATE(AN207,AN208,AN209,AN210,AN211,AN212,AN213,AN214,AN215,AN216,AN217,AN218,AN219,AN220,AN221,AN222,AN223,AN224,AN225,AN226,AN227,AN228,AN229,AN230,AN231,AN232,AN233,AN234,AN235,AN236,AN237,AN238,AN239,AN240,AN241,AN242,AN243,AN244,AN245,AN246,AN247,AN248,AN249,AN250,AN251,AN252,AN253,AN254,AN255,AN256,AN257,AN258,AN259,AN260,AN261,AN262,AN263,AN264,AN265,AN266,AN267,AN268,AN269,AN270,AN271,AN272,AN273,AN274,AN275,AN276,AN277,AN278,AN279,AN280,AN281,AN282,AN283,AN284,AN285,AN286,AN287,AN288,AN289,AN290,AN291,AN292,AN293,AN294,AN295,AN296,AN297,AN298,AN299,AN300,AN301,AN302,AN303,AN304,AN305,AN306)</f>
        <v/>
      </c>
      <c r="AO509" s="43" t="str">
        <f t="shared" si="255"/>
        <v/>
      </c>
      <c r="AP509" s="43" t="str">
        <f t="shared" si="255"/>
        <v/>
      </c>
      <c r="AQ509" s="43" t="str">
        <f t="shared" si="255"/>
        <v/>
      </c>
      <c r="AR509" s="43" t="str">
        <f t="shared" si="255"/>
        <v/>
      </c>
      <c r="AS509" s="43" t="str">
        <f t="shared" si="255"/>
        <v/>
      </c>
      <c r="AT509" s="43" t="str">
        <f t="shared" si="255"/>
        <v/>
      </c>
      <c r="AU509" s="43" t="str">
        <f t="shared" si="255"/>
        <v/>
      </c>
      <c r="AV509" s="43" t="str">
        <f t="shared" si="255"/>
        <v/>
      </c>
      <c r="AW509" s="43" t="str">
        <f t="shared" si="255"/>
        <v/>
      </c>
      <c r="AX509" s="43" t="str">
        <f t="shared" si="255"/>
        <v/>
      </c>
      <c r="AY509" s="43" t="str">
        <f t="shared" si="255"/>
        <v/>
      </c>
      <c r="AZ509" s="43" t="str">
        <f t="shared" si="255"/>
        <v/>
      </c>
      <c r="BA509" s="43" t="str">
        <f t="shared" si="255"/>
        <v/>
      </c>
      <c r="BB509" s="43" t="str">
        <f t="shared" si="255"/>
        <v/>
      </c>
      <c r="BC509" s="43" t="str">
        <f t="shared" si="255"/>
        <v/>
      </c>
      <c r="BD509" s="43" t="str">
        <f t="shared" si="255"/>
        <v/>
      </c>
      <c r="BE509" s="43" t="str">
        <f t="shared" si="255"/>
        <v/>
      </c>
      <c r="BF509" s="43" t="str">
        <f t="shared" si="255"/>
        <v/>
      </c>
      <c r="BG509" s="163" t="str">
        <f t="shared" si="255"/>
        <v/>
      </c>
      <c r="BW509" s="1250"/>
    </row>
    <row r="510" spans="1:75" x14ac:dyDescent="0.25">
      <c r="A510" s="1251"/>
      <c r="H510" s="146" t="str">
        <f t="shared" ref="H510:AM510" si="256">CONCATENATE(H307,H308,H309,H310,H311,H312,H313,H314,H315,H316,H317,H318,H319,H320,H321,H322,H323,H324,H325,H326,H327,H328,H329,H330,H331,H332,H333,H334,H335,H336,H337,H338,H339,H340,H341,H342,H343,H344,H345,H346,H347,H348,H349,H350,H351,H352,H353,H354,H355,H356,H357,H358,H359,H360,H361,H362,H363,H364,H365,H366,H367,H368,H369,H370,H371,H372,H373,H374,H375,H376,H377,H378,H379,H380,H381,H382,H383,H384,H385,H386,H387,H388,H389,H390,H391,H392,H393,H394,H395,H396,H397,H398,H399,H400,H401,H402,H403,H404,H405,H406)</f>
        <v/>
      </c>
      <c r="I510" s="43" t="str">
        <f t="shared" si="256"/>
        <v/>
      </c>
      <c r="J510" s="43" t="str">
        <f t="shared" si="256"/>
        <v/>
      </c>
      <c r="K510" s="43" t="str">
        <f t="shared" si="256"/>
        <v/>
      </c>
      <c r="L510" s="43" t="str">
        <f t="shared" si="256"/>
        <v/>
      </c>
      <c r="M510" s="43" t="str">
        <f t="shared" si="256"/>
        <v/>
      </c>
      <c r="N510" s="43" t="str">
        <f t="shared" si="256"/>
        <v/>
      </c>
      <c r="O510" s="43" t="str">
        <f t="shared" si="256"/>
        <v/>
      </c>
      <c r="P510" s="43" t="str">
        <f t="shared" si="256"/>
        <v/>
      </c>
      <c r="Q510" s="43" t="str">
        <f t="shared" si="256"/>
        <v/>
      </c>
      <c r="R510" s="43" t="str">
        <f t="shared" si="256"/>
        <v/>
      </c>
      <c r="S510" s="43" t="str">
        <f t="shared" si="256"/>
        <v/>
      </c>
      <c r="T510" s="43" t="str">
        <f t="shared" si="256"/>
        <v/>
      </c>
      <c r="U510" s="43" t="str">
        <f t="shared" si="256"/>
        <v/>
      </c>
      <c r="V510" s="43" t="str">
        <f t="shared" si="256"/>
        <v/>
      </c>
      <c r="W510" s="43" t="str">
        <f t="shared" si="256"/>
        <v/>
      </c>
      <c r="X510" s="43" t="str">
        <f t="shared" si="256"/>
        <v/>
      </c>
      <c r="Y510" s="43" t="str">
        <f t="shared" si="256"/>
        <v/>
      </c>
      <c r="Z510" s="43" t="str">
        <f t="shared" si="256"/>
        <v/>
      </c>
      <c r="AA510" s="43" t="str">
        <f t="shared" si="256"/>
        <v/>
      </c>
      <c r="AB510" s="43" t="str">
        <f t="shared" si="256"/>
        <v/>
      </c>
      <c r="AC510" s="43" t="str">
        <f t="shared" si="256"/>
        <v/>
      </c>
      <c r="AD510" s="43" t="str">
        <f t="shared" si="256"/>
        <v/>
      </c>
      <c r="AE510" s="43" t="str">
        <f t="shared" si="256"/>
        <v/>
      </c>
      <c r="AF510" s="43" t="str">
        <f t="shared" si="256"/>
        <v/>
      </c>
      <c r="AG510" s="43" t="str">
        <f t="shared" si="256"/>
        <v/>
      </c>
      <c r="AH510" s="43" t="str">
        <f t="shared" si="256"/>
        <v/>
      </c>
      <c r="AI510" s="43" t="str">
        <f t="shared" si="256"/>
        <v/>
      </c>
      <c r="AJ510" s="43" t="str">
        <f t="shared" si="256"/>
        <v/>
      </c>
      <c r="AK510" s="43" t="str">
        <f t="shared" si="256"/>
        <v/>
      </c>
      <c r="AL510" s="43" t="str">
        <f t="shared" si="256"/>
        <v/>
      </c>
      <c r="AM510" s="43" t="str">
        <f t="shared" si="256"/>
        <v/>
      </c>
      <c r="AN510" s="43" t="str">
        <f t="shared" ref="AN510:BG510" si="257">CONCATENATE(AN307,AN308,AN309,AN310,AN311,AN312,AN313,AN314,AN315,AN316,AN317,AN318,AN319,AN320,AN321,AN322,AN323,AN324,AN325,AN326,AN327,AN328,AN329,AN330,AN331,AN332,AN333,AN334,AN335,AN336,AN337,AN338,AN339,AN340,AN341,AN342,AN343,AN344,AN345,AN346,AN347,AN348,AN349,AN350,AN351,AN352,AN353,AN354,AN355,AN356,AN357,AN358,AN359,AN360,AN361,AN362,AN363,AN364,AN365,AN366,AN367,AN368,AN369,AN370,AN371,AN372,AN373,AN374,AN375,AN376,AN377,AN378,AN379,AN380,AN381,AN382,AN383,AN384,AN385,AN386,AN387,AN388,AN389,AN390,AN391,AN392,AN393,AN394,AN395,AN396,AN397,AN398,AN399,AN400,AN401,AN402,AN403,AN404,AN405,AN406)</f>
        <v/>
      </c>
      <c r="AO510" s="43" t="str">
        <f t="shared" si="257"/>
        <v/>
      </c>
      <c r="AP510" s="43" t="str">
        <f t="shared" si="257"/>
        <v/>
      </c>
      <c r="AQ510" s="43" t="str">
        <f t="shared" si="257"/>
        <v/>
      </c>
      <c r="AR510" s="43" t="str">
        <f t="shared" si="257"/>
        <v/>
      </c>
      <c r="AS510" s="43" t="str">
        <f t="shared" si="257"/>
        <v/>
      </c>
      <c r="AT510" s="43" t="str">
        <f t="shared" si="257"/>
        <v/>
      </c>
      <c r="AU510" s="43" t="str">
        <f t="shared" si="257"/>
        <v/>
      </c>
      <c r="AV510" s="43" t="str">
        <f t="shared" si="257"/>
        <v/>
      </c>
      <c r="AW510" s="43" t="str">
        <f t="shared" si="257"/>
        <v/>
      </c>
      <c r="AX510" s="43" t="str">
        <f t="shared" si="257"/>
        <v/>
      </c>
      <c r="AY510" s="43" t="str">
        <f t="shared" si="257"/>
        <v/>
      </c>
      <c r="AZ510" s="43" t="str">
        <f t="shared" si="257"/>
        <v/>
      </c>
      <c r="BA510" s="43" t="str">
        <f t="shared" si="257"/>
        <v/>
      </c>
      <c r="BB510" s="43" t="str">
        <f t="shared" si="257"/>
        <v/>
      </c>
      <c r="BC510" s="43" t="str">
        <f t="shared" si="257"/>
        <v/>
      </c>
      <c r="BD510" s="43" t="str">
        <f t="shared" si="257"/>
        <v/>
      </c>
      <c r="BE510" s="43" t="str">
        <f t="shared" si="257"/>
        <v/>
      </c>
      <c r="BF510" s="43" t="str">
        <f t="shared" si="257"/>
        <v/>
      </c>
      <c r="BG510" s="163" t="str">
        <f t="shared" si="257"/>
        <v/>
      </c>
      <c r="BW510" s="1250"/>
    </row>
    <row r="511" spans="1:75" ht="15.75" thickBot="1" x14ac:dyDescent="0.3">
      <c r="A511" s="1251"/>
      <c r="H511" s="168" t="str">
        <f t="shared" ref="H511:AM511" si="258">CONCATENATE(H407,H408,H409,H410,H411,H412,H413,H414,H415,H416,H417,H418,H419,H420,H421,H422,H423,H424,H425,H426,H427,H428,H429,H430,H431,H432,H433,H434,H435,H436,H437,H438,H439,H440,H441,H442,H443,H444,H445,H446,H447,H448,H449,H450,H451,H452,H453,H454,H455,H456,H457,H458,H459,H460,H461,H462,H463,H464,H465,H466,H467,H468,H469,H470,H471,H472,H473,H474,H475,H476,H477,H478,H479,H480,H481,H482,H483,H484,H485,H486,H487,H488,H489,H490,H491,H492,H493,H494,H495,H496,H497,H498,H499,H500,H501,H502,H503,H504,H505,H506)</f>
        <v/>
      </c>
      <c r="I511" s="170" t="str">
        <f t="shared" si="258"/>
        <v/>
      </c>
      <c r="J511" s="170" t="str">
        <f t="shared" si="258"/>
        <v/>
      </c>
      <c r="K511" s="170" t="str">
        <f t="shared" si="258"/>
        <v/>
      </c>
      <c r="L511" s="170" t="str">
        <f t="shared" si="258"/>
        <v/>
      </c>
      <c r="M511" s="170" t="str">
        <f t="shared" si="258"/>
        <v/>
      </c>
      <c r="N511" s="170" t="str">
        <f t="shared" si="258"/>
        <v/>
      </c>
      <c r="O511" s="170" t="str">
        <f t="shared" si="258"/>
        <v/>
      </c>
      <c r="P511" s="170" t="str">
        <f t="shared" si="258"/>
        <v/>
      </c>
      <c r="Q511" s="170" t="str">
        <f t="shared" si="258"/>
        <v/>
      </c>
      <c r="R511" s="170" t="str">
        <f t="shared" si="258"/>
        <v/>
      </c>
      <c r="S511" s="170" t="str">
        <f t="shared" si="258"/>
        <v/>
      </c>
      <c r="T511" s="170" t="str">
        <f t="shared" si="258"/>
        <v/>
      </c>
      <c r="U511" s="170" t="str">
        <f t="shared" si="258"/>
        <v/>
      </c>
      <c r="V511" s="170" t="str">
        <f t="shared" si="258"/>
        <v/>
      </c>
      <c r="W511" s="170" t="str">
        <f t="shared" si="258"/>
        <v/>
      </c>
      <c r="X511" s="170" t="str">
        <f t="shared" si="258"/>
        <v/>
      </c>
      <c r="Y511" s="170" t="str">
        <f t="shared" si="258"/>
        <v/>
      </c>
      <c r="Z511" s="170" t="str">
        <f t="shared" si="258"/>
        <v/>
      </c>
      <c r="AA511" s="170" t="str">
        <f t="shared" si="258"/>
        <v/>
      </c>
      <c r="AB511" s="170" t="str">
        <f t="shared" si="258"/>
        <v/>
      </c>
      <c r="AC511" s="170" t="str">
        <f t="shared" si="258"/>
        <v/>
      </c>
      <c r="AD511" s="170" t="str">
        <f t="shared" si="258"/>
        <v/>
      </c>
      <c r="AE511" s="170" t="str">
        <f t="shared" si="258"/>
        <v/>
      </c>
      <c r="AF511" s="170" t="str">
        <f t="shared" si="258"/>
        <v/>
      </c>
      <c r="AG511" s="170" t="str">
        <f t="shared" si="258"/>
        <v/>
      </c>
      <c r="AH511" s="170" t="str">
        <f t="shared" si="258"/>
        <v/>
      </c>
      <c r="AI511" s="170" t="str">
        <f t="shared" si="258"/>
        <v/>
      </c>
      <c r="AJ511" s="170" t="str">
        <f t="shared" si="258"/>
        <v/>
      </c>
      <c r="AK511" s="170" t="str">
        <f t="shared" si="258"/>
        <v/>
      </c>
      <c r="AL511" s="170" t="str">
        <f t="shared" si="258"/>
        <v/>
      </c>
      <c r="AM511" s="170" t="str">
        <f t="shared" si="258"/>
        <v/>
      </c>
      <c r="AN511" s="170" t="str">
        <f t="shared" ref="AN511:BG511" si="259">CONCATENATE(AN407,AN408,AN409,AN410,AN411,AN412,AN413,AN414,AN415,AN416,AN417,AN418,AN419,AN420,AN421,AN422,AN423,AN424,AN425,AN426,AN427,AN428,AN429,AN430,AN431,AN432,AN433,AN434,AN435,AN436,AN437,AN438,AN439,AN440,AN441,AN442,AN443,AN444,AN445,AN446,AN447,AN448,AN449,AN450,AN451,AN452,AN453,AN454,AN455,AN456,AN457,AN458,AN459,AN460,AN461,AN462,AN463,AN464,AN465,AN466,AN467,AN468,AN469,AN470,AN471,AN472,AN473,AN474,AN475,AN476,AN477,AN478,AN479,AN480,AN481,AN482,AN483,AN484,AN485,AN486,AN487,AN488,AN489,AN490,AN491,AN492,AN493,AN494,AN495,AN496,AN497,AN498,AN499,AN500,AN501,AN502,AN503,AN504,AN505,AN506)</f>
        <v/>
      </c>
      <c r="AO511" s="170" t="str">
        <f t="shared" si="259"/>
        <v/>
      </c>
      <c r="AP511" s="170" t="str">
        <f t="shared" si="259"/>
        <v/>
      </c>
      <c r="AQ511" s="170" t="str">
        <f t="shared" si="259"/>
        <v/>
      </c>
      <c r="AR511" s="170" t="str">
        <f t="shared" si="259"/>
        <v/>
      </c>
      <c r="AS511" s="170" t="str">
        <f t="shared" si="259"/>
        <v/>
      </c>
      <c r="AT511" s="170" t="str">
        <f t="shared" si="259"/>
        <v/>
      </c>
      <c r="AU511" s="170" t="str">
        <f t="shared" si="259"/>
        <v/>
      </c>
      <c r="AV511" s="170" t="str">
        <f t="shared" si="259"/>
        <v/>
      </c>
      <c r="AW511" s="170" t="str">
        <f t="shared" si="259"/>
        <v/>
      </c>
      <c r="AX511" s="170" t="str">
        <f t="shared" si="259"/>
        <v/>
      </c>
      <c r="AY511" s="170" t="str">
        <f t="shared" si="259"/>
        <v/>
      </c>
      <c r="AZ511" s="170" t="str">
        <f t="shared" si="259"/>
        <v/>
      </c>
      <c r="BA511" s="170" t="str">
        <f t="shared" si="259"/>
        <v/>
      </c>
      <c r="BB511" s="170" t="str">
        <f t="shared" si="259"/>
        <v/>
      </c>
      <c r="BC511" s="170" t="str">
        <f t="shared" si="259"/>
        <v/>
      </c>
      <c r="BD511" s="170" t="str">
        <f t="shared" si="259"/>
        <v/>
      </c>
      <c r="BE511" s="170" t="str">
        <f t="shared" si="259"/>
        <v/>
      </c>
      <c r="BF511" s="170" t="str">
        <f t="shared" si="259"/>
        <v/>
      </c>
      <c r="BG511" s="173" t="str">
        <f t="shared" si="259"/>
        <v/>
      </c>
      <c r="BW511" s="1250"/>
    </row>
    <row r="512" spans="1:75" ht="15.75" thickBot="1" x14ac:dyDescent="0.3">
      <c r="A512" s="1251"/>
      <c r="H512" s="198" t="str">
        <f t="shared" ref="H512:AM512" si="260">H6</f>
        <v>Man 01</v>
      </c>
      <c r="I512" s="63" t="str">
        <f t="shared" si="260"/>
        <v>Man 02</v>
      </c>
      <c r="J512" s="63" t="str">
        <f t="shared" si="260"/>
        <v>Man 03</v>
      </c>
      <c r="K512" s="63" t="str">
        <f t="shared" si="260"/>
        <v>Man 04</v>
      </c>
      <c r="L512" s="63" t="str">
        <f t="shared" si="260"/>
        <v>Man 05</v>
      </c>
      <c r="M512" s="63" t="str">
        <f t="shared" si="260"/>
        <v>Hea 01</v>
      </c>
      <c r="N512" s="63" t="str">
        <f t="shared" si="260"/>
        <v>Hea 02</v>
      </c>
      <c r="O512" s="63" t="str">
        <f t="shared" si="260"/>
        <v>Hea 03</v>
      </c>
      <c r="P512" s="63" t="str">
        <f t="shared" si="260"/>
        <v>Hea 05</v>
      </c>
      <c r="Q512" s="63" t="str">
        <f t="shared" si="260"/>
        <v>Hea 06</v>
      </c>
      <c r="R512" s="63" t="str">
        <f t="shared" si="260"/>
        <v>Hea 08</v>
      </c>
      <c r="S512" s="63" t="str">
        <f t="shared" si="260"/>
        <v>Ene 01</v>
      </c>
      <c r="T512" s="63" t="str">
        <f t="shared" si="260"/>
        <v>Ene 02</v>
      </c>
      <c r="U512" s="63" t="str">
        <f t="shared" si="260"/>
        <v>Ene 03</v>
      </c>
      <c r="V512" s="63" t="str">
        <f t="shared" si="260"/>
        <v>Ene 05</v>
      </c>
      <c r="W512" s="63" t="str">
        <f t="shared" si="260"/>
        <v>Ene 06</v>
      </c>
      <c r="X512" s="63" t="str">
        <f t="shared" si="260"/>
        <v>Ene 07</v>
      </c>
      <c r="Y512" s="63" t="str">
        <f t="shared" si="260"/>
        <v>Ene 08</v>
      </c>
      <c r="Z512" s="63" t="str">
        <f t="shared" si="260"/>
        <v>Tra 01</v>
      </c>
      <c r="AA512" s="63" t="str">
        <f t="shared" si="260"/>
        <v>Tra 02</v>
      </c>
      <c r="AB512" s="63" t="str">
        <f t="shared" si="260"/>
        <v>Wat 01</v>
      </c>
      <c r="AC512" s="63" t="str">
        <f t="shared" si="260"/>
        <v>Wat 02</v>
      </c>
      <c r="AD512" s="63" t="str">
        <f t="shared" si="260"/>
        <v>Wat 03</v>
      </c>
      <c r="AE512" s="63" t="str">
        <f t="shared" si="260"/>
        <v>Wat 04</v>
      </c>
      <c r="AF512" s="63" t="str">
        <f t="shared" si="260"/>
        <v>Mat 01</v>
      </c>
      <c r="AG512" s="63" t="str">
        <f t="shared" si="260"/>
        <v>Mat 02</v>
      </c>
      <c r="AH512" s="63" t="str">
        <f t="shared" si="260"/>
        <v>Mat 03</v>
      </c>
      <c r="AI512" s="63" t="str">
        <f t="shared" si="260"/>
        <v>Mat 05</v>
      </c>
      <c r="AJ512" s="63" t="str">
        <f t="shared" si="260"/>
        <v>Mat 06</v>
      </c>
      <c r="AK512" s="63" t="str">
        <f t="shared" si="260"/>
        <v>Mat 07</v>
      </c>
      <c r="AL512" s="63" t="str">
        <f t="shared" si="260"/>
        <v>Wst 01</v>
      </c>
      <c r="AM512" s="63" t="str">
        <f t="shared" si="260"/>
        <v>Wst 03</v>
      </c>
      <c r="AN512" s="63" t="str">
        <f t="shared" ref="AN512:BG512" si="261">AN6</f>
        <v>Wst 04</v>
      </c>
      <c r="AO512" s="63" t="str">
        <f t="shared" si="261"/>
        <v>LE 01</v>
      </c>
      <c r="AP512" s="63" t="str">
        <f t="shared" si="261"/>
        <v>LE 02</v>
      </c>
      <c r="AQ512" s="63" t="str">
        <f t="shared" si="261"/>
        <v>LE 03</v>
      </c>
      <c r="AR512" s="63" t="str">
        <f t="shared" si="261"/>
        <v>LE 04</v>
      </c>
      <c r="AS512" s="63" t="str">
        <f t="shared" si="261"/>
        <v>LE 05</v>
      </c>
      <c r="AT512" s="63" t="str">
        <f t="shared" si="261"/>
        <v>LE 06</v>
      </c>
      <c r="AU512" s="63" t="str">
        <f t="shared" si="261"/>
        <v>LE 07</v>
      </c>
      <c r="AV512" s="63" t="str">
        <f t="shared" si="261"/>
        <v>LE 08</v>
      </c>
      <c r="AW512" s="63" t="str">
        <f t="shared" si="261"/>
        <v>POL 01</v>
      </c>
      <c r="AX512" s="63" t="str">
        <f t="shared" si="261"/>
        <v>POL 02</v>
      </c>
      <c r="AY512" s="63" t="str">
        <f t="shared" si="261"/>
        <v>POL 04</v>
      </c>
      <c r="AZ512" s="63" t="str">
        <f t="shared" si="261"/>
        <v>POL 05</v>
      </c>
      <c r="BA512" s="63" t="str">
        <f t="shared" si="261"/>
        <v>Exemplary level and innovation</v>
      </c>
      <c r="BB512" s="63">
        <f t="shared" si="261"/>
        <v>0</v>
      </c>
      <c r="BC512" s="63">
        <f t="shared" si="261"/>
        <v>0</v>
      </c>
      <c r="BD512" s="63">
        <f t="shared" si="261"/>
        <v>0</v>
      </c>
      <c r="BE512" s="63">
        <f t="shared" si="261"/>
        <v>0</v>
      </c>
      <c r="BF512" s="63">
        <f t="shared" si="261"/>
        <v>0</v>
      </c>
      <c r="BG512" s="750">
        <f t="shared" si="261"/>
        <v>0</v>
      </c>
      <c r="BW512" s="1250"/>
    </row>
    <row r="513" spans="1:75" ht="15.75" thickBot="1" x14ac:dyDescent="0.3">
      <c r="A513" s="1251"/>
      <c r="H513" s="966" t="str">
        <f t="shared" ref="H513:AM513" si="262">CONCATENATE(H507,H508,H509,H510,H511)</f>
        <v xml:space="preserve">1, </v>
      </c>
      <c r="I513" s="962" t="str">
        <f t="shared" si="262"/>
        <v xml:space="preserve">2, </v>
      </c>
      <c r="J513" s="962" t="str">
        <f t="shared" si="262"/>
        <v/>
      </c>
      <c r="K513" s="962" t="str">
        <f t="shared" si="262"/>
        <v/>
      </c>
      <c r="L513" s="962" t="str">
        <f t="shared" si="262"/>
        <v/>
      </c>
      <c r="M513" s="962" t="str">
        <f t="shared" si="262"/>
        <v/>
      </c>
      <c r="N513" s="962" t="str">
        <f t="shared" si="262"/>
        <v/>
      </c>
      <c r="O513" s="962" t="str">
        <f t="shared" si="262"/>
        <v/>
      </c>
      <c r="P513" s="962" t="str">
        <f t="shared" si="262"/>
        <v/>
      </c>
      <c r="Q513" s="962" t="str">
        <f t="shared" si="262"/>
        <v/>
      </c>
      <c r="R513" s="962" t="str">
        <f t="shared" si="262"/>
        <v/>
      </c>
      <c r="S513" s="962" t="str">
        <f t="shared" si="262"/>
        <v/>
      </c>
      <c r="T513" s="962" t="str">
        <f t="shared" si="262"/>
        <v/>
      </c>
      <c r="U513" s="962" t="str">
        <f t="shared" si="262"/>
        <v/>
      </c>
      <c r="V513" s="962" t="str">
        <f t="shared" si="262"/>
        <v/>
      </c>
      <c r="W513" s="962" t="str">
        <f t="shared" si="262"/>
        <v/>
      </c>
      <c r="X513" s="962" t="str">
        <f t="shared" si="262"/>
        <v/>
      </c>
      <c r="Y513" s="962" t="str">
        <f t="shared" si="262"/>
        <v/>
      </c>
      <c r="Z513" s="962" t="str">
        <f t="shared" si="262"/>
        <v/>
      </c>
      <c r="AA513" s="962" t="str">
        <f t="shared" si="262"/>
        <v/>
      </c>
      <c r="AB513" s="962" t="str">
        <f t="shared" si="262"/>
        <v/>
      </c>
      <c r="AC513" s="962" t="str">
        <f t="shared" si="262"/>
        <v/>
      </c>
      <c r="AD513" s="962" t="str">
        <f t="shared" si="262"/>
        <v/>
      </c>
      <c r="AE513" s="962" t="str">
        <f t="shared" si="262"/>
        <v/>
      </c>
      <c r="AF513" s="962" t="str">
        <f t="shared" si="262"/>
        <v/>
      </c>
      <c r="AG513" s="962" t="str">
        <f t="shared" si="262"/>
        <v/>
      </c>
      <c r="AH513" s="962" t="str">
        <f t="shared" si="262"/>
        <v/>
      </c>
      <c r="AI513" s="962" t="str">
        <f t="shared" si="262"/>
        <v/>
      </c>
      <c r="AJ513" s="962" t="str">
        <f t="shared" si="262"/>
        <v/>
      </c>
      <c r="AK513" s="962" t="str">
        <f t="shared" si="262"/>
        <v/>
      </c>
      <c r="AL513" s="962" t="str">
        <f t="shared" si="262"/>
        <v/>
      </c>
      <c r="AM513" s="962" t="str">
        <f t="shared" si="262"/>
        <v/>
      </c>
      <c r="AN513" s="962" t="str">
        <f t="shared" ref="AN513:BG513" si="263">CONCATENATE(AN507,AN508,AN509,AN510,AN511)</f>
        <v/>
      </c>
      <c r="AO513" s="962" t="str">
        <f t="shared" si="263"/>
        <v/>
      </c>
      <c r="AP513" s="962" t="str">
        <f t="shared" si="263"/>
        <v/>
      </c>
      <c r="AQ513" s="962" t="str">
        <f t="shared" si="263"/>
        <v/>
      </c>
      <c r="AR513" s="962" t="str">
        <f t="shared" si="263"/>
        <v/>
      </c>
      <c r="AS513" s="962" t="str">
        <f t="shared" si="263"/>
        <v/>
      </c>
      <c r="AT513" s="962" t="str">
        <f t="shared" si="263"/>
        <v/>
      </c>
      <c r="AU513" s="962" t="str">
        <f t="shared" si="263"/>
        <v/>
      </c>
      <c r="AV513" s="962" t="str">
        <f t="shared" si="263"/>
        <v/>
      </c>
      <c r="AW513" s="962" t="str">
        <f t="shared" si="263"/>
        <v/>
      </c>
      <c r="AX513" s="962" t="str">
        <f t="shared" si="263"/>
        <v/>
      </c>
      <c r="AY513" s="962" t="str">
        <f t="shared" si="263"/>
        <v/>
      </c>
      <c r="AZ513" s="962" t="str">
        <f t="shared" si="263"/>
        <v/>
      </c>
      <c r="BA513" s="962" t="str">
        <f>CONCATENATE(BA507,BA508,BA509,BA510,BA511)</f>
        <v/>
      </c>
      <c r="BB513" s="962" t="str">
        <f t="shared" si="263"/>
        <v/>
      </c>
      <c r="BC513" s="962" t="str">
        <f t="shared" si="263"/>
        <v/>
      </c>
      <c r="BD513" s="962" t="str">
        <f t="shared" si="263"/>
        <v/>
      </c>
      <c r="BE513" s="962" t="str">
        <f t="shared" si="263"/>
        <v/>
      </c>
      <c r="BF513" s="962" t="str">
        <f t="shared" si="263"/>
        <v/>
      </c>
      <c r="BG513" s="1252" t="str">
        <f t="shared" si="263"/>
        <v/>
      </c>
      <c r="BW513" s="1250"/>
    </row>
    <row r="514" spans="1:75" x14ac:dyDescent="0.25">
      <c r="A514" s="1251"/>
      <c r="BW514" s="1250"/>
    </row>
    <row r="515" spans="1:75" x14ac:dyDescent="0.25">
      <c r="A515" s="1251"/>
      <c r="BW515" s="1250"/>
    </row>
    <row r="516" spans="1:75" x14ac:dyDescent="0.25">
      <c r="A516" s="1251"/>
      <c r="BW516" s="1250"/>
    </row>
    <row r="517" spans="1:75" x14ac:dyDescent="0.25">
      <c r="A517" s="1251"/>
      <c r="BW517" s="1250"/>
    </row>
    <row r="518" spans="1:75" x14ac:dyDescent="0.25">
      <c r="A518" s="1251"/>
      <c r="BW518" s="1250"/>
    </row>
    <row r="519" spans="1:75" x14ac:dyDescent="0.25">
      <c r="A519" s="1251"/>
      <c r="BW519" s="1250"/>
    </row>
    <row r="520" spans="1:75" x14ac:dyDescent="0.25">
      <c r="A520" s="1251"/>
      <c r="BW520" s="1250"/>
    </row>
    <row r="521" spans="1:75" x14ac:dyDescent="0.25">
      <c r="A521" s="1251"/>
      <c r="BW521" s="1250"/>
    </row>
    <row r="522" spans="1:75" x14ac:dyDescent="0.25">
      <c r="A522" s="1251"/>
      <c r="BW522" s="1250"/>
    </row>
    <row r="523" spans="1:75" x14ac:dyDescent="0.25">
      <c r="A523" s="1251"/>
      <c r="BW523" s="1250"/>
    </row>
    <row r="524" spans="1:75" x14ac:dyDescent="0.25">
      <c r="A524" s="1251"/>
      <c r="BW524" s="1250"/>
    </row>
    <row r="525" spans="1:75" x14ac:dyDescent="0.25">
      <c r="A525" s="1251"/>
      <c r="BW525" s="1250"/>
    </row>
    <row r="526" spans="1:75" x14ac:dyDescent="0.25">
      <c r="A526" s="1251"/>
      <c r="BW526" s="1250"/>
    </row>
    <row r="527" spans="1:75" x14ac:dyDescent="0.25">
      <c r="A527" s="1251"/>
      <c r="BW527" s="1250"/>
    </row>
    <row r="528" spans="1:75" x14ac:dyDescent="0.25">
      <c r="A528" s="1251"/>
      <c r="BW528" s="1250"/>
    </row>
    <row r="529" spans="1:75" x14ac:dyDescent="0.25">
      <c r="A529" s="1251"/>
      <c r="BW529" s="1250"/>
    </row>
    <row r="530" spans="1:75" x14ac:dyDescent="0.25">
      <c r="A530" s="1251"/>
      <c r="BW530" s="1250"/>
    </row>
    <row r="531" spans="1:75" x14ac:dyDescent="0.25">
      <c r="A531" s="1251"/>
      <c r="BW531" s="1250"/>
    </row>
    <row r="532" spans="1:75" x14ac:dyDescent="0.25">
      <c r="A532" s="1251"/>
      <c r="BW532" s="1250"/>
    </row>
    <row r="533" spans="1:75" x14ac:dyDescent="0.25">
      <c r="A533" s="1251"/>
      <c r="BW533" s="1250"/>
    </row>
    <row r="534" spans="1:75" x14ac:dyDescent="0.25">
      <c r="A534" s="1251"/>
      <c r="BW534" s="1250"/>
    </row>
    <row r="535" spans="1:75" x14ac:dyDescent="0.25">
      <c r="A535" s="1251"/>
      <c r="BW535" s="1250"/>
    </row>
    <row r="536" spans="1:75" x14ac:dyDescent="0.25">
      <c r="A536" s="1251"/>
      <c r="BW536" s="1250"/>
    </row>
    <row r="537" spans="1:75" x14ac:dyDescent="0.25">
      <c r="A537" s="1251"/>
      <c r="BW537" s="1250"/>
    </row>
    <row r="538" spans="1:75" x14ac:dyDescent="0.25">
      <c r="A538" s="1251"/>
      <c r="BW538" s="1250"/>
    </row>
    <row r="539" spans="1:75" x14ac:dyDescent="0.25">
      <c r="A539" s="1251"/>
      <c r="BW539" s="1250"/>
    </row>
    <row r="540" spans="1:75" x14ac:dyDescent="0.25">
      <c r="A540" s="1251"/>
      <c r="BW540" s="1250"/>
    </row>
    <row r="541" spans="1:75" x14ac:dyDescent="0.25">
      <c r="A541" s="1251"/>
      <c r="BW541" s="1250"/>
    </row>
    <row r="542" spans="1:75" x14ac:dyDescent="0.25">
      <c r="A542" s="1251"/>
      <c r="BW542" s="1250"/>
    </row>
    <row r="543" spans="1:75" x14ac:dyDescent="0.25">
      <c r="A543" s="1251"/>
      <c r="BW543" s="1250"/>
    </row>
    <row r="544" spans="1:75" x14ac:dyDescent="0.25">
      <c r="A544" s="1251"/>
      <c r="BW544" s="1250"/>
    </row>
    <row r="545" spans="1:75" x14ac:dyDescent="0.25">
      <c r="A545" s="1251"/>
      <c r="BW545" s="1250"/>
    </row>
    <row r="546" spans="1:75" x14ac:dyDescent="0.25">
      <c r="A546" s="1251"/>
      <c r="BW546" s="1250"/>
    </row>
    <row r="547" spans="1:75" x14ac:dyDescent="0.25">
      <c r="A547" s="1251"/>
      <c r="BW547" s="1250"/>
    </row>
    <row r="548" spans="1:75" x14ac:dyDescent="0.25">
      <c r="A548" s="1251"/>
      <c r="BW548" s="1250"/>
    </row>
    <row r="549" spans="1:75" x14ac:dyDescent="0.25">
      <c r="A549" s="1251"/>
      <c r="BW549" s="1250"/>
    </row>
    <row r="550" spans="1:75" x14ac:dyDescent="0.25">
      <c r="A550" s="1251"/>
      <c r="BW550" s="1250"/>
    </row>
    <row r="551" spans="1:75" x14ac:dyDescent="0.25">
      <c r="A551" s="1251"/>
      <c r="BW551" s="1250"/>
    </row>
    <row r="552" spans="1:75" x14ac:dyDescent="0.25">
      <c r="A552" s="1251"/>
      <c r="BW552" s="1250"/>
    </row>
    <row r="553" spans="1:75" x14ac:dyDescent="0.25">
      <c r="A553" s="1251"/>
      <c r="BW553" s="1250"/>
    </row>
    <row r="554" spans="1:75" x14ac:dyDescent="0.25">
      <c r="A554" s="1251"/>
      <c r="BW554" s="1250"/>
    </row>
    <row r="555" spans="1:75" x14ac:dyDescent="0.25">
      <c r="A555" s="1251"/>
      <c r="BW555" s="1250"/>
    </row>
    <row r="556" spans="1:75" x14ac:dyDescent="0.25">
      <c r="A556" s="1251"/>
      <c r="BW556" s="1250"/>
    </row>
    <row r="557" spans="1:75" x14ac:dyDescent="0.25">
      <c r="A557" s="1251"/>
      <c r="BW557" s="1250"/>
    </row>
    <row r="558" spans="1:75" x14ac:dyDescent="0.25">
      <c r="A558" s="1251"/>
      <c r="BW558" s="1250"/>
    </row>
    <row r="559" spans="1:75" x14ac:dyDescent="0.25">
      <c r="A559" s="1251"/>
      <c r="BW559" s="1250"/>
    </row>
    <row r="560" spans="1:75" x14ac:dyDescent="0.25">
      <c r="A560" s="642"/>
      <c r="B560" s="459"/>
      <c r="C560" s="459"/>
      <c r="D560" s="1253"/>
      <c r="E560" s="459"/>
      <c r="F560" s="459"/>
      <c r="G560" s="459"/>
      <c r="H560" s="459"/>
      <c r="I560" s="459"/>
      <c r="J560" s="459"/>
      <c r="K560" s="459"/>
      <c r="L560" s="459"/>
      <c r="M560" s="459"/>
      <c r="N560" s="459"/>
      <c r="O560" s="459"/>
      <c r="P560" s="459"/>
      <c r="Q560" s="459"/>
      <c r="R560" s="459"/>
      <c r="S560" s="459"/>
      <c r="T560" s="459"/>
      <c r="U560" s="459"/>
      <c r="V560" s="459"/>
      <c r="W560" s="459"/>
      <c r="X560" s="459"/>
      <c r="Y560" s="459"/>
      <c r="Z560" s="459"/>
      <c r="AA560" s="459"/>
      <c r="AB560" s="459"/>
      <c r="AC560" s="459"/>
      <c r="AD560" s="459"/>
      <c r="AE560" s="459"/>
      <c r="AF560" s="459"/>
      <c r="AG560" s="459"/>
      <c r="AH560" s="459"/>
      <c r="AI560" s="459"/>
      <c r="AJ560" s="459"/>
      <c r="AK560" s="459"/>
      <c r="AL560" s="459"/>
      <c r="AM560" s="459"/>
      <c r="AN560" s="459"/>
      <c r="AO560" s="459"/>
      <c r="AP560" s="459"/>
      <c r="AQ560" s="459"/>
      <c r="AR560" s="459"/>
      <c r="AS560" s="459"/>
      <c r="AT560" s="459"/>
      <c r="AU560" s="459"/>
      <c r="AV560" s="459"/>
      <c r="AW560" s="459"/>
      <c r="AX560" s="459"/>
      <c r="AY560" s="459"/>
      <c r="AZ560" s="459"/>
      <c r="BA560" s="459"/>
      <c r="BB560" s="459"/>
      <c r="BC560" s="459"/>
      <c r="BD560" s="459"/>
      <c r="BE560" s="459"/>
      <c r="BF560" s="459"/>
      <c r="BG560" s="459"/>
      <c r="BH560" s="459"/>
      <c r="BI560" s="459"/>
      <c r="BJ560" s="459"/>
      <c r="BK560" s="459"/>
      <c r="BL560" s="459"/>
      <c r="BM560" s="459"/>
      <c r="BN560" s="459"/>
      <c r="BO560" s="459"/>
      <c r="BP560" s="459"/>
      <c r="BQ560" s="459"/>
      <c r="BR560" s="459"/>
      <c r="BS560" s="459"/>
      <c r="BT560" s="459"/>
      <c r="BU560" s="459"/>
      <c r="BV560" s="459"/>
      <c r="BW560" s="1254"/>
    </row>
  </sheetData>
  <sheetProtection algorithmName="SHA-512" hashValue="Qik9qCactjU6dDyXQza3nNgnT9eMwQ/qprLcEUvS+qSXss3M00q9hKsINmppIxL7c9YGxmKJ1SiTkmwZB7weww==" saltValue="1KojNyOPsxM8nmnRtEnuyg==" spinCount="100000" sheet="1" formatCells="0" formatRows="0" selectLockedCells="1" autoFilter="0"/>
  <autoFilter ref="B6:BG506" xr:uid="{A203257E-AA1C-4B3B-89BD-A387E57BF4A0}"/>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BC1310-1A30-4989-86E5-D35C9BB3F4D3}">
          <x14:formula1>
            <xm:f>Options!$T$3:$T$48</xm:f>
          </x14:formula1>
          <xm:sqref>D7:D506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P18"/>
  <sheetViews>
    <sheetView zoomScaleNormal="100" workbookViewId="0">
      <selection activeCell="K23" sqref="K23"/>
    </sheetView>
  </sheetViews>
  <sheetFormatPr defaultColWidth="9.140625" defaultRowHeight="15" x14ac:dyDescent="0.25"/>
  <cols>
    <col min="1" max="1" width="2.7109375" style="1" customWidth="1"/>
    <col min="2" max="2" width="17" style="1" bestFit="1" customWidth="1"/>
    <col min="3" max="3" width="15.85546875" style="1" customWidth="1"/>
    <col min="4" max="16" width="9.140625" style="1"/>
    <col min="17" max="17" width="3.140625" style="1" customWidth="1"/>
    <col min="18" max="16384" width="9.140625" style="1"/>
  </cols>
  <sheetData>
    <row r="1" spans="2:16" ht="15" customHeight="1" thickBot="1" x14ac:dyDescent="0.3">
      <c r="B1" s="1609"/>
      <c r="C1" s="1610"/>
      <c r="D1" s="1610"/>
      <c r="E1" s="1610"/>
      <c r="F1" s="1610"/>
      <c r="G1" s="1610"/>
      <c r="H1" s="1610"/>
      <c r="I1" s="1610"/>
      <c r="J1" s="1610"/>
      <c r="K1" s="1610"/>
      <c r="L1" s="1610"/>
    </row>
    <row r="2" spans="2:16" ht="42" customHeight="1" x14ac:dyDescent="0.35">
      <c r="B2" s="1616" t="s">
        <v>1926</v>
      </c>
      <c r="C2" s="1617"/>
      <c r="D2" s="1617"/>
      <c r="E2" s="1617"/>
      <c r="F2" s="1617"/>
      <c r="G2" s="1617"/>
      <c r="H2" s="1617"/>
      <c r="I2" s="1617"/>
      <c r="J2" s="1617"/>
      <c r="K2" s="1617"/>
      <c r="L2" s="1617"/>
      <c r="M2" s="439"/>
      <c r="N2" s="440"/>
      <c r="O2" s="440"/>
      <c r="P2" s="475" t="str">
        <f>IF('Manuell filtrering og justering'!I2='Manuell filtrering og justering'!J2,"Bespoke","")</f>
        <v/>
      </c>
    </row>
    <row r="3" spans="2:16" ht="15" customHeight="1" x14ac:dyDescent="0.25">
      <c r="B3" s="441"/>
      <c r="C3" s="442"/>
      <c r="D3" s="442"/>
      <c r="E3" s="442"/>
      <c r="F3" s="442"/>
      <c r="G3" s="442"/>
      <c r="H3" s="442"/>
      <c r="I3" s="442"/>
      <c r="J3" s="442"/>
      <c r="K3" s="442"/>
      <c r="L3" s="442"/>
      <c r="P3" s="443"/>
    </row>
    <row r="4" spans="2:16" ht="15" customHeight="1" x14ac:dyDescent="0.25">
      <c r="B4" s="444" t="s">
        <v>2</v>
      </c>
      <c r="C4" s="444" t="s">
        <v>6</v>
      </c>
      <c r="D4" s="1618" t="s">
        <v>1927</v>
      </c>
      <c r="E4" s="1619"/>
      <c r="F4" s="1619"/>
      <c r="G4" s="1619"/>
      <c r="H4" s="1619"/>
      <c r="I4" s="1619"/>
      <c r="J4" s="1619"/>
      <c r="K4" s="1619"/>
      <c r="L4" s="1619"/>
      <c r="M4" s="1619"/>
      <c r="N4" s="1619"/>
      <c r="O4" s="1619"/>
      <c r="P4" s="1620"/>
    </row>
    <row r="5" spans="2:16" ht="87" customHeight="1" x14ac:dyDescent="0.25">
      <c r="B5" s="457" t="s">
        <v>2010</v>
      </c>
      <c r="C5" s="445">
        <v>45327</v>
      </c>
      <c r="D5" s="1613" t="s">
        <v>2011</v>
      </c>
      <c r="E5" s="1614"/>
      <c r="F5" s="1614"/>
      <c r="G5" s="1614"/>
      <c r="H5" s="1614"/>
      <c r="I5" s="1614"/>
      <c r="J5" s="1614"/>
      <c r="K5" s="1614"/>
      <c r="L5" s="1614"/>
      <c r="M5" s="1614"/>
      <c r="N5" s="1614"/>
      <c r="O5" s="1614"/>
      <c r="P5" s="1614"/>
    </row>
    <row r="6" spans="2:16" ht="18.75" customHeight="1" x14ac:dyDescent="0.25">
      <c r="B6" s="446"/>
      <c r="C6" s="447"/>
      <c r="D6" s="448"/>
      <c r="E6" s="448"/>
      <c r="F6" s="448"/>
      <c r="G6" s="448"/>
      <c r="H6" s="448"/>
      <c r="I6" s="448"/>
      <c r="J6" s="448"/>
      <c r="K6" s="448"/>
      <c r="L6" s="448"/>
      <c r="M6" s="448"/>
      <c r="N6" s="449"/>
      <c r="O6" s="449"/>
      <c r="P6" s="449"/>
    </row>
    <row r="7" spans="2:16" x14ac:dyDescent="0.25">
      <c r="B7" s="450" t="s">
        <v>3</v>
      </c>
      <c r="C7" s="451" t="s">
        <v>6</v>
      </c>
      <c r="D7" s="452" t="s">
        <v>1927</v>
      </c>
      <c r="E7" s="453"/>
      <c r="F7" s="453"/>
      <c r="G7" s="453"/>
      <c r="H7" s="453"/>
      <c r="I7" s="453"/>
      <c r="J7" s="453"/>
      <c r="K7" s="453"/>
      <c r="L7" s="453"/>
      <c r="M7" s="453"/>
      <c r="N7" s="453"/>
      <c r="O7" s="453"/>
      <c r="P7" s="454"/>
    </row>
    <row r="8" spans="2:16" ht="86.25" customHeight="1" x14ac:dyDescent="0.25">
      <c r="B8" s="457" t="s">
        <v>1965</v>
      </c>
      <c r="C8" s="445">
        <v>45048</v>
      </c>
      <c r="D8" s="1613" t="s">
        <v>1966</v>
      </c>
      <c r="E8" s="1614"/>
      <c r="F8" s="1614"/>
      <c r="G8" s="1614"/>
      <c r="H8" s="1614"/>
      <c r="I8" s="1614"/>
      <c r="J8" s="1614"/>
      <c r="K8" s="1614"/>
      <c r="L8" s="1614"/>
      <c r="M8" s="1614"/>
      <c r="N8" s="1614"/>
      <c r="O8" s="1614"/>
      <c r="P8" s="1614"/>
    </row>
    <row r="9" spans="2:16" ht="15" customHeight="1" x14ac:dyDescent="0.25">
      <c r="B9" s="457" t="s">
        <v>1914</v>
      </c>
      <c r="C9" s="445">
        <v>44855</v>
      </c>
      <c r="D9" s="1613" t="s">
        <v>1930</v>
      </c>
      <c r="E9" s="1614"/>
      <c r="F9" s="1614"/>
      <c r="G9" s="1614"/>
      <c r="H9" s="1614"/>
      <c r="I9" s="1614"/>
      <c r="J9" s="1614"/>
      <c r="K9" s="1614"/>
      <c r="L9" s="1614"/>
      <c r="M9" s="1614"/>
      <c r="N9" s="1614"/>
      <c r="O9" s="1614"/>
      <c r="P9" s="1614"/>
    </row>
    <row r="10" spans="2:16" ht="15" customHeight="1" x14ac:dyDescent="0.25">
      <c r="B10" s="457" t="s">
        <v>1881</v>
      </c>
      <c r="C10" s="445">
        <v>44797</v>
      </c>
      <c r="D10" s="1605" t="s">
        <v>1929</v>
      </c>
      <c r="E10" s="1606"/>
      <c r="F10" s="1606"/>
      <c r="G10" s="1606"/>
      <c r="H10" s="1606"/>
      <c r="I10" s="1606"/>
      <c r="J10" s="1606"/>
      <c r="K10" s="1606"/>
      <c r="L10" s="1606"/>
      <c r="M10" s="1606"/>
      <c r="N10" s="1606"/>
      <c r="O10" s="1606"/>
      <c r="P10" s="1607"/>
    </row>
    <row r="11" spans="2:16" x14ac:dyDescent="0.25">
      <c r="B11" s="457" t="s">
        <v>1706</v>
      </c>
      <c r="C11" s="445">
        <v>44729</v>
      </c>
      <c r="D11" s="1605" t="s">
        <v>1928</v>
      </c>
      <c r="E11" s="1606"/>
      <c r="F11" s="1606"/>
      <c r="G11" s="1606"/>
      <c r="H11" s="1606"/>
      <c r="I11" s="1606"/>
      <c r="J11" s="1606"/>
      <c r="K11" s="1606"/>
      <c r="L11" s="1606"/>
      <c r="M11" s="1606"/>
      <c r="N11" s="1606"/>
      <c r="O11" s="1606"/>
      <c r="P11" s="1607"/>
    </row>
    <row r="12" spans="2:16" x14ac:dyDescent="0.25">
      <c r="B12" s="457"/>
      <c r="C12" s="445"/>
      <c r="D12" s="1615"/>
      <c r="E12" s="1615"/>
      <c r="F12" s="1615"/>
      <c r="G12" s="1615"/>
      <c r="H12" s="1615"/>
      <c r="I12" s="1615"/>
      <c r="J12" s="1615"/>
      <c r="K12" s="1615"/>
      <c r="L12" s="1615"/>
      <c r="M12" s="1615"/>
      <c r="N12" s="1615"/>
      <c r="O12" s="1615"/>
      <c r="P12" s="1615"/>
    </row>
    <row r="13" spans="2:16" x14ac:dyDescent="0.25">
      <c r="B13" s="457"/>
      <c r="C13" s="445"/>
      <c r="D13" s="1611"/>
      <c r="E13" s="1612"/>
      <c r="F13" s="1612"/>
      <c r="G13" s="1612"/>
      <c r="H13" s="1612"/>
      <c r="I13" s="1612"/>
      <c r="J13" s="1612"/>
      <c r="K13" s="1612"/>
      <c r="L13" s="1612"/>
      <c r="M13" s="1612"/>
      <c r="N13" s="1612"/>
      <c r="O13" s="1612"/>
      <c r="P13" s="1612"/>
    </row>
    <row r="14" spans="2:16" x14ac:dyDescent="0.25">
      <c r="B14" s="455"/>
      <c r="C14" s="456"/>
      <c r="D14" s="1608"/>
      <c r="E14" s="1604"/>
      <c r="F14" s="1604"/>
      <c r="G14" s="1604"/>
      <c r="H14" s="1604"/>
      <c r="I14" s="1604"/>
      <c r="J14" s="1604"/>
      <c r="K14" s="1604"/>
      <c r="L14" s="1604"/>
      <c r="M14" s="1604"/>
      <c r="N14" s="1604"/>
      <c r="O14" s="1604"/>
      <c r="P14" s="1604"/>
    </row>
    <row r="15" spans="2:16" x14ac:dyDescent="0.25">
      <c r="B15" s="455"/>
      <c r="C15" s="456"/>
      <c r="D15" s="1608"/>
      <c r="E15" s="1604"/>
      <c r="F15" s="1604"/>
      <c r="G15" s="1604"/>
      <c r="H15" s="1604"/>
      <c r="I15" s="1604"/>
      <c r="J15" s="1604"/>
      <c r="K15" s="1604"/>
      <c r="L15" s="1604"/>
      <c r="M15" s="1604"/>
      <c r="N15" s="1604"/>
      <c r="O15" s="1604"/>
      <c r="P15" s="1604"/>
    </row>
    <row r="16" spans="2:16" x14ac:dyDescent="0.25">
      <c r="B16" s="455"/>
      <c r="C16" s="456"/>
      <c r="D16" s="1603"/>
      <c r="E16" s="1604"/>
      <c r="F16" s="1604"/>
      <c r="G16" s="1604"/>
      <c r="H16" s="1604"/>
      <c r="I16" s="1604"/>
      <c r="J16" s="1604"/>
      <c r="K16" s="1604"/>
      <c r="L16" s="1604"/>
      <c r="M16" s="1604"/>
      <c r="N16" s="1604"/>
      <c r="O16" s="1604"/>
      <c r="P16" s="1604"/>
    </row>
    <row r="17" spans="2:16" ht="13.5" customHeight="1" x14ac:dyDescent="0.25">
      <c r="B17" s="455"/>
      <c r="C17" s="456"/>
      <c r="D17" s="1603"/>
      <c r="E17" s="1604"/>
      <c r="F17" s="1604"/>
      <c r="G17" s="1604"/>
      <c r="H17" s="1604"/>
      <c r="I17" s="1604"/>
      <c r="J17" s="1604"/>
      <c r="K17" s="1604"/>
      <c r="L17" s="1604"/>
      <c r="M17" s="1604"/>
      <c r="N17" s="1604"/>
      <c r="O17" s="1604"/>
      <c r="P17" s="1604"/>
    </row>
    <row r="18" spans="2:16" x14ac:dyDescent="0.25">
      <c r="B18" s="455"/>
      <c r="C18" s="456"/>
      <c r="D18" s="1603"/>
      <c r="E18" s="1604"/>
      <c r="F18" s="1604"/>
      <c r="G18" s="1604"/>
      <c r="H18" s="1604"/>
      <c r="I18" s="1604"/>
      <c r="J18" s="1604"/>
      <c r="K18" s="1604"/>
      <c r="L18" s="1604"/>
      <c r="M18" s="1604"/>
      <c r="N18" s="1604"/>
      <c r="O18" s="1604"/>
      <c r="P18" s="1604"/>
    </row>
  </sheetData>
  <sheetProtection algorithmName="SHA-512" hashValue="D3ljrQpiM4vonleU4BydvW00jgqjHwAIPN82P4NY8JZ/voKFZDPKLP0erjoHW2tiSV3IPAANYID4wUdkTazVdw==" saltValue="3QXhbj90SKDJFx8wr2MmEg==" spinCount="100000" sheet="1" objects="1" scenarios="1"/>
  <mergeCells count="15">
    <mergeCell ref="B1:L1"/>
    <mergeCell ref="D13:P13"/>
    <mergeCell ref="D5:P5"/>
    <mergeCell ref="D12:P12"/>
    <mergeCell ref="B2:L2"/>
    <mergeCell ref="D4:P4"/>
    <mergeCell ref="D10:P10"/>
    <mergeCell ref="D9:P9"/>
    <mergeCell ref="D8:P8"/>
    <mergeCell ref="D16:P16"/>
    <mergeCell ref="D17:P17"/>
    <mergeCell ref="D18:P18"/>
    <mergeCell ref="D11:P11"/>
    <mergeCell ref="D15:P15"/>
    <mergeCell ref="D14:P14"/>
  </mergeCells>
  <phoneticPr fontId="21" type="noConversion"/>
  <pageMargins left="0.70866141732283472" right="0.70866141732283472" top="0.74803149606299213" bottom="0.74803149606299213" header="0.31496062992125984" footer="0.31496062992125984"/>
  <pageSetup paperSize="9" scale="8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J28" sqref="J28"/>
    </sheetView>
  </sheetViews>
  <sheetFormatPr defaultColWidth="8.85546875" defaultRowHeight="15" x14ac:dyDescent="0.25"/>
  <cols>
    <col min="2" max="2" width="9.140625"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H9" sqref="H9:I9"/>
    </sheetView>
  </sheetViews>
  <sheetFormatPr defaultColWidth="8.8554687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H9" sqref="H9:I9"/>
    </sheetView>
  </sheetViews>
  <sheetFormatPr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51A9-6065-465B-B383-3FD78A284103}">
  <dimension ref="A1:I137"/>
  <sheetViews>
    <sheetView topLeftCell="A106" zoomScale="115" zoomScaleNormal="115" workbookViewId="0">
      <selection activeCell="C137" sqref="C137"/>
    </sheetView>
  </sheetViews>
  <sheetFormatPr defaultRowHeight="15" x14ac:dyDescent="0.25"/>
  <cols>
    <col min="3" max="3" width="109.42578125" bestFit="1" customWidth="1"/>
  </cols>
  <sheetData>
    <row r="1" spans="1:5" x14ac:dyDescent="0.25">
      <c r="D1" t="s">
        <v>1726</v>
      </c>
    </row>
    <row r="2" spans="1:5" x14ac:dyDescent="0.25">
      <c r="A2" s="62" t="s">
        <v>1729</v>
      </c>
      <c r="B2" s="1428">
        <v>44789</v>
      </c>
      <c r="C2" s="61" t="s">
        <v>1724</v>
      </c>
      <c r="D2" s="61" t="s">
        <v>1727</v>
      </c>
      <c r="E2" s="43"/>
    </row>
    <row r="3" spans="1:5" x14ac:dyDescent="0.25">
      <c r="B3" s="1428">
        <v>44796</v>
      </c>
      <c r="C3" s="61" t="s">
        <v>1882</v>
      </c>
      <c r="D3" s="43"/>
      <c r="E3" s="43"/>
    </row>
    <row r="4" spans="1:5" x14ac:dyDescent="0.25">
      <c r="B4" s="1428">
        <v>44796</v>
      </c>
      <c r="C4" s="61" t="s">
        <v>1883</v>
      </c>
      <c r="D4" s="43"/>
      <c r="E4" s="43"/>
    </row>
    <row r="5" spans="1:5" x14ac:dyDescent="0.25">
      <c r="B5" s="1428">
        <v>44796</v>
      </c>
      <c r="C5" s="61" t="s">
        <v>1884</v>
      </c>
      <c r="D5" s="43"/>
      <c r="E5" s="43"/>
    </row>
    <row r="6" spans="1:5" x14ac:dyDescent="0.25">
      <c r="B6" s="1428">
        <v>44796</v>
      </c>
      <c r="C6" s="61" t="s">
        <v>1885</v>
      </c>
      <c r="D6" s="43"/>
      <c r="E6" s="43"/>
    </row>
    <row r="7" spans="1:5" ht="60" x14ac:dyDescent="0.25">
      <c r="B7" s="1428">
        <v>44805</v>
      </c>
      <c r="C7" s="1429" t="s">
        <v>1886</v>
      </c>
      <c r="D7" s="43"/>
      <c r="E7" s="43"/>
    </row>
    <row r="8" spans="1:5" x14ac:dyDescent="0.25">
      <c r="B8" s="1428">
        <v>44805</v>
      </c>
      <c r="C8" s="61" t="s">
        <v>1887</v>
      </c>
      <c r="D8" s="43"/>
      <c r="E8" s="43"/>
    </row>
    <row r="9" spans="1:5" x14ac:dyDescent="0.25">
      <c r="B9" s="1428">
        <v>44805</v>
      </c>
      <c r="C9" s="61" t="s">
        <v>1888</v>
      </c>
      <c r="D9" s="43"/>
      <c r="E9" s="43"/>
    </row>
    <row r="10" spans="1:5" x14ac:dyDescent="0.25">
      <c r="B10" s="1428">
        <v>44805</v>
      </c>
      <c r="C10" s="61" t="s">
        <v>1889</v>
      </c>
      <c r="D10" s="43"/>
      <c r="E10" s="43"/>
    </row>
    <row r="11" spans="1:5" x14ac:dyDescent="0.25">
      <c r="B11" s="1428">
        <v>44805</v>
      </c>
      <c r="C11" s="61" t="s">
        <v>1890</v>
      </c>
      <c r="D11" s="43"/>
      <c r="E11" s="43"/>
    </row>
    <row r="12" spans="1:5" x14ac:dyDescent="0.25">
      <c r="B12" s="1428">
        <v>44805</v>
      </c>
      <c r="C12" s="61" t="s">
        <v>1891</v>
      </c>
      <c r="D12" s="43"/>
      <c r="E12" s="43"/>
    </row>
    <row r="13" spans="1:5" x14ac:dyDescent="0.25">
      <c r="B13" s="43"/>
      <c r="C13" s="43"/>
      <c r="D13" s="43"/>
      <c r="E13" s="43"/>
    </row>
    <row r="14" spans="1:5" x14ac:dyDescent="0.25">
      <c r="B14" s="1437">
        <v>44853</v>
      </c>
      <c r="C14" s="43" t="s">
        <v>1907</v>
      </c>
      <c r="D14" s="43"/>
      <c r="E14" s="43"/>
    </row>
    <row r="15" spans="1:5" x14ac:dyDescent="0.25">
      <c r="B15" s="43"/>
      <c r="C15" s="43" t="s">
        <v>1908</v>
      </c>
      <c r="D15" s="43"/>
      <c r="E15" s="43"/>
    </row>
    <row r="16" spans="1:5" x14ac:dyDescent="0.25">
      <c r="B16" s="43"/>
      <c r="C16" s="43" t="s">
        <v>1913</v>
      </c>
      <c r="D16" s="43"/>
      <c r="E16" s="43"/>
    </row>
    <row r="17" spans="1:9" x14ac:dyDescent="0.25">
      <c r="A17" s="62" t="s">
        <v>1730</v>
      </c>
      <c r="B17" s="1428">
        <v>44789</v>
      </c>
      <c r="C17" s="61" t="s">
        <v>1731</v>
      </c>
      <c r="D17" s="61" t="s">
        <v>1728</v>
      </c>
      <c r="E17" s="43"/>
    </row>
    <row r="18" spans="1:9" x14ac:dyDescent="0.25">
      <c r="B18" s="43"/>
      <c r="C18" s="43"/>
      <c r="D18" s="43"/>
      <c r="E18" s="43"/>
    </row>
    <row r="19" spans="1:9" x14ac:dyDescent="0.25">
      <c r="B19" s="43"/>
      <c r="C19" s="43"/>
      <c r="D19" s="43"/>
      <c r="E19" s="43"/>
    </row>
    <row r="27" spans="1:9" x14ac:dyDescent="0.25">
      <c r="C27" s="1448" t="s">
        <v>1802</v>
      </c>
    </row>
    <row r="28" spans="1:9" x14ac:dyDescent="0.25">
      <c r="C28" s="1241" t="s">
        <v>1433</v>
      </c>
    </row>
    <row r="30" spans="1:9" x14ac:dyDescent="0.25">
      <c r="C30" s="62" t="s">
        <v>1813</v>
      </c>
      <c r="D30" t="s">
        <v>1880</v>
      </c>
    </row>
    <row r="31" spans="1:9" x14ac:dyDescent="0.25">
      <c r="C31" s="62" t="s">
        <v>1830</v>
      </c>
      <c r="I31">
        <f>AD_GIA</f>
        <v>0</v>
      </c>
    </row>
    <row r="32" spans="1:9" x14ac:dyDescent="0.25">
      <c r="I32">
        <f>AD_GIA</f>
        <v>0</v>
      </c>
    </row>
    <row r="33" spans="2:3" x14ac:dyDescent="0.25">
      <c r="C33" t="s">
        <v>1831</v>
      </c>
    </row>
    <row r="34" spans="2:3" x14ac:dyDescent="0.25">
      <c r="C34" t="s">
        <v>1832</v>
      </c>
    </row>
    <row r="35" spans="2:3" x14ac:dyDescent="0.25">
      <c r="C35" t="s">
        <v>1834</v>
      </c>
    </row>
    <row r="37" spans="2:3" x14ac:dyDescent="0.25">
      <c r="C37" t="s">
        <v>1868</v>
      </c>
    </row>
    <row r="38" spans="2:3" x14ac:dyDescent="0.25">
      <c r="C38" s="62" t="s">
        <v>1010</v>
      </c>
    </row>
    <row r="41" spans="2:3" x14ac:dyDescent="0.25">
      <c r="C41" s="1386"/>
    </row>
    <row r="42" spans="2:3" x14ac:dyDescent="0.25">
      <c r="C42" s="1386"/>
    </row>
    <row r="43" spans="2:3" x14ac:dyDescent="0.25">
      <c r="B43" s="121" t="s">
        <v>1947</v>
      </c>
      <c r="C43" s="121">
        <v>120423</v>
      </c>
    </row>
    <row r="44" spans="2:3" x14ac:dyDescent="0.25">
      <c r="B44" s="62" t="s">
        <v>129</v>
      </c>
      <c r="C44" s="121" t="s">
        <v>1931</v>
      </c>
    </row>
    <row r="45" spans="2:3" x14ac:dyDescent="0.25">
      <c r="C45" s="192" t="s">
        <v>1932</v>
      </c>
    </row>
    <row r="46" spans="2:3" x14ac:dyDescent="0.25">
      <c r="C46" s="192" t="s">
        <v>1933</v>
      </c>
    </row>
    <row r="48" spans="2:3" x14ac:dyDescent="0.25">
      <c r="B48" s="62" t="s">
        <v>111</v>
      </c>
      <c r="C48" t="s">
        <v>1934</v>
      </c>
    </row>
    <row r="49" spans="2:3" x14ac:dyDescent="0.25">
      <c r="C49" t="s">
        <v>1935</v>
      </c>
    </row>
    <row r="52" spans="2:3" x14ac:dyDescent="0.25">
      <c r="B52" s="490" t="s">
        <v>112</v>
      </c>
      <c r="C52" s="1502" t="s">
        <v>1936</v>
      </c>
    </row>
    <row r="53" spans="2:3" x14ac:dyDescent="0.25">
      <c r="B53" t="s">
        <v>1949</v>
      </c>
      <c r="C53" t="s">
        <v>1937</v>
      </c>
    </row>
    <row r="55" spans="2:3" ht="15.75" x14ac:dyDescent="0.25">
      <c r="B55" s="62" t="s">
        <v>112</v>
      </c>
      <c r="C55" s="1504" t="s">
        <v>1948</v>
      </c>
    </row>
    <row r="56" spans="2:3" x14ac:dyDescent="0.25">
      <c r="B56" t="s">
        <v>1950</v>
      </c>
    </row>
    <row r="58" spans="2:3" x14ac:dyDescent="0.25">
      <c r="B58" s="62" t="s">
        <v>116</v>
      </c>
      <c r="C58" t="s">
        <v>1951</v>
      </c>
    </row>
    <row r="63" spans="2:3" x14ac:dyDescent="0.25">
      <c r="B63" s="62" t="s">
        <v>163</v>
      </c>
      <c r="C63" s="62" t="s">
        <v>1938</v>
      </c>
    </row>
    <row r="64" spans="2:3" x14ac:dyDescent="0.25">
      <c r="B64" s="62"/>
      <c r="C64" s="1503" t="s">
        <v>1939</v>
      </c>
    </row>
    <row r="67" spans="2:3" x14ac:dyDescent="0.25">
      <c r="B67" s="62" t="s">
        <v>171</v>
      </c>
      <c r="C67" t="s">
        <v>1940</v>
      </c>
    </row>
    <row r="68" spans="2:3" x14ac:dyDescent="0.25">
      <c r="C68" s="62" t="s">
        <v>1941</v>
      </c>
    </row>
    <row r="69" spans="2:3" x14ac:dyDescent="0.25">
      <c r="C69" s="62" t="s">
        <v>1942</v>
      </c>
    </row>
    <row r="72" spans="2:3" x14ac:dyDescent="0.25">
      <c r="B72" s="62" t="s">
        <v>458</v>
      </c>
      <c r="C72" t="s">
        <v>1956</v>
      </c>
    </row>
    <row r="73" spans="2:3" x14ac:dyDescent="0.25">
      <c r="C73" t="s">
        <v>1955</v>
      </c>
    </row>
    <row r="78" spans="2:3" x14ac:dyDescent="0.25">
      <c r="B78" s="62" t="s">
        <v>171</v>
      </c>
      <c r="C78" t="s">
        <v>1943</v>
      </c>
    </row>
    <row r="81" spans="2:3" x14ac:dyDescent="0.25">
      <c r="B81" s="490"/>
      <c r="C81" s="1506" t="s">
        <v>1944</v>
      </c>
    </row>
    <row r="82" spans="2:3" x14ac:dyDescent="0.25">
      <c r="B82" s="490"/>
      <c r="C82" s="1507" t="s">
        <v>1945</v>
      </c>
    </row>
    <row r="83" spans="2:3" x14ac:dyDescent="0.25">
      <c r="B83" s="490"/>
      <c r="C83" s="490"/>
    </row>
    <row r="84" spans="2:3" x14ac:dyDescent="0.25">
      <c r="B84" s="490"/>
      <c r="C84" s="490" t="s">
        <v>1946</v>
      </c>
    </row>
    <row r="87" spans="2:3" x14ac:dyDescent="0.25">
      <c r="B87" s="62" t="s">
        <v>89</v>
      </c>
      <c r="C87" t="s">
        <v>1822</v>
      </c>
    </row>
    <row r="88" spans="2:3" x14ac:dyDescent="0.25">
      <c r="C88" t="s">
        <v>1957</v>
      </c>
    </row>
    <row r="91" spans="2:3" x14ac:dyDescent="0.25">
      <c r="B91" s="62" t="s">
        <v>165</v>
      </c>
      <c r="C91" t="s">
        <v>1962</v>
      </c>
    </row>
    <row r="93" spans="2:3" x14ac:dyDescent="0.25">
      <c r="C93" t="s">
        <v>1963</v>
      </c>
    </row>
    <row r="94" spans="2:3" x14ac:dyDescent="0.25">
      <c r="C94" t="s">
        <v>1964</v>
      </c>
    </row>
    <row r="96" spans="2:3" x14ac:dyDescent="0.25">
      <c r="C96" t="s">
        <v>1960</v>
      </c>
    </row>
    <row r="97" spans="2:3" x14ac:dyDescent="0.25">
      <c r="C97" t="s">
        <v>1961</v>
      </c>
    </row>
    <row r="99" spans="2:3" x14ac:dyDescent="0.25">
      <c r="B99" s="62" t="s">
        <v>111</v>
      </c>
      <c r="C99" t="s">
        <v>1967</v>
      </c>
    </row>
    <row r="100" spans="2:3" x14ac:dyDescent="0.25">
      <c r="B100" t="s">
        <v>1968</v>
      </c>
    </row>
    <row r="104" spans="2:3" x14ac:dyDescent="0.25">
      <c r="B104" t="s">
        <v>1972</v>
      </c>
    </row>
    <row r="105" spans="2:3" ht="75" x14ac:dyDescent="0.25">
      <c r="C105" s="1508" t="s">
        <v>1973</v>
      </c>
    </row>
    <row r="107" spans="2:3" x14ac:dyDescent="0.25">
      <c r="C107" s="1512" t="s">
        <v>1974</v>
      </c>
    </row>
    <row r="108" spans="2:3" x14ac:dyDescent="0.25">
      <c r="C108" s="1512" t="s">
        <v>1975</v>
      </c>
    </row>
    <row r="109" spans="2:3" x14ac:dyDescent="0.25">
      <c r="C109" s="1512" t="s">
        <v>1976</v>
      </c>
    </row>
    <row r="110" spans="2:3" x14ac:dyDescent="0.25">
      <c r="C110" s="1512" t="s">
        <v>1977</v>
      </c>
    </row>
    <row r="113" spans="3:3" x14ac:dyDescent="0.25">
      <c r="C113" s="1511" t="s">
        <v>1990</v>
      </c>
    </row>
    <row r="114" spans="3:3" x14ac:dyDescent="0.25">
      <c r="C114" s="1511" t="s">
        <v>1991</v>
      </c>
    </row>
    <row r="115" spans="3:3" x14ac:dyDescent="0.25">
      <c r="C115" s="1510" t="s">
        <v>1992</v>
      </c>
    </row>
    <row r="117" spans="3:3" x14ac:dyDescent="0.25">
      <c r="C117" s="1512" t="s">
        <v>1993</v>
      </c>
    </row>
    <row r="118" spans="3:3" x14ac:dyDescent="0.25">
      <c r="C118" s="1513" t="s">
        <v>1994</v>
      </c>
    </row>
    <row r="119" spans="3:3" x14ac:dyDescent="0.25">
      <c r="C119" s="62" t="s">
        <v>1995</v>
      </c>
    </row>
    <row r="127" spans="3:3" x14ac:dyDescent="0.25">
      <c r="C127" s="1515" t="s">
        <v>1997</v>
      </c>
    </row>
    <row r="128" spans="3:3" x14ac:dyDescent="0.25">
      <c r="C128" s="1516" t="s">
        <v>1998</v>
      </c>
    </row>
    <row r="129" spans="3:3" x14ac:dyDescent="0.25">
      <c r="C129" s="1516" t="s">
        <v>1999</v>
      </c>
    </row>
    <row r="130" spans="3:3" x14ac:dyDescent="0.25">
      <c r="C130" s="1516" t="s">
        <v>2000</v>
      </c>
    </row>
    <row r="131" spans="3:3" x14ac:dyDescent="0.25">
      <c r="C131" s="1516" t="s">
        <v>2001</v>
      </c>
    </row>
    <row r="132" spans="3:3" x14ac:dyDescent="0.25">
      <c r="C132" s="1516" t="s">
        <v>2002</v>
      </c>
    </row>
    <row r="133" spans="3:3" x14ac:dyDescent="0.25">
      <c r="C133" s="1517" t="s">
        <v>2003</v>
      </c>
    </row>
    <row r="134" spans="3:3" x14ac:dyDescent="0.25">
      <c r="C134" s="1517" t="s">
        <v>2004</v>
      </c>
    </row>
    <row r="135" spans="3:3" x14ac:dyDescent="0.25">
      <c r="C135" s="1517" t="s">
        <v>2005</v>
      </c>
    </row>
    <row r="137" spans="3:3" ht="17.25" x14ac:dyDescent="0.25">
      <c r="C137" s="1514"/>
    </row>
  </sheetData>
  <sheetProtection algorithmName="SHA-512" hashValue="Eyor3tvFnkEEd4fGqTFa+0XJaIBXyPGd4/C/7MwVJOc7WN+hTgeaBAeC0oRIsD/Y50MVpTID5eRFYfGg1fCcQA==" saltValue="nB04x/9SguOD2qeI50TwxQ==" spinCount="100000" sheet="1" objects="1" scenario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M190"/>
  <sheetViews>
    <sheetView showGridLines="0" zoomScaleNormal="100" zoomScalePageLayoutView="90" workbookViewId="0">
      <pane ySplit="3" topLeftCell="A4" activePane="bottomLeft" state="frozen"/>
      <selection activeCell="H9" sqref="H9:I9"/>
      <selection pane="bottomLeft" activeCell="F15" sqref="F15"/>
    </sheetView>
  </sheetViews>
  <sheetFormatPr defaultColWidth="9.140625" defaultRowHeight="15" x14ac:dyDescent="0.25"/>
  <cols>
    <col min="1" max="1" width="2.7109375" style="14" customWidth="1"/>
    <col min="2" max="2" width="37.85546875" style="14" customWidth="1"/>
    <col min="3" max="3" width="59.85546875" style="14" customWidth="1"/>
    <col min="4" max="4" width="5.5703125" style="14" customWidth="1"/>
    <col min="5" max="5" width="102.140625" style="14" customWidth="1"/>
    <col min="6" max="6" width="56.5703125" style="14" customWidth="1"/>
    <col min="7" max="8" width="7.28515625" style="14" hidden="1" customWidth="1"/>
    <col min="9" max="9" width="12.140625" style="14" hidden="1" customWidth="1"/>
    <col min="10" max="12" width="17" style="14" hidden="1" customWidth="1"/>
    <col min="13" max="13" width="30.85546875" style="14" hidden="1" customWidth="1"/>
    <col min="14" max="14" width="16.5703125" style="14" hidden="1" customWidth="1"/>
    <col min="15" max="15" width="34.5703125" style="14" hidden="1" customWidth="1"/>
    <col min="16" max="16" width="6.140625" style="14" hidden="1" customWidth="1"/>
    <col min="17" max="17" width="74.7109375" style="14" hidden="1" customWidth="1"/>
    <col min="18" max="18" width="30.28515625" style="14" hidden="1" customWidth="1"/>
    <col min="19" max="19" width="41.140625" style="14" hidden="1" customWidth="1"/>
    <col min="20" max="20" width="32" style="14" hidden="1" customWidth="1"/>
    <col min="21" max="30" width="31.140625" style="14" hidden="1" customWidth="1"/>
    <col min="31" max="31" width="11.42578125" style="14" hidden="1" customWidth="1"/>
    <col min="32" max="39" width="9.140625" style="14" hidden="1" customWidth="1"/>
    <col min="40" max="120" width="9.140625" style="14" customWidth="1"/>
    <col min="121" max="16384" width="9.140625" style="14"/>
  </cols>
  <sheetData>
    <row r="1" spans="1:32" s="1" customFormat="1" x14ac:dyDescent="0.25">
      <c r="B1" s="321"/>
      <c r="C1" s="321"/>
      <c r="G1" s="14"/>
      <c r="H1" s="14"/>
      <c r="I1" s="14"/>
      <c r="O1" s="14"/>
      <c r="P1" s="14"/>
      <c r="Q1" s="14"/>
      <c r="R1" s="14"/>
      <c r="S1" s="14"/>
      <c r="T1" s="14"/>
      <c r="U1" s="14"/>
      <c r="V1" s="14"/>
      <c r="W1" s="14"/>
      <c r="X1" s="14"/>
      <c r="Y1" s="14"/>
      <c r="Z1" s="14"/>
      <c r="AA1" s="14"/>
      <c r="AB1" s="14"/>
      <c r="AC1" s="14"/>
      <c r="AD1" s="14"/>
    </row>
    <row r="2" spans="1:32" s="1" customFormat="1" ht="42" customHeight="1" x14ac:dyDescent="0.25">
      <c r="B2" s="392" t="s">
        <v>1918</v>
      </c>
      <c r="C2" s="393"/>
      <c r="D2" s="393"/>
      <c r="E2" s="393"/>
      <c r="F2" s="477" t="str">
        <f>IF('Manuell filtrering og justering'!I2='Manuell filtrering og justering'!J2,"Bespoke","")</f>
        <v/>
      </c>
      <c r="G2" s="14"/>
      <c r="H2" s="14"/>
      <c r="I2" s="14"/>
      <c r="O2" s="14"/>
      <c r="P2" s="14"/>
      <c r="Q2" s="14"/>
      <c r="R2" s="14"/>
      <c r="S2" s="14"/>
      <c r="T2" s="14"/>
      <c r="U2" s="14"/>
      <c r="V2" s="14"/>
      <c r="W2" s="14"/>
      <c r="X2" s="14"/>
      <c r="Y2" s="14"/>
      <c r="Z2" s="14"/>
      <c r="AA2" s="14"/>
      <c r="AB2" s="14"/>
      <c r="AC2" s="14"/>
      <c r="AD2" s="14"/>
    </row>
    <row r="3" spans="1:32" s="1" customFormat="1" x14ac:dyDescent="0.25">
      <c r="B3" s="394"/>
      <c r="C3" s="394"/>
      <c r="F3" s="395"/>
      <c r="G3" s="14"/>
      <c r="H3" s="14"/>
      <c r="I3" s="14"/>
      <c r="O3" s="14"/>
      <c r="P3" s="14"/>
      <c r="Q3" s="14"/>
      <c r="R3" s="40"/>
      <c r="S3" s="40"/>
      <c r="T3" s="40"/>
      <c r="U3" s="40"/>
      <c r="V3" s="40"/>
      <c r="W3" s="40"/>
      <c r="X3" s="40"/>
      <c r="Y3" s="40"/>
      <c r="Z3" s="40"/>
      <c r="AA3" s="40"/>
      <c r="AB3" s="40"/>
      <c r="AC3" s="40"/>
      <c r="AD3" s="40"/>
      <c r="AE3" s="40"/>
    </row>
    <row r="4" spans="1:32" s="1" customFormat="1" ht="18.75" x14ac:dyDescent="0.3">
      <c r="A4" s="58">
        <f>SUM(A5:A33)</f>
        <v>7</v>
      </c>
      <c r="B4" s="396" t="s">
        <v>43</v>
      </c>
      <c r="C4" s="1372" t="str">
        <f>IF(A4=0,"","* Mandatory field")</f>
        <v>* Mandatory field</v>
      </c>
      <c r="E4" s="396" t="s">
        <v>18</v>
      </c>
      <c r="F4" s="396"/>
      <c r="G4" s="14"/>
      <c r="H4" s="14"/>
      <c r="I4" s="14"/>
      <c r="L4" s="10"/>
      <c r="M4" s="10"/>
      <c r="N4" s="10"/>
      <c r="O4" s="14"/>
      <c r="P4" s="14"/>
      <c r="Q4" s="14"/>
      <c r="R4" s="14"/>
      <c r="S4" s="14"/>
      <c r="T4" s="14"/>
      <c r="U4" s="14"/>
      <c r="V4" s="14"/>
      <c r="W4" s="14"/>
      <c r="X4" s="14"/>
      <c r="Y4" s="14"/>
      <c r="Z4" s="14"/>
      <c r="AA4" s="14"/>
      <c r="AB4" s="14"/>
      <c r="AC4" s="14"/>
      <c r="AD4" s="14"/>
    </row>
    <row r="5" spans="1:32" s="1" customFormat="1" ht="15.75" x14ac:dyDescent="0.25">
      <c r="A5" s="58">
        <f>IF(C5="",1,0)</f>
        <v>1</v>
      </c>
      <c r="B5" s="397" t="s">
        <v>1732</v>
      </c>
      <c r="C5" s="1371"/>
      <c r="D5" s="14"/>
      <c r="E5" s="399" t="s">
        <v>47</v>
      </c>
      <c r="F5" s="398" t="s">
        <v>27</v>
      </c>
      <c r="G5" s="14"/>
      <c r="H5" s="14"/>
      <c r="I5" s="14"/>
      <c r="J5" s="14"/>
      <c r="K5" s="14"/>
      <c r="L5" s="85" t="str">
        <f>IF('Manuell filtrering og justering'!I2='Manuell filtrering og justering'!J2,'Manuell filtrering og justering'!H2,M6)</f>
        <v>Industrial</v>
      </c>
      <c r="M5" t="s">
        <v>27</v>
      </c>
      <c r="N5" s="10"/>
      <c r="O5" s="85" t="str">
        <f t="shared" ref="O5:O13" si="0">IF(HLOOKUP(ADBT0,$R$5:$AE$14,AF6,FALSE)=0,"",HLOOKUP(ADBT0,$R$5:$AE$14,AF6,FALSE))</f>
        <v>General office buildings</v>
      </c>
      <c r="P5" s="14"/>
      <c r="Q5" s="85" t="s">
        <v>38</v>
      </c>
      <c r="R5" s="83" t="s">
        <v>28</v>
      </c>
      <c r="S5" s="83" t="s">
        <v>27</v>
      </c>
      <c r="T5" s="83" t="s">
        <v>29</v>
      </c>
      <c r="U5" s="83" t="s">
        <v>30</v>
      </c>
      <c r="V5" s="83" t="s">
        <v>9</v>
      </c>
      <c r="W5" s="83" t="s">
        <v>462</v>
      </c>
      <c r="X5" s="83" t="s">
        <v>463</v>
      </c>
      <c r="Y5" s="83" t="s">
        <v>464</v>
      </c>
      <c r="Z5" s="83" t="s">
        <v>465</v>
      </c>
      <c r="AA5" s="83" t="s">
        <v>466</v>
      </c>
      <c r="AB5" s="83" t="s">
        <v>467</v>
      </c>
      <c r="AC5" s="83" t="s">
        <v>468</v>
      </c>
      <c r="AD5" s="897" t="s">
        <v>978</v>
      </c>
      <c r="AE5" s="83" t="s">
        <v>317</v>
      </c>
      <c r="AF5" s="1">
        <v>1</v>
      </c>
    </row>
    <row r="6" spans="1:32" s="1" customFormat="1" ht="15.75" x14ac:dyDescent="0.25">
      <c r="A6" s="58">
        <f t="shared" ref="A6:A16" si="1">IF(C6="",1,0)</f>
        <v>1</v>
      </c>
      <c r="B6" s="400" t="s">
        <v>1733</v>
      </c>
      <c r="C6" s="458"/>
      <c r="D6" s="14"/>
      <c r="E6" s="401" t="s">
        <v>20</v>
      </c>
      <c r="F6" s="402" t="s">
        <v>469</v>
      </c>
      <c r="G6" s="14"/>
      <c r="H6" s="14"/>
      <c r="I6" s="14"/>
      <c r="J6" s="14"/>
      <c r="K6" s="14"/>
      <c r="L6" s="85" t="str">
        <f>IF('Manuell filtrering og justering'!I2='Manuell filtrering og justering'!J2,"",M5)</f>
        <v>Office</v>
      </c>
      <c r="M6" t="s">
        <v>28</v>
      </c>
      <c r="N6" s="10"/>
      <c r="O6" s="85" t="str">
        <f t="shared" si="0"/>
        <v>Offices with research and development areas (i.e. category 1 labs only)</v>
      </c>
      <c r="P6" s="14"/>
      <c r="Q6" s="14"/>
      <c r="R6" s="14" t="s">
        <v>471</v>
      </c>
      <c r="S6" s="14" t="s">
        <v>469</v>
      </c>
      <c r="T6" s="14" t="s">
        <v>473</v>
      </c>
      <c r="U6" s="1" t="s">
        <v>477</v>
      </c>
      <c r="V6" s="1" t="s">
        <v>308</v>
      </c>
      <c r="W6" s="1" t="s">
        <v>481</v>
      </c>
      <c r="X6" s="1" t="s">
        <v>486</v>
      </c>
      <c r="Y6" s="1" t="s">
        <v>491</v>
      </c>
      <c r="Z6" s="1" t="s">
        <v>499</v>
      </c>
      <c r="AA6" s="1" t="s">
        <v>505</v>
      </c>
      <c r="AB6" s="1" t="s">
        <v>508</v>
      </c>
      <c r="AC6" s="1" t="s">
        <v>512</v>
      </c>
      <c r="AD6" s="1" t="s">
        <v>979</v>
      </c>
      <c r="AE6" s="14" t="s">
        <v>317</v>
      </c>
      <c r="AF6" s="1">
        <v>2</v>
      </c>
    </row>
    <row r="7" spans="1:32" s="1" customFormat="1" ht="15.75" x14ac:dyDescent="0.25">
      <c r="A7" s="58"/>
      <c r="B7" s="400" t="s">
        <v>16</v>
      </c>
      <c r="C7" s="458"/>
      <c r="D7" s="14"/>
      <c r="E7" s="401" t="s">
        <v>21</v>
      </c>
      <c r="F7" s="1519" t="s">
        <v>32</v>
      </c>
      <c r="G7" s="14"/>
      <c r="H7" s="14"/>
      <c r="I7" s="14"/>
      <c r="J7" s="14"/>
      <c r="K7" s="14"/>
      <c r="L7" s="85" t="str">
        <f>IF('Manuell filtrering og justering'!I2='Manuell filtrering og justering'!J2,"",M7)</f>
        <v>Retail</v>
      </c>
      <c r="M7" t="s">
        <v>29</v>
      </c>
      <c r="N7" s="10"/>
      <c r="O7" s="85" t="str">
        <f t="shared" si="0"/>
        <v/>
      </c>
      <c r="P7" s="14"/>
      <c r="Q7" s="14"/>
      <c r="R7" s="14" t="s">
        <v>472</v>
      </c>
      <c r="S7" s="1" t="s">
        <v>470</v>
      </c>
      <c r="T7" s="14" t="s">
        <v>474</v>
      </c>
      <c r="U7" s="1" t="s">
        <v>478</v>
      </c>
      <c r="V7" s="1" t="s">
        <v>309</v>
      </c>
      <c r="W7" s="1" t="s">
        <v>482</v>
      </c>
      <c r="X7" s="1" t="s">
        <v>487</v>
      </c>
      <c r="Y7" s="1" t="s">
        <v>492</v>
      </c>
      <c r="Z7" s="1" t="s">
        <v>500</v>
      </c>
      <c r="AA7" s="1" t="s">
        <v>506</v>
      </c>
      <c r="AB7" s="1" t="s">
        <v>509</v>
      </c>
      <c r="AC7" s="1" t="s">
        <v>513</v>
      </c>
      <c r="AD7" s="1" t="s">
        <v>980</v>
      </c>
      <c r="AF7" s="1">
        <v>3</v>
      </c>
    </row>
    <row r="8" spans="1:32" s="1" customFormat="1" ht="15.75" x14ac:dyDescent="0.25">
      <c r="A8" s="58"/>
      <c r="B8" s="400" t="s">
        <v>17</v>
      </c>
      <c r="C8" s="458"/>
      <c r="D8" s="14"/>
      <c r="E8" s="404" t="s">
        <v>22</v>
      </c>
      <c r="F8" s="402" t="s">
        <v>1981</v>
      </c>
      <c r="G8" s="14"/>
      <c r="H8" s="14"/>
      <c r="I8" s="14"/>
      <c r="J8" s="14"/>
      <c r="K8" s="14"/>
      <c r="L8" s="85" t="str">
        <f>IF('Manuell filtrering og justering'!I2='Manuell filtrering og justering'!J2,"",M8)</f>
        <v>Education</v>
      </c>
      <c r="M8" t="s">
        <v>30</v>
      </c>
      <c r="N8" s="10"/>
      <c r="O8" s="85" t="str">
        <f t="shared" si="0"/>
        <v/>
      </c>
      <c r="P8" s="14"/>
      <c r="Q8" s="21" t="s">
        <v>518</v>
      </c>
      <c r="T8" s="14" t="s">
        <v>475</v>
      </c>
      <c r="U8" s="1" t="s">
        <v>479</v>
      </c>
      <c r="V8" s="1" t="s">
        <v>307</v>
      </c>
      <c r="W8" s="1" t="s">
        <v>483</v>
      </c>
      <c r="X8" s="1" t="s">
        <v>488</v>
      </c>
      <c r="Y8" s="1" t="s">
        <v>493</v>
      </c>
      <c r="Z8" s="1" t="s">
        <v>501</v>
      </c>
      <c r="AA8" s="1" t="s">
        <v>507</v>
      </c>
      <c r="AB8" s="1" t="s">
        <v>510</v>
      </c>
      <c r="AC8" s="1" t="s">
        <v>514</v>
      </c>
      <c r="AD8" s="1" t="s">
        <v>981</v>
      </c>
      <c r="AE8" s="14"/>
      <c r="AF8" s="1">
        <v>4</v>
      </c>
    </row>
    <row r="9" spans="1:32" s="1" customFormat="1" ht="15.75" x14ac:dyDescent="0.25">
      <c r="A9" s="58">
        <f t="shared" si="1"/>
        <v>1</v>
      </c>
      <c r="B9" s="400" t="s">
        <v>1734</v>
      </c>
      <c r="C9" s="458"/>
      <c r="D9" s="14"/>
      <c r="G9" s="14"/>
      <c r="H9" s="14"/>
      <c r="I9" s="14"/>
      <c r="J9" s="14"/>
      <c r="K9" s="14"/>
      <c r="L9" s="85" t="str">
        <f>IF('Manuell filtrering og justering'!I2='Manuell filtrering og justering'!J2,"",M16)</f>
        <v>Residential</v>
      </c>
      <c r="M9" t="s">
        <v>462</v>
      </c>
      <c r="N9" s="10"/>
      <c r="O9" s="85" t="str">
        <f t="shared" si="0"/>
        <v/>
      </c>
      <c r="P9" s="14"/>
      <c r="Q9" s="14"/>
      <c r="T9" s="1" t="s">
        <v>306</v>
      </c>
      <c r="U9" s="1" t="s">
        <v>516</v>
      </c>
      <c r="W9" s="1" t="s">
        <v>484</v>
      </c>
      <c r="X9" s="1" t="s">
        <v>489</v>
      </c>
      <c r="Y9" s="1" t="s">
        <v>494</v>
      </c>
      <c r="Z9" s="1" t="s">
        <v>502</v>
      </c>
      <c r="AB9" s="1" t="s">
        <v>511</v>
      </c>
      <c r="AC9" s="1" t="s">
        <v>515</v>
      </c>
      <c r="AD9" s="1" t="s">
        <v>982</v>
      </c>
      <c r="AF9" s="1">
        <v>5</v>
      </c>
    </row>
    <row r="10" spans="1:32" s="1" customFormat="1" ht="15.75" x14ac:dyDescent="0.25">
      <c r="A10" s="58">
        <f t="shared" si="1"/>
        <v>1</v>
      </c>
      <c r="B10" s="404" t="s">
        <v>1735</v>
      </c>
      <c r="C10" s="458"/>
      <c r="D10" s="14"/>
      <c r="G10" s="14"/>
      <c r="H10" s="14"/>
      <c r="I10" s="14"/>
      <c r="J10" s="14"/>
      <c r="K10" s="14"/>
      <c r="L10" s="85" t="str">
        <f>IF('Manuell filtrering og justering'!$I$2='Manuell filtrering og justering'!$J$2,"",M9)</f>
        <v>Healthcare</v>
      </c>
      <c r="M10" t="s">
        <v>463</v>
      </c>
      <c r="N10" s="10"/>
      <c r="O10" s="85" t="str">
        <f t="shared" si="0"/>
        <v/>
      </c>
      <c r="P10" s="14"/>
      <c r="Q10" s="14"/>
      <c r="T10" s="1" t="s">
        <v>476</v>
      </c>
      <c r="U10" s="1" t="s">
        <v>480</v>
      </c>
      <c r="W10" s="1" t="s">
        <v>485</v>
      </c>
      <c r="X10" s="1" t="s">
        <v>490</v>
      </c>
      <c r="Y10" s="1" t="s">
        <v>495</v>
      </c>
      <c r="Z10" s="1" t="s">
        <v>503</v>
      </c>
      <c r="AD10" s="1" t="s">
        <v>983</v>
      </c>
      <c r="AF10" s="1">
        <v>6</v>
      </c>
    </row>
    <row r="11" spans="1:32" s="1" customFormat="1" ht="16.5" customHeight="1" x14ac:dyDescent="0.25">
      <c r="A11" s="58"/>
      <c r="C11"/>
      <c r="F11" s="225"/>
      <c r="G11" s="14"/>
      <c r="H11" s="14"/>
      <c r="I11" s="14"/>
      <c r="J11" s="14"/>
      <c r="K11" s="14"/>
      <c r="L11" s="85" t="str">
        <f>IF('Manuell filtrering og justering'!$I$2='Manuell filtrering og justering'!$J$2,"",M10)</f>
        <v>Prison</v>
      </c>
      <c r="M11" t="s">
        <v>464</v>
      </c>
      <c r="N11" s="10"/>
      <c r="O11" s="85" t="str">
        <f t="shared" si="0"/>
        <v/>
      </c>
      <c r="P11" s="14"/>
      <c r="Q11" s="85" t="s">
        <v>32</v>
      </c>
      <c r="T11" s="14" t="s">
        <v>310</v>
      </c>
      <c r="Y11" s="1" t="s">
        <v>496</v>
      </c>
      <c r="Z11" s="1" t="s">
        <v>504</v>
      </c>
      <c r="AF11" s="1">
        <v>7</v>
      </c>
    </row>
    <row r="12" spans="1:32" s="1" customFormat="1" ht="15.75" customHeight="1" x14ac:dyDescent="0.3">
      <c r="A12" s="58"/>
      <c r="B12" s="396" t="s">
        <v>18</v>
      </c>
      <c r="C12" s="459"/>
      <c r="E12" s="406" t="s">
        <v>287</v>
      </c>
      <c r="F12" s="1373"/>
      <c r="G12" s="14"/>
      <c r="H12" s="14"/>
      <c r="I12" s="14"/>
      <c r="J12" s="14"/>
      <c r="K12" s="14"/>
      <c r="L12" s="85" t="str">
        <f>IF('Manuell filtrering og justering'!$I$2='Manuell filtrering og justering'!$J$2,"",M11)</f>
        <v>Law Court</v>
      </c>
      <c r="M12" t="s">
        <v>465</v>
      </c>
      <c r="N12" s="10"/>
      <c r="O12" s="85" t="str">
        <f t="shared" si="0"/>
        <v/>
      </c>
      <c r="P12" s="14"/>
      <c r="Q12" s="85" t="str">
        <f>IF(ADBT0=ADBT12,"","New Construction (shell and core)")</f>
        <v>New Construction (shell and core)</v>
      </c>
      <c r="T12" s="14"/>
      <c r="U12" s="14"/>
      <c r="V12" s="14"/>
      <c r="W12" s="14"/>
      <c r="X12" s="14"/>
      <c r="Y12" s="14" t="s">
        <v>497</v>
      </c>
      <c r="Z12" s="14"/>
      <c r="AA12" s="14"/>
      <c r="AB12" s="14"/>
      <c r="AC12" s="14"/>
      <c r="AD12" s="14"/>
      <c r="AF12" s="1">
        <v>8</v>
      </c>
    </row>
    <row r="13" spans="1:32" s="1" customFormat="1" ht="15.75" customHeight="1" x14ac:dyDescent="0.25">
      <c r="A13" s="58"/>
      <c r="B13" s="397" t="s">
        <v>19</v>
      </c>
      <c r="C13" s="460"/>
      <c r="E13" s="400" t="s">
        <v>286</v>
      </c>
      <c r="F13" s="1373"/>
      <c r="G13" s="14"/>
      <c r="H13" s="14"/>
      <c r="I13" s="298" t="s">
        <v>985</v>
      </c>
      <c r="J13" s="14"/>
      <c r="K13" s="14"/>
      <c r="L13" s="85" t="str">
        <f>IF('Manuell filtrering og justering'!$I$2='Manuell filtrering og justering'!$J$2,"",M12)</f>
        <v>Residential institution (long term stay)</v>
      </c>
      <c r="M13" t="s">
        <v>466</v>
      </c>
      <c r="N13" s="10"/>
      <c r="O13" s="85" t="str">
        <f t="shared" si="0"/>
        <v/>
      </c>
      <c r="P13" s="14"/>
      <c r="Q13" s="85" t="str">
        <f>IF(ADBT0=ADBT12,"","New Construction (shell only)")</f>
        <v>New Construction (shell only)</v>
      </c>
      <c r="T13" s="14"/>
      <c r="U13" s="14"/>
      <c r="V13" s="14"/>
      <c r="W13" s="14"/>
      <c r="X13" s="14"/>
      <c r="Y13" s="14" t="s">
        <v>498</v>
      </c>
      <c r="Z13" s="14"/>
      <c r="AA13" s="14"/>
      <c r="AB13" s="14"/>
      <c r="AC13" s="14"/>
      <c r="AD13" s="14"/>
      <c r="AF13" s="1">
        <v>9</v>
      </c>
    </row>
    <row r="14" spans="1:32" s="1" customFormat="1" ht="15.75" customHeight="1" x14ac:dyDescent="0.25">
      <c r="A14" s="58">
        <f t="shared" si="1"/>
        <v>1</v>
      </c>
      <c r="B14" s="407" t="s">
        <v>1736</v>
      </c>
      <c r="C14" s="460"/>
      <c r="E14" s="404" t="s">
        <v>288</v>
      </c>
      <c r="F14" s="1373"/>
      <c r="G14" s="14"/>
      <c r="H14" s="14"/>
      <c r="I14" s="298"/>
      <c r="J14" s="14"/>
      <c r="K14" s="14"/>
      <c r="L14" s="85" t="str">
        <f>IF('Manuell filtrering og justering'!$I$2='Manuell filtrering og justering'!$J$2,"",M13)</f>
        <v>Residential institution (short term stay)</v>
      </c>
      <c r="M14" t="s">
        <v>467</v>
      </c>
      <c r="N14" s="10"/>
      <c r="O14" s="14"/>
      <c r="P14" s="14"/>
      <c r="Q14" s="85" t="s">
        <v>33</v>
      </c>
      <c r="T14" s="14"/>
      <c r="U14" s="14"/>
      <c r="V14" s="14"/>
      <c r="W14" s="14"/>
      <c r="X14" s="14"/>
      <c r="Y14" s="14"/>
      <c r="Z14" s="14"/>
      <c r="AA14" s="14"/>
      <c r="AB14" s="14"/>
      <c r="AC14" s="14"/>
      <c r="AD14" s="14"/>
      <c r="AF14" s="1">
        <v>10</v>
      </c>
    </row>
    <row r="15" spans="1:32" s="1" customFormat="1" ht="15" customHeight="1" x14ac:dyDescent="0.25">
      <c r="A15" s="58">
        <f t="shared" si="1"/>
        <v>1</v>
      </c>
      <c r="B15" s="1368" t="s">
        <v>1737</v>
      </c>
      <c r="C15" s="460"/>
      <c r="E15" s="397" t="s">
        <v>1959</v>
      </c>
      <c r="F15" s="402"/>
      <c r="G15" s="14"/>
      <c r="H15" s="14"/>
      <c r="I15" s="298">
        <f>IF(ADBT0=ADBT16,1,0)</f>
        <v>0</v>
      </c>
      <c r="K15" s="14"/>
      <c r="L15" s="85" t="str">
        <f>IF('Manuell filtrering og justering'!$I$2='Manuell filtrering og justering'!$J$2,"",M14)</f>
        <v>Non-residential institution</v>
      </c>
      <c r="M15" t="s">
        <v>468</v>
      </c>
      <c r="N15" s="10"/>
      <c r="O15" s="14"/>
      <c r="P15" s="14"/>
      <c r="Q15" s="85" t="str">
        <f>IF(ADBT0=ADBT12,"","Major Refurbishment (shell and core)")</f>
        <v>Major Refurbishment (shell and core)</v>
      </c>
      <c r="U15" s="14"/>
      <c r="V15" s="14"/>
      <c r="W15" s="14"/>
      <c r="X15" s="14"/>
      <c r="Y15" s="14"/>
      <c r="Z15" s="14"/>
      <c r="AA15" s="14"/>
      <c r="AB15" s="14"/>
      <c r="AC15" s="14"/>
      <c r="AD15" s="14"/>
      <c r="AF15" s="1">
        <v>11</v>
      </c>
    </row>
    <row r="16" spans="1:32" s="1" customFormat="1" ht="15.75" x14ac:dyDescent="0.25">
      <c r="A16" s="58">
        <f t="shared" si="1"/>
        <v>1</v>
      </c>
      <c r="B16" s="1369" t="s">
        <v>1738</v>
      </c>
      <c r="C16" s="1370"/>
      <c r="E16" s="399" t="s">
        <v>986</v>
      </c>
      <c r="F16" s="403"/>
      <c r="H16" s="40" t="str">
        <f>IF(ADBT0&lt;&gt;ADBT1,AD_Yes,F16)</f>
        <v>Yes</v>
      </c>
      <c r="I16" s="298">
        <f>IF(Pol05_credits=0,0,1)</f>
        <v>1</v>
      </c>
      <c r="J16" s="898" t="s">
        <v>255</v>
      </c>
      <c r="K16" s="14"/>
      <c r="L16" s="85" t="str">
        <f>IF('Manuell filtrering og justering'!$I$2='Manuell filtrering og justering'!$J$2,"",M15)</f>
        <v>Assembly and leisure</v>
      </c>
      <c r="M16" t="s">
        <v>9</v>
      </c>
      <c r="N16" s="10"/>
      <c r="O16" s="14"/>
      <c r="P16" s="14"/>
      <c r="Q16" s="85" t="str">
        <f>IF(ADBT0=ADBT12,"","Major Refurbishment (shell only)")</f>
        <v>Major Refurbishment (shell only)</v>
      </c>
      <c r="U16" s="14"/>
      <c r="V16" s="14"/>
      <c r="W16" s="14"/>
      <c r="X16" s="14"/>
      <c r="Y16" s="14"/>
      <c r="Z16" s="14"/>
      <c r="AA16" s="14"/>
      <c r="AB16" s="14"/>
      <c r="AC16" s="14"/>
      <c r="AD16" s="14"/>
      <c r="AF16" s="1">
        <v>12</v>
      </c>
    </row>
    <row r="17" spans="2:34" s="1" customFormat="1" ht="15.75" x14ac:dyDescent="0.25">
      <c r="B17" s="400" t="s">
        <v>1739</v>
      </c>
      <c r="C17" s="461"/>
      <c r="E17" s="401" t="s">
        <v>1495</v>
      </c>
      <c r="F17" s="403"/>
      <c r="H17" s="40"/>
      <c r="I17" s="298"/>
      <c r="J17" s="898" t="s">
        <v>256</v>
      </c>
      <c r="K17" s="14"/>
      <c r="L17" s="85" t="str">
        <f>IF('Manuell filtrering og justering'!$I$2='Manuell filtrering og justering'!$J$2,"",M17)</f>
        <v>Other</v>
      </c>
      <c r="M17" s="1" t="s">
        <v>978</v>
      </c>
      <c r="N17" s="10"/>
      <c r="O17" s="14"/>
      <c r="P17" s="14"/>
      <c r="Q17" s="1518" t="str">
        <f>IF(OR(F7=ADPT01,F7=ADPT03),ADPT01,IF(OR(F7=Q12,F7=Q15),Q12,ADPT02))</f>
        <v>New Construction (fully fitted)</v>
      </c>
      <c r="U17" s="14"/>
      <c r="V17" s="14"/>
      <c r="W17" s="14"/>
      <c r="X17" s="14"/>
      <c r="Y17" s="14"/>
      <c r="Z17" s="14"/>
      <c r="AA17" s="14"/>
      <c r="AB17" s="14"/>
      <c r="AC17" s="14"/>
      <c r="AD17" s="14"/>
      <c r="AF17" s="1">
        <v>13</v>
      </c>
      <c r="AH17" s="40" t="s">
        <v>544</v>
      </c>
    </row>
    <row r="18" spans="2:34" s="1" customFormat="1" ht="15.75" x14ac:dyDescent="0.25">
      <c r="B18" s="400" t="s">
        <v>1740</v>
      </c>
      <c r="C18" s="462"/>
      <c r="E18" s="401" t="s">
        <v>984</v>
      </c>
      <c r="F18" s="402"/>
      <c r="G18" s="40" t="s">
        <v>317</v>
      </c>
      <c r="I18" s="64">
        <f>IF(Ene03_credits+Pol04_credits=0,0,1)</f>
        <v>1</v>
      </c>
      <c r="J18" s="898" t="s">
        <v>209</v>
      </c>
      <c r="K18" s="14"/>
      <c r="L18" s="33"/>
      <c r="N18" s="10"/>
      <c r="O18" s="14"/>
      <c r="P18" s="14"/>
      <c r="Q18" s="85" t="s">
        <v>78</v>
      </c>
      <c r="U18" s="14"/>
      <c r="V18" s="14"/>
      <c r="W18" s="14"/>
      <c r="X18" s="14"/>
      <c r="Y18" s="14"/>
      <c r="Z18" s="14"/>
      <c r="AA18" s="14"/>
      <c r="AB18" s="14"/>
      <c r="AC18" s="14"/>
      <c r="AD18" s="14"/>
      <c r="AH18" s="40" t="s">
        <v>545</v>
      </c>
    </row>
    <row r="19" spans="2:34" s="1" customFormat="1" ht="15.75" x14ac:dyDescent="0.25">
      <c r="B19" s="400" t="s">
        <v>1741</v>
      </c>
      <c r="C19" s="463"/>
      <c r="E19" s="401" t="s">
        <v>900</v>
      </c>
      <c r="F19" s="408"/>
      <c r="G19" s="40" t="s">
        <v>929</v>
      </c>
      <c r="H19" s="14"/>
      <c r="I19" s="298">
        <f>IF(Poeng!Y84+Poeng!Y85=2,0,1)</f>
        <v>1</v>
      </c>
      <c r="J19" s="898" t="s">
        <v>258</v>
      </c>
      <c r="K19" s="14"/>
      <c r="L19" s="33"/>
      <c r="M19" s="10"/>
      <c r="N19" s="10"/>
      <c r="O19" s="14"/>
      <c r="P19" s="14"/>
      <c r="Q19" s="85" t="s">
        <v>31</v>
      </c>
      <c r="U19" s="14"/>
      <c r="V19" s="14"/>
      <c r="W19" s="14"/>
      <c r="X19" s="14"/>
      <c r="Y19" s="14"/>
      <c r="Z19" s="14"/>
      <c r="AA19" s="14"/>
      <c r="AB19" s="14"/>
      <c r="AC19" s="14"/>
      <c r="AD19" s="14"/>
    </row>
    <row r="20" spans="2:34" s="1" customFormat="1" ht="15.75" x14ac:dyDescent="0.25">
      <c r="B20" s="400" t="s">
        <v>1742</v>
      </c>
      <c r="C20" s="463"/>
      <c r="E20" s="401" t="s">
        <v>901</v>
      </c>
      <c r="F20" s="402"/>
      <c r="G20" s="14"/>
      <c r="H20" s="14"/>
      <c r="I20" s="298">
        <v>1</v>
      </c>
      <c r="J20" s="898" t="s">
        <v>209</v>
      </c>
      <c r="K20" s="14"/>
      <c r="L20" s="33"/>
      <c r="M20" s="10"/>
      <c r="N20" s="10"/>
      <c r="O20" s="14"/>
      <c r="P20" s="14"/>
      <c r="Q20" s="14"/>
      <c r="U20" s="14"/>
      <c r="V20" s="14"/>
      <c r="W20" s="14"/>
      <c r="X20" s="14"/>
      <c r="Y20" s="14"/>
      <c r="Z20" s="14"/>
      <c r="AA20" s="14"/>
      <c r="AB20" s="14"/>
      <c r="AC20" s="14"/>
      <c r="AD20" s="14"/>
    </row>
    <row r="21" spans="2:34" s="1" customFormat="1" ht="15.75" x14ac:dyDescent="0.25">
      <c r="B21" s="404" t="s">
        <v>1743</v>
      </c>
      <c r="C21" s="463"/>
      <c r="E21" s="401" t="s">
        <v>992</v>
      </c>
      <c r="F21" s="402"/>
      <c r="G21" s="40" t="s">
        <v>929</v>
      </c>
      <c r="H21" s="14">
        <f>IF(ADBT0=AE5,1,IF(OR(ADBT0=ADBT13,ADBT0=AD5,ADBT0=ADBT1,ADBT0=ADBT2,AND(ADBT0=ADBT8,OR(F6=U9,F6=U10))),1,0))</f>
        <v>1</v>
      </c>
      <c r="I21" s="298">
        <f>IF(Poeng!Y91+Poeng!Y92=Poeng!T91+Poeng!T92,0,1)</f>
        <v>1</v>
      </c>
      <c r="J21" s="898" t="s">
        <v>209</v>
      </c>
      <c r="K21" s="14">
        <f>Poeng!AB91</f>
        <v>1</v>
      </c>
      <c r="L21" s="33"/>
      <c r="M21" s="10"/>
      <c r="N21" s="10"/>
      <c r="P21" s="14"/>
      <c r="Q21" s="14"/>
      <c r="U21" s="14"/>
      <c r="V21" s="14"/>
      <c r="W21" s="14"/>
      <c r="X21" s="14"/>
      <c r="Y21" s="14"/>
      <c r="Z21" s="14"/>
      <c r="AA21" s="14"/>
      <c r="AB21" s="14"/>
      <c r="AC21" s="14"/>
      <c r="AD21" s="14"/>
    </row>
    <row r="22" spans="2:34" s="1" customFormat="1" ht="15" customHeight="1" x14ac:dyDescent="0.25">
      <c r="E22" s="412" t="s">
        <v>977</v>
      </c>
      <c r="F22" s="402"/>
      <c r="I22" s="64">
        <f>IF(Poeng!Y94=Poeng!T94,0,1)</f>
        <v>1</v>
      </c>
      <c r="J22" s="898" t="s">
        <v>209</v>
      </c>
      <c r="K22" s="14">
        <f>Poeng!AB92</f>
        <v>4</v>
      </c>
      <c r="L22" s="33"/>
      <c r="M22" s="10"/>
      <c r="N22" s="10" t="s">
        <v>267</v>
      </c>
      <c r="O22" s="14"/>
      <c r="P22" s="14"/>
      <c r="Q22" s="85" t="s">
        <v>12</v>
      </c>
      <c r="R22" s="1" t="s">
        <v>1960</v>
      </c>
      <c r="U22" s="14"/>
      <c r="V22" s="14"/>
      <c r="W22" s="14"/>
      <c r="X22" s="14"/>
      <c r="Y22" s="14"/>
      <c r="Z22" s="14"/>
      <c r="AA22" s="14"/>
      <c r="AB22" s="14"/>
      <c r="AC22" s="14"/>
      <c r="AD22" s="14"/>
    </row>
    <row r="23" spans="2:34" s="1" customFormat="1" ht="15" customHeight="1" x14ac:dyDescent="0.3">
      <c r="B23" s="396" t="s">
        <v>23</v>
      </c>
      <c r="C23" s="464"/>
      <c r="E23" s="841" t="s">
        <v>968</v>
      </c>
      <c r="F23" s="402"/>
      <c r="G23" s="40" t="s">
        <v>317</v>
      </c>
      <c r="H23" s="14"/>
      <c r="I23" s="298">
        <v>1</v>
      </c>
      <c r="J23" s="898" t="s">
        <v>209</v>
      </c>
      <c r="M23" s="10"/>
      <c r="N23" s="10"/>
      <c r="O23" s="14"/>
      <c r="P23" s="14"/>
      <c r="Q23" s="85" t="s">
        <v>13</v>
      </c>
      <c r="R23" s="1" t="s">
        <v>1961</v>
      </c>
      <c r="T23" s="14"/>
      <c r="U23" s="14"/>
      <c r="V23" s="14"/>
      <c r="W23" s="14"/>
      <c r="X23" s="14"/>
      <c r="Y23" s="14"/>
      <c r="Z23" s="14"/>
      <c r="AA23" s="14"/>
      <c r="AB23" s="14"/>
      <c r="AC23" s="14"/>
      <c r="AD23" s="14"/>
    </row>
    <row r="24" spans="2:34" s="1" customFormat="1" ht="15" customHeight="1" x14ac:dyDescent="0.25">
      <c r="B24" s="410" t="s">
        <v>24</v>
      </c>
      <c r="C24" s="458"/>
      <c r="E24" s="412" t="s">
        <v>898</v>
      </c>
      <c r="F24" s="402"/>
      <c r="G24" s="40" t="s">
        <v>317</v>
      </c>
      <c r="H24" s="40"/>
      <c r="I24" s="298">
        <f>IF(Pol01_credits=0,0,1)</f>
        <v>1</v>
      </c>
      <c r="J24" s="898" t="s">
        <v>209</v>
      </c>
      <c r="K24" s="14"/>
      <c r="L24" s="33"/>
      <c r="M24" s="10"/>
      <c r="N24" s="10"/>
      <c r="O24" s="85" t="s">
        <v>261</v>
      </c>
      <c r="P24" s="14"/>
      <c r="Q24" s="85" t="s">
        <v>42</v>
      </c>
      <c r="T24" s="14"/>
      <c r="U24" s="14"/>
      <c r="V24" s="14"/>
      <c r="W24" s="14"/>
      <c r="X24" s="14"/>
      <c r="Y24" s="14"/>
      <c r="Z24" s="14"/>
      <c r="AA24" s="14"/>
      <c r="AB24" s="14"/>
      <c r="AC24" s="14"/>
      <c r="AD24" s="14"/>
    </row>
    <row r="25" spans="2:34" s="1" customFormat="1" ht="15" customHeight="1" x14ac:dyDescent="0.25">
      <c r="B25" s="411" t="s">
        <v>25</v>
      </c>
      <c r="C25" s="458"/>
      <c r="E25" s="412" t="s">
        <v>993</v>
      </c>
      <c r="F25" s="402"/>
      <c r="G25" s="40" t="s">
        <v>317</v>
      </c>
      <c r="H25" s="40"/>
      <c r="I25" s="298">
        <f>IF(Poeng!Y205+Poeng!Y206=Poeng!T205+Poeng!T206,0,1)</f>
        <v>1</v>
      </c>
      <c r="J25" s="898" t="s">
        <v>209</v>
      </c>
      <c r="K25" s="14"/>
      <c r="L25" s="33"/>
      <c r="M25" s="10"/>
      <c r="N25" s="10"/>
      <c r="O25" s="85" t="s">
        <v>259</v>
      </c>
      <c r="P25" s="14"/>
      <c r="Q25" s="14"/>
      <c r="T25" s="14"/>
      <c r="U25" s="14"/>
      <c r="V25" s="14"/>
      <c r="W25" s="14"/>
      <c r="X25" s="14"/>
      <c r="Y25" s="14"/>
      <c r="Z25" s="14"/>
      <c r="AA25" s="14"/>
      <c r="AB25" s="14"/>
      <c r="AC25" s="14"/>
      <c r="AD25" s="14"/>
    </row>
    <row r="26" spans="2:34" s="1" customFormat="1" ht="15.75" x14ac:dyDescent="0.25">
      <c r="B26" s="411" t="s">
        <v>253</v>
      </c>
      <c r="C26" s="458"/>
      <c r="E26" s="400" t="s">
        <v>966</v>
      </c>
      <c r="F26" s="402"/>
      <c r="G26" s="40" t="s">
        <v>317</v>
      </c>
      <c r="H26" s="14"/>
      <c r="I26" s="298">
        <f>IF(Mat06_credits=0,0,1)</f>
        <v>1</v>
      </c>
      <c r="J26" s="898" t="s">
        <v>266</v>
      </c>
      <c r="K26" s="14"/>
      <c r="L26" s="33"/>
      <c r="M26" s="10"/>
      <c r="N26" s="10"/>
      <c r="O26" s="85" t="s">
        <v>262</v>
      </c>
      <c r="P26" s="14"/>
      <c r="Q26" s="85" t="s">
        <v>277</v>
      </c>
      <c r="T26" s="14"/>
      <c r="U26" s="14"/>
      <c r="V26" s="14"/>
      <c r="W26" s="14"/>
      <c r="X26" s="14"/>
      <c r="Y26" s="14"/>
      <c r="Z26" s="14"/>
      <c r="AA26" s="14"/>
      <c r="AB26" s="14"/>
      <c r="AC26" s="14"/>
      <c r="AD26" s="14"/>
    </row>
    <row r="27" spans="2:34" s="1" customFormat="1" ht="15.75" x14ac:dyDescent="0.25">
      <c r="B27" s="411" t="s">
        <v>26</v>
      </c>
      <c r="C27" s="458"/>
      <c r="E27" s="900" t="s">
        <v>899</v>
      </c>
      <c r="F27" s="402"/>
      <c r="G27" s="40" t="s">
        <v>317</v>
      </c>
      <c r="H27" s="14"/>
      <c r="I27" s="298">
        <f>IF(Pol05_credits=0,0,1)</f>
        <v>1</v>
      </c>
      <c r="J27" s="898" t="s">
        <v>209</v>
      </c>
      <c r="K27" s="14"/>
      <c r="L27" s="33"/>
      <c r="M27" s="10"/>
      <c r="N27" s="10"/>
      <c r="O27" s="85" t="s">
        <v>263</v>
      </c>
      <c r="P27" s="14"/>
      <c r="Q27" s="85" t="s">
        <v>278</v>
      </c>
      <c r="S27" s="14"/>
      <c r="T27" s="14"/>
      <c r="U27" s="14"/>
      <c r="V27" s="14"/>
      <c r="W27" s="14"/>
      <c r="X27" s="14"/>
      <c r="Y27" s="14"/>
      <c r="Z27" s="14"/>
      <c r="AA27" s="14"/>
      <c r="AB27" s="14"/>
      <c r="AC27" s="14"/>
      <c r="AD27" s="14"/>
    </row>
    <row r="28" spans="2:34" s="1" customFormat="1" ht="15.75" x14ac:dyDescent="0.25">
      <c r="B28" s="411" t="s">
        <v>303</v>
      </c>
      <c r="C28" s="458"/>
      <c r="E28" s="899" t="s">
        <v>1494</v>
      </c>
      <c r="F28" s="402"/>
      <c r="G28" s="14"/>
      <c r="H28" s="14"/>
      <c r="I28" s="298">
        <f>IF(Inn05_credits=0,0,IF(OR(F6=U6,F6=U7,F6=V8,F5=Y5,F5=X5,F5=Z5),1,0))</f>
        <v>0</v>
      </c>
      <c r="J28" s="898" t="s">
        <v>209</v>
      </c>
      <c r="K28" s="14"/>
      <c r="L28" s="35"/>
      <c r="M28" s="10"/>
      <c r="N28" s="10"/>
      <c r="O28" s="85" t="s">
        <v>264</v>
      </c>
      <c r="P28" s="14"/>
      <c r="Q28" s="85" t="s">
        <v>279</v>
      </c>
      <c r="T28" s="14"/>
      <c r="U28" s="14"/>
      <c r="V28" s="14"/>
      <c r="W28" s="14"/>
      <c r="X28" s="14"/>
      <c r="Y28" s="14"/>
      <c r="Z28" s="14"/>
      <c r="AA28" s="14"/>
      <c r="AB28" s="14"/>
      <c r="AC28" s="14"/>
      <c r="AD28" s="14"/>
    </row>
    <row r="29" spans="2:34" s="1" customFormat="1" ht="15.75" x14ac:dyDescent="0.25">
      <c r="B29" s="411" t="s">
        <v>302</v>
      </c>
      <c r="C29" s="458"/>
      <c r="E29" s="752"/>
      <c r="F29" s="409"/>
      <c r="G29" s="14"/>
      <c r="H29" s="14"/>
      <c r="I29" s="298"/>
      <c r="M29" s="10"/>
      <c r="N29" s="10"/>
      <c r="O29" s="85" t="s">
        <v>260</v>
      </c>
      <c r="P29" s="14"/>
      <c r="Q29" s="85" t="s">
        <v>34</v>
      </c>
      <c r="T29" s="14"/>
      <c r="U29" s="14"/>
      <c r="V29" s="14"/>
      <c r="W29" s="14"/>
      <c r="X29" s="14"/>
      <c r="Y29" s="14"/>
      <c r="Z29" s="14"/>
      <c r="AA29" s="14"/>
      <c r="AB29" s="14"/>
      <c r="AC29" s="14"/>
      <c r="AD29" s="14"/>
    </row>
    <row r="30" spans="2:34" s="1" customFormat="1" ht="15.75" x14ac:dyDescent="0.25">
      <c r="B30" s="411" t="s">
        <v>301</v>
      </c>
      <c r="C30" s="458"/>
      <c r="E30" s="413" t="s">
        <v>273</v>
      </c>
      <c r="F30" s="414">
        <f>Poeng_tot</f>
        <v>153</v>
      </c>
      <c r="G30" s="14"/>
      <c r="H30" s="14"/>
      <c r="I30" s="14"/>
      <c r="J30" s="85" t="s">
        <v>1835</v>
      </c>
      <c r="L30" s="35"/>
      <c r="M30" s="10"/>
      <c r="N30" s="10"/>
      <c r="O30" s="85" t="s">
        <v>265</v>
      </c>
      <c r="P30" s="14"/>
      <c r="Q30" s="14"/>
      <c r="T30" s="14"/>
      <c r="U30" s="14"/>
      <c r="V30" s="14"/>
      <c r="W30" s="14"/>
      <c r="X30" s="14"/>
      <c r="Y30" s="14"/>
      <c r="Z30" s="14"/>
      <c r="AA30" s="14"/>
      <c r="AB30" s="14"/>
      <c r="AC30" s="14"/>
      <c r="AD30" s="14"/>
    </row>
    <row r="31" spans="2:34" s="1" customFormat="1" ht="15.75" x14ac:dyDescent="0.25">
      <c r="B31" s="411" t="s">
        <v>299</v>
      </c>
      <c r="C31" s="458"/>
      <c r="E31" s="401" t="s">
        <v>274</v>
      </c>
      <c r="F31" s="414">
        <f>Poeng_bort</f>
        <v>0</v>
      </c>
      <c r="G31" s="14"/>
      <c r="H31" s="14"/>
      <c r="I31" s="14"/>
      <c r="J31" s="85" t="s">
        <v>1836</v>
      </c>
      <c r="L31" s="35"/>
      <c r="M31" s="10"/>
      <c r="N31" s="10"/>
      <c r="O31" s="14"/>
      <c r="P31" s="14"/>
      <c r="Q31" s="85" t="s">
        <v>37</v>
      </c>
      <c r="S31" s="14"/>
      <c r="T31" s="14"/>
      <c r="U31" s="14"/>
      <c r="V31" s="14"/>
      <c r="W31" s="14"/>
      <c r="X31" s="14"/>
      <c r="Y31" s="14"/>
      <c r="Z31" s="14"/>
      <c r="AA31" s="14"/>
      <c r="AB31" s="14"/>
      <c r="AC31" s="14"/>
      <c r="AD31" s="14"/>
    </row>
    <row r="32" spans="2:34" s="1" customFormat="1" ht="15.75" x14ac:dyDescent="0.25">
      <c r="B32" s="411" t="s">
        <v>300</v>
      </c>
      <c r="C32" s="458"/>
      <c r="E32" s="416" t="s">
        <v>59</v>
      </c>
      <c r="F32" s="414">
        <f>Poeng_tilgj</f>
        <v>153</v>
      </c>
      <c r="G32" s="14"/>
      <c r="H32" s="14"/>
      <c r="I32" s="14"/>
      <c r="L32" s="35"/>
      <c r="M32" s="11"/>
      <c r="N32" s="11"/>
      <c r="O32" s="14"/>
      <c r="P32" s="14"/>
      <c r="Q32" s="85" t="s">
        <v>35</v>
      </c>
      <c r="R32" s="14"/>
      <c r="S32" s="14"/>
      <c r="T32" s="14"/>
      <c r="U32" s="14"/>
      <c r="V32" s="14"/>
      <c r="W32" s="14"/>
      <c r="X32" s="14"/>
      <c r="Y32" s="14"/>
      <c r="Z32" s="14"/>
      <c r="AA32" s="14"/>
      <c r="AB32" s="14"/>
      <c r="AC32" s="14"/>
      <c r="AD32" s="14"/>
    </row>
    <row r="33" spans="2:30" s="1" customFormat="1" ht="15.75" x14ac:dyDescent="0.25">
      <c r="B33" s="415" t="s">
        <v>314</v>
      </c>
      <c r="C33" s="458"/>
      <c r="G33" s="14"/>
      <c r="H33" s="14"/>
      <c r="I33" s="14"/>
      <c r="J33" s="7"/>
      <c r="K33" s="7"/>
      <c r="L33" s="33"/>
      <c r="M33" s="11"/>
      <c r="N33" s="11"/>
      <c r="O33" s="40" t="s">
        <v>991</v>
      </c>
      <c r="P33" s="14"/>
      <c r="Q33" s="85" t="s">
        <v>36</v>
      </c>
      <c r="R33" s="14"/>
      <c r="S33" s="14"/>
      <c r="T33" s="14"/>
      <c r="U33" s="14"/>
      <c r="V33" s="14"/>
      <c r="W33" s="14"/>
      <c r="X33" s="14"/>
      <c r="Y33" s="14"/>
      <c r="Z33" s="14"/>
      <c r="AA33" s="14"/>
      <c r="AB33" s="14"/>
      <c r="AC33" s="14"/>
      <c r="AD33" s="14"/>
    </row>
    <row r="34" spans="2:30" s="1" customFormat="1" ht="15.75" x14ac:dyDescent="0.25">
      <c r="C34" s="897"/>
      <c r="G34" s="14"/>
      <c r="H34" s="14"/>
      <c r="I34" s="14"/>
      <c r="J34" s="7"/>
      <c r="K34" s="7"/>
      <c r="L34" s="33"/>
      <c r="M34" s="11"/>
      <c r="N34" s="11"/>
      <c r="O34" s="40" t="s">
        <v>268</v>
      </c>
      <c r="P34" s="14"/>
      <c r="Q34" s="40"/>
      <c r="R34" s="14"/>
      <c r="S34" s="14"/>
      <c r="T34" s="14"/>
      <c r="U34" s="14"/>
      <c r="V34" s="14"/>
      <c r="W34" s="14"/>
      <c r="X34" s="14"/>
      <c r="Y34" s="14"/>
      <c r="Z34" s="14"/>
      <c r="AA34" s="14"/>
      <c r="AB34" s="14"/>
      <c r="AC34" s="14"/>
      <c r="AD34" s="14"/>
    </row>
    <row r="35" spans="2:30" s="1" customFormat="1" ht="18.75" x14ac:dyDescent="0.3">
      <c r="B35" s="417" t="s">
        <v>1744</v>
      </c>
      <c r="E35" s="417" t="s">
        <v>377</v>
      </c>
      <c r="G35" s="14"/>
      <c r="H35" s="14"/>
      <c r="I35" s="14"/>
      <c r="J35" s="7"/>
      <c r="K35" s="7"/>
      <c r="L35" s="33"/>
      <c r="M35" s="11"/>
      <c r="N35" s="11"/>
      <c r="O35" s="40"/>
      <c r="P35" s="14"/>
      <c r="Q35" s="40"/>
      <c r="R35" s="14"/>
      <c r="S35" s="14"/>
      <c r="T35" s="14"/>
      <c r="U35" s="14"/>
      <c r="V35" s="14"/>
      <c r="W35" s="14"/>
      <c r="X35" s="14"/>
      <c r="Y35" s="14"/>
      <c r="Z35" s="14"/>
      <c r="AA35" s="14"/>
      <c r="AB35" s="14"/>
      <c r="AC35" s="14"/>
      <c r="AD35" s="14"/>
    </row>
    <row r="36" spans="2:30" s="1" customFormat="1" ht="80.25" customHeight="1" x14ac:dyDescent="0.25">
      <c r="B36" s="1525"/>
      <c r="C36" s="1526"/>
      <c r="E36" s="1525"/>
      <c r="F36" s="1526"/>
      <c r="G36" s="14"/>
      <c r="H36" s="14"/>
      <c r="I36" s="14"/>
      <c r="J36" s="83"/>
      <c r="K36" s="83"/>
      <c r="L36" s="10"/>
      <c r="M36" s="10"/>
      <c r="N36" s="10"/>
      <c r="O36" s="14"/>
      <c r="P36" s="14"/>
      <c r="Q36" s="14"/>
      <c r="R36" s="14"/>
      <c r="S36" s="14"/>
      <c r="T36" s="14"/>
      <c r="U36" s="14"/>
      <c r="V36" s="14"/>
      <c r="W36" s="14"/>
      <c r="X36" s="14"/>
      <c r="Y36" s="14"/>
      <c r="Z36" s="14"/>
      <c r="AA36" s="14"/>
      <c r="AB36" s="14"/>
      <c r="AC36" s="14"/>
      <c r="AD36" s="14"/>
    </row>
    <row r="37" spans="2:30" s="1" customFormat="1" ht="15.75" x14ac:dyDescent="0.25">
      <c r="E37" s="83"/>
      <c r="F37" s="83"/>
      <c r="G37" s="14"/>
      <c r="H37" s="14"/>
      <c r="I37" s="14"/>
      <c r="J37" s="83" t="s">
        <v>1981</v>
      </c>
      <c r="K37" s="83"/>
      <c r="L37" s="10"/>
      <c r="M37" s="10"/>
      <c r="N37" s="10"/>
      <c r="O37" s="14"/>
      <c r="P37" s="14"/>
      <c r="Q37" s="14"/>
      <c r="R37" s="14"/>
      <c r="S37" s="14"/>
      <c r="T37" s="14"/>
      <c r="U37" s="14"/>
      <c r="V37" s="14"/>
      <c r="W37" s="14"/>
      <c r="X37" s="14"/>
      <c r="Y37" s="14"/>
      <c r="Z37" s="14"/>
      <c r="AA37" s="14"/>
      <c r="AB37" s="14"/>
      <c r="AC37" s="14"/>
      <c r="AD37" s="14"/>
    </row>
    <row r="38" spans="2:30" s="1" customFormat="1" ht="18.75" x14ac:dyDescent="0.3">
      <c r="B38" s="417" t="s">
        <v>378</v>
      </c>
      <c r="E38" s="83"/>
      <c r="F38" s="83"/>
      <c r="G38" s="14"/>
      <c r="H38" s="14"/>
      <c r="I38" s="14"/>
      <c r="J38" s="83" t="s">
        <v>1982</v>
      </c>
      <c r="K38" s="83"/>
      <c r="L38" s="10"/>
      <c r="M38" s="10"/>
      <c r="N38" s="10"/>
      <c r="O38" s="14"/>
      <c r="P38" s="14"/>
      <c r="Q38" s="14"/>
      <c r="R38" s="14"/>
      <c r="S38" s="14"/>
      <c r="T38" s="14"/>
      <c r="U38" s="14"/>
      <c r="V38" s="14"/>
      <c r="W38" s="14"/>
      <c r="X38" s="14"/>
      <c r="Y38" s="14"/>
      <c r="Z38" s="14"/>
      <c r="AA38" s="14"/>
      <c r="AB38" s="14"/>
      <c r="AC38" s="14"/>
      <c r="AD38" s="14"/>
    </row>
    <row r="39" spans="2:30" s="1" customFormat="1" ht="81" customHeight="1" x14ac:dyDescent="0.25">
      <c r="B39" s="1525"/>
      <c r="C39" s="1526"/>
      <c r="E39" s="83"/>
      <c r="F39" s="83"/>
      <c r="G39" s="14"/>
      <c r="H39" s="14"/>
      <c r="I39" s="14"/>
      <c r="J39" s="83"/>
      <c r="K39" s="83"/>
      <c r="L39" s="10"/>
      <c r="M39" s="10"/>
      <c r="N39" s="10"/>
      <c r="O39" s="14"/>
      <c r="P39" s="14"/>
      <c r="Q39" s="14"/>
      <c r="R39" s="14"/>
      <c r="S39" s="14"/>
      <c r="T39" s="14"/>
      <c r="U39" s="14"/>
      <c r="V39" s="14"/>
      <c r="W39" s="14"/>
      <c r="X39" s="14"/>
      <c r="Y39" s="14"/>
      <c r="Z39" s="14"/>
      <c r="AA39" s="14"/>
      <c r="AB39" s="14"/>
      <c r="AC39" s="14"/>
      <c r="AD39" s="14"/>
    </row>
    <row r="40" spans="2:30" s="1" customFormat="1" ht="15.75" x14ac:dyDescent="0.25">
      <c r="E40" s="83"/>
      <c r="F40" s="83"/>
      <c r="G40" s="14"/>
      <c r="H40" s="14"/>
      <c r="I40" s="14"/>
      <c r="J40" s="83"/>
      <c r="K40" s="83"/>
      <c r="L40" s="10"/>
      <c r="M40" s="10"/>
      <c r="N40" s="10"/>
      <c r="O40" s="14"/>
      <c r="P40" s="14"/>
      <c r="Q40" s="14"/>
      <c r="R40" s="14"/>
      <c r="S40" s="14"/>
      <c r="T40" s="14"/>
      <c r="U40" s="14"/>
      <c r="V40" s="14"/>
      <c r="W40" s="14"/>
      <c r="X40" s="14"/>
      <c r="Y40" s="14"/>
      <c r="Z40" s="14"/>
      <c r="AA40" s="14"/>
      <c r="AB40" s="14"/>
      <c r="AC40" s="14"/>
      <c r="AD40" s="14"/>
    </row>
    <row r="41" spans="2:30" s="1" customFormat="1" ht="15.75" x14ac:dyDescent="0.25">
      <c r="B41" s="14" t="s">
        <v>1920</v>
      </c>
      <c r="E41" s="83"/>
      <c r="F41" s="83"/>
      <c r="G41" s="14"/>
      <c r="H41" s="14"/>
      <c r="I41" s="14"/>
      <c r="J41" s="83"/>
      <c r="K41" s="83"/>
      <c r="L41" s="10"/>
      <c r="M41" s="10"/>
      <c r="N41" s="10"/>
      <c r="O41" s="14"/>
      <c r="P41" s="14"/>
      <c r="Q41"/>
      <c r="R41" s="14"/>
      <c r="S41" s="14"/>
      <c r="T41" s="14"/>
      <c r="U41" s="14"/>
      <c r="V41" s="14"/>
      <c r="W41" s="14"/>
      <c r="X41" s="14"/>
      <c r="Y41" s="14"/>
      <c r="Z41" s="14"/>
      <c r="AA41" s="14"/>
      <c r="AB41" s="14"/>
      <c r="AC41" s="14"/>
      <c r="AD41" s="14"/>
    </row>
    <row r="42" spans="2:30" s="1" customFormat="1" ht="15.75" x14ac:dyDescent="0.25">
      <c r="E42" s="83"/>
      <c r="F42" s="83"/>
      <c r="G42" s="14"/>
      <c r="H42" s="14"/>
      <c r="I42" s="14"/>
      <c r="J42" s="83"/>
      <c r="K42" s="83"/>
      <c r="L42" s="10"/>
      <c r="M42" s="10"/>
      <c r="N42" s="10"/>
      <c r="O42" s="14"/>
      <c r="P42" s="14"/>
      <c r="Q42"/>
      <c r="R42" s="14"/>
      <c r="S42" s="14"/>
      <c r="T42" s="14"/>
      <c r="U42" s="14"/>
      <c r="V42" s="14"/>
      <c r="W42" s="14"/>
      <c r="X42" s="14"/>
      <c r="Y42" s="14"/>
      <c r="Z42" s="14"/>
      <c r="AA42" s="14"/>
      <c r="AB42" s="14"/>
      <c r="AC42" s="14"/>
      <c r="AD42" s="14"/>
    </row>
    <row r="43" spans="2:30" s="1" customFormat="1" ht="18.75" x14ac:dyDescent="0.3">
      <c r="B43" s="396" t="s">
        <v>44</v>
      </c>
      <c r="C43" s="5"/>
      <c r="D43" s="5"/>
      <c r="E43" s="5"/>
      <c r="F43" s="418"/>
      <c r="G43" s="14"/>
      <c r="H43" s="14"/>
      <c r="I43" s="14"/>
      <c r="L43" s="10"/>
      <c r="M43" s="10"/>
      <c r="N43" s="10"/>
      <c r="O43" s="14"/>
      <c r="P43" s="14"/>
      <c r="Q43"/>
      <c r="R43" s="14"/>
      <c r="S43" s="14"/>
      <c r="T43" s="14"/>
      <c r="U43" s="14"/>
      <c r="V43" s="14"/>
      <c r="W43" s="14"/>
      <c r="X43" s="14"/>
      <c r="Y43" s="14"/>
      <c r="Z43" s="14"/>
      <c r="AA43" s="14"/>
      <c r="AB43" s="14"/>
      <c r="AC43" s="14"/>
      <c r="AD43" s="14"/>
    </row>
    <row r="44" spans="2:30" s="1" customFormat="1" ht="64.5" customHeight="1" x14ac:dyDescent="0.25">
      <c r="B44" s="1524" t="str">
        <f>"I, "&amp;AD_assessor&amp;O33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v>
      </c>
      <c r="C44" s="1524"/>
      <c r="D44" s="1524"/>
      <c r="E44" s="1524"/>
      <c r="F44" s="1524"/>
      <c r="G44" s="14"/>
      <c r="H44" s="14"/>
      <c r="I44" s="14"/>
      <c r="L44" s="12"/>
      <c r="M44" s="12"/>
      <c r="N44" s="10"/>
      <c r="O44" s="1" t="s">
        <v>257</v>
      </c>
      <c r="R44" s="14"/>
      <c r="S44" s="14"/>
      <c r="T44" s="14"/>
      <c r="U44" s="14"/>
      <c r="V44" s="14"/>
      <c r="W44" s="14"/>
      <c r="X44" s="14"/>
      <c r="Y44" s="14"/>
      <c r="Z44" s="14"/>
      <c r="AA44" s="14"/>
      <c r="AB44" s="14"/>
      <c r="AC44" s="14"/>
      <c r="AD44" s="14"/>
    </row>
    <row r="45" spans="2:30" s="1" customFormat="1" ht="32.25" customHeight="1" x14ac:dyDescent="0.25">
      <c r="B45" s="419"/>
      <c r="C45" s="419"/>
      <c r="D45" s="419"/>
      <c r="E45" s="419"/>
      <c r="F45" s="419"/>
      <c r="G45" s="14"/>
      <c r="H45" s="14"/>
      <c r="I45" s="14"/>
      <c r="L45" s="12"/>
      <c r="M45" s="12"/>
      <c r="N45" s="10"/>
      <c r="R45" s="14"/>
      <c r="S45" s="14"/>
      <c r="T45" s="14"/>
      <c r="U45" s="14"/>
      <c r="V45" s="14"/>
      <c r="W45" s="14"/>
      <c r="X45" s="14"/>
      <c r="Y45" s="14"/>
      <c r="Z45" s="14"/>
      <c r="AA45" s="14"/>
      <c r="AB45" s="14"/>
      <c r="AC45" s="14"/>
      <c r="AD45" s="14"/>
    </row>
    <row r="46" spans="2:30" s="1" customFormat="1" ht="15.75" x14ac:dyDescent="0.25">
      <c r="B46" s="420" t="s">
        <v>295</v>
      </c>
      <c r="C46" s="465"/>
      <c r="D46" s="225"/>
      <c r="E46" s="421"/>
      <c r="F46" s="422"/>
      <c r="G46" s="14"/>
      <c r="H46" s="14"/>
      <c r="I46" s="14"/>
      <c r="J46" s="10"/>
      <c r="K46" s="10"/>
      <c r="L46" s="10"/>
      <c r="M46" s="10"/>
      <c r="N46" s="10"/>
      <c r="O46" s="84" t="s">
        <v>241</v>
      </c>
      <c r="P46" s="41" t="s">
        <v>10</v>
      </c>
      <c r="Q46" s="414"/>
      <c r="R46" s="14"/>
      <c r="S46" s="14"/>
      <c r="T46" s="14"/>
      <c r="U46" s="14"/>
      <c r="V46" s="14"/>
      <c r="W46" s="14"/>
      <c r="X46" s="14"/>
      <c r="Y46" s="14"/>
      <c r="Z46" s="14"/>
      <c r="AA46" s="14"/>
      <c r="AB46" s="14"/>
      <c r="AC46" s="14"/>
      <c r="AD46" s="14"/>
    </row>
    <row r="47" spans="2:30" s="1" customFormat="1" ht="15.75" x14ac:dyDescent="0.25">
      <c r="B47" s="239" t="s">
        <v>8</v>
      </c>
      <c r="C47" s="465"/>
      <c r="D47" s="225"/>
      <c r="E47" s="421"/>
      <c r="F47" s="422"/>
      <c r="G47" s="14"/>
      <c r="H47" s="14"/>
      <c r="I47" s="14"/>
      <c r="J47" s="10"/>
      <c r="K47" s="10"/>
      <c r="L47" s="10"/>
      <c r="M47" s="10"/>
      <c r="N47" s="10"/>
      <c r="O47" s="41" t="s">
        <v>275</v>
      </c>
      <c r="P47" s="414"/>
      <c r="Q47" s="14"/>
      <c r="R47" s="34" t="s">
        <v>252</v>
      </c>
      <c r="S47" s="14"/>
      <c r="T47" s="14"/>
      <c r="U47" s="14"/>
      <c r="V47" s="14"/>
      <c r="W47" s="14"/>
      <c r="X47" s="14"/>
      <c r="Y47" s="14"/>
      <c r="Z47" s="14"/>
      <c r="AA47" s="14"/>
      <c r="AB47" s="14"/>
      <c r="AC47" s="14"/>
      <c r="AD47" s="14"/>
    </row>
    <row r="48" spans="2:30" s="1" customFormat="1" ht="16.5" thickBot="1" x14ac:dyDescent="0.3">
      <c r="C48" s="225"/>
      <c r="D48" s="225"/>
      <c r="E48" s="423"/>
      <c r="F48" s="423"/>
      <c r="G48" s="14"/>
      <c r="H48" s="14"/>
      <c r="I48" s="14"/>
      <c r="J48" s="24"/>
      <c r="K48" s="24"/>
      <c r="L48" s="24"/>
      <c r="M48" s="24"/>
      <c r="N48" s="24"/>
      <c r="P48" s="14"/>
      <c r="Q48" s="14"/>
      <c r="R48" s="14"/>
      <c r="S48" s="14"/>
      <c r="T48" s="14"/>
      <c r="U48" s="14"/>
      <c r="V48" s="14"/>
      <c r="W48" s="14"/>
      <c r="X48" s="14"/>
      <c r="Y48" s="14"/>
      <c r="Z48" s="14"/>
      <c r="AA48" s="14"/>
      <c r="AB48" s="14"/>
      <c r="AC48" s="14"/>
      <c r="AD48" s="14"/>
    </row>
    <row r="49" spans="2:30" s="1" customFormat="1" ht="28.5" customHeight="1" x14ac:dyDescent="0.3">
      <c r="B49" s="396" t="s">
        <v>191</v>
      </c>
      <c r="C49" s="5"/>
      <c r="D49" s="5"/>
      <c r="E49" s="424"/>
      <c r="F49" s="424"/>
      <c r="G49" s="14"/>
      <c r="H49" s="14"/>
      <c r="I49" s="14"/>
      <c r="J49" s="24"/>
      <c r="K49" s="24"/>
      <c r="L49" s="24"/>
      <c r="M49" s="24"/>
      <c r="N49" s="230"/>
      <c r="O49" s="425" t="s">
        <v>280</v>
      </c>
      <c r="P49" s="67">
        <v>1</v>
      </c>
      <c r="Q49" s="14"/>
      <c r="R49" s="14"/>
      <c r="S49" s="14"/>
      <c r="T49" s="14"/>
      <c r="U49" s="14"/>
      <c r="V49" s="14"/>
      <c r="W49" s="14"/>
      <c r="X49" s="14"/>
      <c r="Y49" s="14"/>
      <c r="Z49" s="14"/>
      <c r="AA49" s="14"/>
      <c r="AB49" s="14"/>
      <c r="AC49" s="14"/>
      <c r="AD49" s="14"/>
    </row>
    <row r="50" spans="2:30" s="1" customFormat="1" ht="73.5" customHeight="1" x14ac:dyDescent="0.25">
      <c r="B50" s="1522" t="s">
        <v>1921</v>
      </c>
      <c r="C50" s="1522"/>
      <c r="D50" s="1522"/>
      <c r="E50" s="1522"/>
      <c r="F50" s="1522"/>
      <c r="G50" s="14"/>
      <c r="H50" s="14"/>
      <c r="I50" s="14"/>
      <c r="J50" s="24"/>
      <c r="K50" s="24"/>
      <c r="L50" s="24"/>
      <c r="M50" s="24"/>
      <c r="N50" s="229"/>
      <c r="O50" s="426" t="s">
        <v>281</v>
      </c>
      <c r="P50" s="68">
        <v>2</v>
      </c>
      <c r="Q50" s="14"/>
      <c r="R50" s="14"/>
      <c r="S50" s="14"/>
      <c r="T50" s="14"/>
      <c r="U50" s="14"/>
      <c r="V50" s="14"/>
      <c r="W50" s="14"/>
      <c r="X50" s="14"/>
      <c r="Y50" s="14"/>
      <c r="Z50" s="14"/>
      <c r="AA50" s="14"/>
      <c r="AB50" s="14"/>
      <c r="AC50" s="14"/>
      <c r="AD50" s="14"/>
    </row>
    <row r="51" spans="2:30" s="1" customFormat="1" ht="15.75" x14ac:dyDescent="0.25">
      <c r="D51" s="427"/>
      <c r="E51" s="24"/>
      <c r="F51" s="24"/>
      <c r="G51" s="14"/>
      <c r="H51" s="14"/>
      <c r="I51" s="14"/>
      <c r="J51" s="24"/>
      <c r="K51" s="24"/>
      <c r="L51" s="24"/>
      <c r="M51" s="24"/>
      <c r="N51" s="228"/>
      <c r="O51" s="428" t="s">
        <v>282</v>
      </c>
      <c r="P51" s="68">
        <v>3</v>
      </c>
      <c r="Q51" s="14"/>
      <c r="R51" s="14"/>
      <c r="S51" s="14"/>
      <c r="T51" s="14"/>
      <c r="U51" s="14"/>
      <c r="V51" s="14"/>
      <c r="W51" s="14"/>
      <c r="X51" s="14"/>
      <c r="Y51" s="14"/>
      <c r="Z51" s="14"/>
      <c r="AA51" s="14"/>
      <c r="AB51" s="14"/>
      <c r="AC51" s="14"/>
      <c r="AD51" s="14"/>
    </row>
    <row r="52" spans="2:30" s="1" customFormat="1" ht="19.5" thickBot="1" x14ac:dyDescent="0.35">
      <c r="B52" s="396" t="s">
        <v>7</v>
      </c>
      <c r="C52" s="5"/>
      <c r="D52" s="5"/>
      <c r="E52" s="424"/>
      <c r="F52" s="429"/>
      <c r="G52" s="14"/>
      <c r="H52" s="14"/>
      <c r="I52" s="14"/>
      <c r="J52" s="10"/>
      <c r="K52" s="10"/>
      <c r="L52" s="10"/>
      <c r="M52" s="10"/>
      <c r="N52" s="10"/>
      <c r="O52" s="69" t="s">
        <v>0</v>
      </c>
      <c r="P52" s="70">
        <v>4</v>
      </c>
      <c r="Q52" s="14"/>
      <c r="R52" s="14"/>
      <c r="S52" s="14"/>
      <c r="T52" s="14"/>
      <c r="U52" s="14"/>
      <c r="V52" s="14"/>
      <c r="W52" s="14"/>
      <c r="X52" s="14"/>
      <c r="Y52" s="14"/>
      <c r="Z52" s="14"/>
      <c r="AA52" s="14"/>
      <c r="AB52" s="14"/>
      <c r="AC52" s="14"/>
      <c r="AD52" s="14"/>
    </row>
    <row r="53" spans="2:30" s="1" customFormat="1" ht="15.75" x14ac:dyDescent="0.25">
      <c r="B53" s="1523" t="s">
        <v>294</v>
      </c>
      <c r="C53" s="1523"/>
      <c r="D53" s="1523"/>
      <c r="E53" s="1523"/>
      <c r="F53" s="1523"/>
      <c r="G53" s="14"/>
      <c r="H53" s="14"/>
      <c r="I53" s="14"/>
      <c r="J53" s="10"/>
      <c r="K53" s="10"/>
      <c r="L53" s="10"/>
      <c r="M53" s="10"/>
      <c r="N53" s="10"/>
      <c r="Q53" s="14"/>
      <c r="R53" s="14"/>
      <c r="S53" s="14"/>
      <c r="T53" s="14"/>
      <c r="U53" s="14"/>
      <c r="V53" s="14"/>
      <c r="W53" s="14"/>
      <c r="X53" s="14"/>
      <c r="Y53" s="14"/>
      <c r="Z53" s="14"/>
      <c r="AA53" s="14"/>
      <c r="AB53" s="14"/>
      <c r="AC53" s="14"/>
      <c r="AD53" s="14"/>
    </row>
    <row r="54" spans="2:30" s="1" customFormat="1" ht="15.75" x14ac:dyDescent="0.25">
      <c r="E54" s="430"/>
      <c r="F54" s="431"/>
      <c r="G54" s="14"/>
      <c r="H54" s="14"/>
      <c r="I54" s="14"/>
      <c r="J54" s="10"/>
      <c r="K54" s="10"/>
      <c r="L54" s="10"/>
      <c r="M54" s="10"/>
      <c r="N54" s="10"/>
      <c r="O54" s="73" t="s">
        <v>45</v>
      </c>
      <c r="Q54" s="547" t="s">
        <v>134</v>
      </c>
      <c r="R54" s="547" t="s">
        <v>112</v>
      </c>
      <c r="S54" s="547" t="s">
        <v>89</v>
      </c>
      <c r="T54" s="547" t="s">
        <v>528</v>
      </c>
      <c r="U54" s="547" t="s">
        <v>529</v>
      </c>
      <c r="V54" s="547" t="s">
        <v>4</v>
      </c>
      <c r="W54" s="547" t="s">
        <v>530</v>
      </c>
      <c r="X54" s="547" t="s">
        <v>531</v>
      </c>
      <c r="Y54" s="547" t="s">
        <v>532</v>
      </c>
      <c r="Z54" s="14"/>
      <c r="AA54" s="14"/>
      <c r="AB54" s="14"/>
      <c r="AC54" s="14"/>
      <c r="AD54" s="14"/>
    </row>
    <row r="55" spans="2:30" s="1" customFormat="1" ht="15.75" x14ac:dyDescent="0.25">
      <c r="B55" s="430" t="s">
        <v>380</v>
      </c>
      <c r="E55" s="430"/>
      <c r="F55" s="431"/>
      <c r="G55" s="14"/>
      <c r="H55" s="14"/>
      <c r="I55" s="14"/>
      <c r="J55" s="10"/>
      <c r="K55" s="10"/>
      <c r="L55" s="10"/>
      <c r="M55" s="10"/>
      <c r="N55" s="10"/>
      <c r="O55" s="64" t="s">
        <v>12</v>
      </c>
      <c r="Q55" s="298" t="s">
        <v>916</v>
      </c>
      <c r="R55" s="298" t="s">
        <v>523</v>
      </c>
      <c r="S55" s="298" t="s">
        <v>533</v>
      </c>
      <c r="T55" s="298" t="s">
        <v>557</v>
      </c>
      <c r="U55" s="298"/>
      <c r="V55" s="298" t="s">
        <v>546</v>
      </c>
      <c r="W55" s="298"/>
      <c r="X55" s="298"/>
      <c r="Y55" s="298" t="s">
        <v>540</v>
      </c>
      <c r="Z55" s="14"/>
      <c r="AA55" s="14"/>
      <c r="AB55" s="14"/>
      <c r="AC55" s="14"/>
      <c r="AD55" s="14"/>
    </row>
    <row r="56" spans="2:30" s="1" customFormat="1" ht="15.75" x14ac:dyDescent="0.25">
      <c r="C56" s="16"/>
      <c r="D56" s="16"/>
      <c r="E56" s="432"/>
      <c r="F56" s="433"/>
      <c r="G56" s="14"/>
      <c r="H56" s="14"/>
      <c r="I56" s="14"/>
      <c r="J56" s="10"/>
      <c r="K56" s="10"/>
      <c r="L56" s="10"/>
      <c r="M56" s="10"/>
      <c r="N56" s="10"/>
      <c r="O56" s="64" t="s">
        <v>13</v>
      </c>
      <c r="Q56" s="298" t="s">
        <v>918</v>
      </c>
      <c r="R56" s="298" t="s">
        <v>524</v>
      </c>
      <c r="S56" s="298" t="s">
        <v>534</v>
      </c>
      <c r="T56" s="298" t="s">
        <v>556</v>
      </c>
      <c r="U56" s="298"/>
      <c r="V56" s="298" t="s">
        <v>547</v>
      </c>
      <c r="W56" s="298"/>
      <c r="X56" s="298"/>
      <c r="Y56" s="298" t="s">
        <v>541</v>
      </c>
      <c r="Z56" s="14"/>
      <c r="AA56" s="14"/>
      <c r="AB56" s="14"/>
      <c r="AC56" s="14"/>
      <c r="AD56" s="14"/>
    </row>
    <row r="57" spans="2:30" s="1" customFormat="1" ht="15.75" x14ac:dyDescent="0.25">
      <c r="F57" s="33"/>
      <c r="G57" s="14"/>
      <c r="H57" s="14"/>
      <c r="I57" s="14"/>
      <c r="J57" s="10"/>
      <c r="K57" s="10"/>
      <c r="L57" s="10"/>
      <c r="M57" s="10"/>
      <c r="N57" s="10"/>
      <c r="O57" s="14" t="s">
        <v>312</v>
      </c>
      <c r="P57" s="14"/>
      <c r="Q57" s="298" t="s">
        <v>917</v>
      </c>
      <c r="R57" s="298" t="s">
        <v>13</v>
      </c>
      <c r="S57" s="298" t="s">
        <v>535</v>
      </c>
      <c r="T57" s="298" t="s">
        <v>13</v>
      </c>
      <c r="U57" s="298"/>
      <c r="V57" s="298" t="s">
        <v>13</v>
      </c>
      <c r="W57" s="298"/>
      <c r="X57" s="298"/>
      <c r="Y57" s="298" t="s">
        <v>542</v>
      </c>
      <c r="Z57" s="14"/>
      <c r="AA57" s="14"/>
      <c r="AB57" s="14"/>
      <c r="AC57" s="14"/>
      <c r="AD57" s="14"/>
    </row>
    <row r="58" spans="2:30" s="1" customFormat="1" ht="15.75" x14ac:dyDescent="0.25">
      <c r="B58" s="434" t="s">
        <v>379</v>
      </c>
      <c r="C58" s="435" t="str">
        <f>TVC_current_version</f>
        <v>1.2</v>
      </c>
      <c r="E58" s="436">
        <f>TVC_current_date</f>
        <v>45327</v>
      </c>
      <c r="F58" s="33"/>
      <c r="G58" s="14"/>
      <c r="H58" s="14"/>
      <c r="I58" s="14"/>
      <c r="J58" s="10"/>
      <c r="K58" s="10"/>
      <c r="L58" s="10"/>
      <c r="M58" s="10"/>
      <c r="N58" s="10"/>
      <c r="O58" s="14"/>
      <c r="P58" s="14"/>
      <c r="Q58" s="298" t="s">
        <v>13</v>
      </c>
      <c r="R58" s="298"/>
      <c r="S58" s="298" t="s">
        <v>13</v>
      </c>
      <c r="T58" s="298"/>
      <c r="U58" s="298"/>
      <c r="V58" s="298"/>
      <c r="W58" s="298"/>
      <c r="X58" s="298"/>
      <c r="Y58" s="298" t="s">
        <v>13</v>
      </c>
      <c r="Z58" s="14"/>
      <c r="AA58" s="14"/>
      <c r="AB58" s="14"/>
      <c r="AC58" s="14"/>
      <c r="AD58" s="14"/>
    </row>
    <row r="59" spans="2:30" s="1" customFormat="1" ht="15.75" x14ac:dyDescent="0.25">
      <c r="E59" s="2"/>
      <c r="F59" s="33"/>
      <c r="G59" s="14"/>
      <c r="H59" s="14"/>
      <c r="I59" s="14"/>
      <c r="J59" s="10"/>
      <c r="K59" s="10"/>
      <c r="L59" s="10"/>
      <c r="M59" s="10"/>
      <c r="N59" s="10"/>
      <c r="O59" s="64" t="s">
        <v>315</v>
      </c>
      <c r="P59" s="14"/>
      <c r="Q59" s="298"/>
      <c r="R59" s="298"/>
      <c r="S59" s="298"/>
      <c r="T59" s="298"/>
      <c r="U59" s="298"/>
      <c r="V59" s="298"/>
      <c r="W59" s="298"/>
      <c r="X59" s="298"/>
      <c r="Y59" s="298"/>
      <c r="Z59" s="14"/>
      <c r="AA59" s="14"/>
      <c r="AB59" s="14"/>
      <c r="AC59" s="14"/>
      <c r="AD59" s="14"/>
    </row>
    <row r="60" spans="2:30" x14ac:dyDescent="0.25">
      <c r="C60" s="15"/>
      <c r="O60" s="298" t="s">
        <v>316</v>
      </c>
    </row>
    <row r="61" spans="2:30" s="1" customFormat="1" ht="15.75" x14ac:dyDescent="0.25">
      <c r="B61" s="14"/>
      <c r="C61" s="14"/>
      <c r="D61" s="14"/>
      <c r="E61" s="13"/>
      <c r="F61" s="10"/>
      <c r="G61" s="14"/>
      <c r="H61" s="14"/>
      <c r="I61" s="14"/>
      <c r="J61" s="10"/>
      <c r="K61" s="10"/>
      <c r="L61" s="10"/>
      <c r="M61" s="10"/>
      <c r="N61" s="10"/>
      <c r="O61" s="298" t="s">
        <v>12</v>
      </c>
      <c r="P61" s="14"/>
      <c r="Q61" s="14"/>
      <c r="R61" s="14"/>
      <c r="S61" s="14"/>
      <c r="T61" s="14"/>
      <c r="U61" s="14"/>
      <c r="V61" s="14"/>
      <c r="W61" s="14"/>
      <c r="X61" s="14"/>
      <c r="Y61" s="14"/>
      <c r="Z61" s="14"/>
      <c r="AA61" s="14"/>
      <c r="AB61" s="14"/>
      <c r="AC61" s="14"/>
      <c r="AD61" s="14"/>
    </row>
    <row r="62" spans="2:30" s="1" customFormat="1" ht="15.75" x14ac:dyDescent="0.25">
      <c r="B62" s="14"/>
      <c r="C62" s="14"/>
      <c r="D62" s="14"/>
      <c r="E62" s="13"/>
      <c r="F62" s="10"/>
      <c r="G62" s="14"/>
      <c r="H62" s="14"/>
      <c r="I62" s="14"/>
      <c r="J62" s="10"/>
      <c r="K62" s="10"/>
      <c r="L62" s="10"/>
      <c r="M62" s="10"/>
      <c r="N62" s="10"/>
      <c r="O62" s="298" t="s">
        <v>311</v>
      </c>
      <c r="P62" s="14"/>
      <c r="Q62" s="14"/>
      <c r="R62" s="14"/>
      <c r="S62" s="14"/>
      <c r="T62" s="14"/>
      <c r="U62" s="14"/>
      <c r="V62" s="14"/>
      <c r="W62" s="14"/>
      <c r="X62" s="14"/>
      <c r="Y62" s="14"/>
      <c r="Z62" s="14"/>
      <c r="AA62" s="14"/>
      <c r="AB62" s="14"/>
      <c r="AC62" s="14"/>
      <c r="AD62" s="14"/>
    </row>
    <row r="63" spans="2:30" s="1" customFormat="1" ht="15.75" x14ac:dyDescent="0.25">
      <c r="C63" s="28"/>
      <c r="E63" s="14"/>
      <c r="F63" s="14"/>
      <c r="G63" s="14"/>
      <c r="H63" s="14"/>
      <c r="I63" s="14"/>
      <c r="J63" s="14"/>
      <c r="K63" s="14"/>
      <c r="L63" s="14"/>
      <c r="M63" s="14"/>
      <c r="N63" s="14"/>
      <c r="O63" s="298" t="s">
        <v>312</v>
      </c>
      <c r="P63" s="86"/>
      <c r="Q63" s="14"/>
      <c r="R63" s="14"/>
      <c r="S63" s="14"/>
      <c r="T63" s="14"/>
      <c r="U63" s="14"/>
      <c r="V63" s="14"/>
      <c r="W63" s="14"/>
      <c r="X63" s="14"/>
      <c r="Y63" s="14"/>
      <c r="Z63" s="14"/>
      <c r="AA63" s="14"/>
      <c r="AB63" s="14"/>
      <c r="AC63" s="14"/>
      <c r="AD63" s="14"/>
    </row>
    <row r="64" spans="2:30" s="1" customFormat="1" ht="15.75" x14ac:dyDescent="0.25">
      <c r="B64" s="32"/>
      <c r="C64" s="29" t="s">
        <v>8</v>
      </c>
      <c r="E64" s="13"/>
      <c r="F64" s="10"/>
      <c r="G64" s="14"/>
      <c r="H64" s="14"/>
      <c r="I64" s="14"/>
      <c r="J64" s="10"/>
      <c r="K64" s="10"/>
      <c r="L64" s="10"/>
      <c r="M64" s="10"/>
      <c r="N64" s="10"/>
      <c r="O64" s="14"/>
      <c r="P64" s="86"/>
      <c r="Q64" s="14"/>
      <c r="R64" s="14"/>
      <c r="S64" s="14"/>
      <c r="T64" s="14"/>
      <c r="U64" s="14"/>
      <c r="V64" s="14"/>
      <c r="W64" s="14"/>
      <c r="X64" s="14"/>
      <c r="Y64" s="14"/>
      <c r="Z64" s="14"/>
      <c r="AA64" s="14"/>
      <c r="AB64" s="14"/>
      <c r="AC64" s="14"/>
      <c r="AD64" s="14"/>
    </row>
    <row r="65" spans="2:30" s="1" customFormat="1" ht="15.75" x14ac:dyDescent="0.25">
      <c r="C65" s="437"/>
      <c r="E65" s="13"/>
      <c r="F65" s="10"/>
      <c r="G65" s="14"/>
      <c r="H65" s="14"/>
      <c r="I65" s="14"/>
      <c r="J65" s="10"/>
      <c r="K65" s="10"/>
      <c r="L65" s="10"/>
      <c r="M65" s="10"/>
      <c r="N65" s="10"/>
      <c r="O65" s="298" t="s">
        <v>14</v>
      </c>
      <c r="P65" s="86"/>
      <c r="Q65" s="14"/>
      <c r="R65" s="14"/>
      <c r="S65" s="14"/>
      <c r="T65" s="14"/>
      <c r="U65" s="14"/>
      <c r="V65" s="14"/>
      <c r="W65" s="14"/>
      <c r="X65" s="14"/>
      <c r="Y65" s="14"/>
      <c r="Z65" s="14"/>
      <c r="AA65" s="14"/>
      <c r="AB65" s="14"/>
      <c r="AC65" s="14"/>
      <c r="AD65" s="14"/>
    </row>
    <row r="66" spans="2:30" s="1" customFormat="1" ht="15.75" x14ac:dyDescent="0.25">
      <c r="E66" s="13"/>
      <c r="F66" s="10"/>
      <c r="G66" s="14"/>
      <c r="H66" s="14"/>
      <c r="I66" s="14"/>
      <c r="J66" s="10"/>
      <c r="K66" s="10"/>
      <c r="L66" s="10"/>
      <c r="M66" s="10"/>
      <c r="N66" s="10"/>
      <c r="O66" s="14"/>
      <c r="P66" s="14"/>
      <c r="Q66" s="14"/>
      <c r="R66" s="14"/>
      <c r="S66" s="14"/>
      <c r="T66" s="14"/>
      <c r="U66" s="14"/>
      <c r="V66" s="14"/>
      <c r="W66" s="14"/>
      <c r="X66" s="14"/>
      <c r="Y66" s="14"/>
      <c r="Z66" s="14"/>
      <c r="AA66" s="14"/>
      <c r="AB66" s="14"/>
      <c r="AC66" s="14"/>
      <c r="AD66" s="14"/>
    </row>
    <row r="67" spans="2:30" s="1" customFormat="1" ht="15.75" x14ac:dyDescent="0.25">
      <c r="B67" s="19"/>
      <c r="C67" s="30"/>
      <c r="E67" s="25"/>
      <c r="F67" s="25"/>
      <c r="G67" s="14"/>
      <c r="H67" s="14"/>
      <c r="I67" s="14"/>
      <c r="J67" s="25"/>
      <c r="K67" s="25"/>
      <c r="L67" s="25"/>
      <c r="M67" s="25"/>
      <c r="N67" s="25"/>
      <c r="O67" s="14"/>
      <c r="P67" s="14"/>
      <c r="Q67" s="14"/>
      <c r="R67" s="14"/>
      <c r="S67" s="14"/>
      <c r="T67" s="14"/>
      <c r="U67" s="14"/>
      <c r="V67" s="14"/>
      <c r="W67" s="14"/>
      <c r="X67" s="14"/>
      <c r="Y67" s="14"/>
      <c r="Z67" s="14"/>
      <c r="AA67" s="14"/>
      <c r="AB67" s="14"/>
      <c r="AC67" s="14"/>
      <c r="AD67" s="14"/>
    </row>
    <row r="68" spans="2:30" s="1" customFormat="1" ht="15" customHeight="1" x14ac:dyDescent="0.25">
      <c r="B68" s="8"/>
      <c r="C68" s="31"/>
      <c r="E68" s="22"/>
      <c r="F68" s="12"/>
      <c r="G68" s="14"/>
      <c r="H68" s="14"/>
      <c r="I68" s="14"/>
      <c r="J68" s="12"/>
      <c r="K68" s="12"/>
      <c r="L68" s="12"/>
      <c r="M68" s="12"/>
      <c r="N68" s="12"/>
      <c r="O68" s="42" t="s">
        <v>276</v>
      </c>
      <c r="P68" s="402" t="s">
        <v>265</v>
      </c>
      <c r="Q68" s="14"/>
      <c r="R68" s="14"/>
      <c r="S68" s="14"/>
      <c r="T68" s="14"/>
      <c r="U68" s="14"/>
      <c r="V68" s="14"/>
      <c r="W68" s="14"/>
      <c r="X68" s="14"/>
      <c r="Y68" s="14"/>
      <c r="Z68" s="14"/>
      <c r="AA68" s="14"/>
      <c r="AB68" s="14"/>
      <c r="AC68" s="14"/>
      <c r="AD68" s="14"/>
    </row>
    <row r="69" spans="2:30" s="1" customFormat="1" ht="15.75" x14ac:dyDescent="0.25">
      <c r="B69" s="9"/>
      <c r="C69" s="31"/>
      <c r="E69" s="22"/>
      <c r="F69" s="12"/>
      <c r="G69" s="14"/>
      <c r="H69" s="14"/>
      <c r="I69" s="14"/>
      <c r="J69" s="12"/>
      <c r="K69" s="12"/>
      <c r="L69" s="12"/>
      <c r="M69" s="12"/>
      <c r="N69" s="12"/>
      <c r="O69" s="14"/>
      <c r="P69" s="14"/>
      <c r="Q69" s="14"/>
      <c r="R69" s="14"/>
      <c r="S69" s="14"/>
      <c r="T69" s="14"/>
      <c r="U69" s="14"/>
      <c r="V69" s="14"/>
      <c r="W69" s="14"/>
      <c r="X69" s="14"/>
      <c r="Y69" s="14"/>
      <c r="Z69" s="14"/>
      <c r="AA69" s="14"/>
      <c r="AB69" s="14"/>
      <c r="AC69" s="14"/>
      <c r="AD69" s="14"/>
    </row>
    <row r="70" spans="2:30" s="1" customFormat="1" ht="15.75" x14ac:dyDescent="0.25">
      <c r="B70" s="18"/>
      <c r="C70" s="30"/>
      <c r="E70" s="13"/>
      <c r="F70" s="10"/>
      <c r="G70" s="14"/>
      <c r="H70" s="14"/>
      <c r="I70" s="14"/>
      <c r="J70" s="10"/>
      <c r="K70" s="10"/>
      <c r="L70" s="10"/>
      <c r="M70" s="10"/>
      <c r="N70" s="10"/>
      <c r="O70" s="14"/>
      <c r="P70" s="14"/>
      <c r="Q70" s="14"/>
      <c r="R70" s="14"/>
      <c r="S70" s="14"/>
      <c r="T70" s="14"/>
      <c r="U70" s="14"/>
      <c r="V70" s="14"/>
      <c r="W70" s="14"/>
      <c r="X70" s="14"/>
      <c r="Y70" s="14"/>
      <c r="Z70" s="14"/>
      <c r="AA70" s="14"/>
      <c r="AB70" s="14"/>
      <c r="AC70" s="14"/>
      <c r="AD70" s="14"/>
    </row>
    <row r="71" spans="2:30" s="1" customFormat="1" ht="15.75" x14ac:dyDescent="0.25">
      <c r="B71" s="8"/>
      <c r="C71" s="31"/>
      <c r="E71" s="13"/>
      <c r="F71" s="10"/>
      <c r="G71" s="14"/>
      <c r="H71" s="14"/>
      <c r="I71" s="14"/>
      <c r="J71" s="10"/>
      <c r="K71" s="10"/>
      <c r="L71" s="10"/>
      <c r="M71" s="10"/>
      <c r="N71" s="10"/>
      <c r="O71" s="14"/>
      <c r="Q71" s="14"/>
      <c r="R71" s="14"/>
      <c r="S71" s="14"/>
      <c r="T71" s="14"/>
      <c r="U71" s="14"/>
      <c r="V71" s="14"/>
      <c r="W71" s="14"/>
      <c r="X71" s="14"/>
      <c r="Y71" s="14"/>
      <c r="Z71" s="14"/>
      <c r="AA71" s="14"/>
      <c r="AB71" s="14"/>
      <c r="AC71" s="14"/>
      <c r="AD71" s="14"/>
    </row>
    <row r="72" spans="2:30" s="1" customFormat="1" ht="15.75" x14ac:dyDescent="0.25">
      <c r="B72" s="3"/>
      <c r="C72" s="15"/>
      <c r="E72" s="13"/>
      <c r="F72" s="10"/>
      <c r="G72" s="14"/>
      <c r="H72" s="14"/>
      <c r="I72" s="14"/>
      <c r="J72" s="10"/>
      <c r="K72" s="10"/>
      <c r="L72" s="10"/>
      <c r="M72" s="10"/>
      <c r="N72" s="10"/>
      <c r="O72" s="14"/>
      <c r="P72" s="14"/>
      <c r="Q72" s="14"/>
      <c r="R72" s="14"/>
      <c r="S72" s="14"/>
      <c r="T72" s="14"/>
      <c r="U72" s="14"/>
      <c r="V72" s="14"/>
      <c r="W72" s="14"/>
      <c r="X72" s="14"/>
      <c r="Y72" s="14"/>
      <c r="Z72" s="14"/>
      <c r="AA72" s="14"/>
      <c r="AB72" s="14"/>
      <c r="AC72" s="14"/>
      <c r="AD72" s="14"/>
    </row>
    <row r="73" spans="2:30" s="1" customFormat="1" ht="15.75" x14ac:dyDescent="0.25">
      <c r="C73" s="15"/>
      <c r="E73" s="13"/>
      <c r="F73" s="10"/>
      <c r="G73" s="14"/>
      <c r="H73" s="14"/>
      <c r="I73" s="14"/>
      <c r="J73" s="10"/>
      <c r="K73" s="10"/>
      <c r="L73" s="10"/>
      <c r="M73" s="10"/>
      <c r="N73" s="10"/>
      <c r="O73" s="401" t="s">
        <v>313</v>
      </c>
      <c r="P73" s="402" t="s">
        <v>12</v>
      </c>
      <c r="Q73" s="14"/>
      <c r="R73" s="14"/>
      <c r="S73" s="14"/>
      <c r="T73" s="14"/>
      <c r="U73" s="14"/>
      <c r="V73" s="14"/>
      <c r="W73" s="14"/>
      <c r="X73" s="14"/>
      <c r="Y73" s="14"/>
      <c r="Z73" s="14"/>
      <c r="AA73" s="14"/>
      <c r="AB73" s="14"/>
      <c r="AC73" s="14"/>
      <c r="AD73" s="14"/>
    </row>
    <row r="74" spans="2:30" s="1" customFormat="1" x14ac:dyDescent="0.25">
      <c r="C74" s="15"/>
      <c r="G74" s="14"/>
      <c r="H74" s="14"/>
      <c r="I74" s="14"/>
      <c r="O74" s="14"/>
      <c r="P74" s="14"/>
      <c r="Q74" s="14"/>
      <c r="R74" s="14"/>
      <c r="S74" s="14"/>
      <c r="T74" s="14"/>
      <c r="U74" s="14"/>
      <c r="V74" s="14"/>
      <c r="W74" s="14"/>
      <c r="X74" s="14"/>
      <c r="Y74" s="14"/>
      <c r="Z74" s="14"/>
      <c r="AA74" s="14"/>
      <c r="AB74" s="14"/>
      <c r="AC74" s="14"/>
      <c r="AD74" s="14"/>
    </row>
    <row r="75" spans="2:30" s="1" customFormat="1" x14ac:dyDescent="0.25">
      <c r="C75" s="15"/>
      <c r="G75" s="14"/>
      <c r="H75" s="14"/>
      <c r="I75" s="14"/>
      <c r="O75" s="14"/>
      <c r="P75" s="14"/>
      <c r="Q75" s="14"/>
      <c r="R75" s="14"/>
      <c r="S75" s="14"/>
      <c r="T75" s="14"/>
      <c r="U75" s="14"/>
      <c r="V75" s="14"/>
      <c r="W75" s="14"/>
      <c r="X75" s="14"/>
      <c r="Y75" s="14"/>
      <c r="Z75" s="14"/>
      <c r="AA75" s="14"/>
      <c r="AB75" s="14"/>
      <c r="AC75" s="14"/>
      <c r="AD75" s="14"/>
    </row>
    <row r="76" spans="2:30" s="1" customFormat="1" x14ac:dyDescent="0.25">
      <c r="C76" s="15"/>
      <c r="G76" s="14"/>
      <c r="H76" s="14"/>
      <c r="I76" s="14"/>
      <c r="O76" s="14"/>
      <c r="P76" s="14"/>
      <c r="Q76" s="14"/>
      <c r="R76" s="14"/>
      <c r="S76" s="14"/>
      <c r="T76" s="14"/>
      <c r="U76" s="14"/>
      <c r="V76" s="14"/>
      <c r="W76" s="14"/>
      <c r="X76" s="14"/>
      <c r="Y76" s="14"/>
      <c r="Z76" s="14"/>
      <c r="AA76" s="14"/>
      <c r="AB76" s="14"/>
      <c r="AC76" s="14"/>
      <c r="AD76" s="14"/>
    </row>
    <row r="77" spans="2:30" s="1" customFormat="1" x14ac:dyDescent="0.25">
      <c r="G77" s="14"/>
      <c r="H77" s="14"/>
      <c r="I77" s="14"/>
      <c r="O77" s="14"/>
      <c r="P77" s="14"/>
      <c r="Q77" s="14"/>
      <c r="R77" s="14"/>
      <c r="S77" s="14"/>
      <c r="T77" s="14"/>
      <c r="U77" s="14"/>
      <c r="V77" s="14"/>
      <c r="W77" s="14"/>
      <c r="X77" s="14"/>
      <c r="Y77" s="14"/>
      <c r="Z77" s="14"/>
      <c r="AA77" s="14"/>
      <c r="AB77" s="14"/>
      <c r="AC77" s="14"/>
      <c r="AD77" s="14"/>
    </row>
    <row r="78" spans="2:30" s="1" customFormat="1" x14ac:dyDescent="0.25">
      <c r="C78" s="15"/>
      <c r="G78" s="14"/>
      <c r="H78" s="14"/>
      <c r="I78" s="14"/>
      <c r="O78" s="14"/>
      <c r="P78" s="14"/>
      <c r="Q78" s="14"/>
      <c r="R78" s="14"/>
      <c r="S78" s="14"/>
      <c r="T78" s="14"/>
      <c r="U78" s="14"/>
      <c r="V78" s="14"/>
      <c r="W78" s="14"/>
      <c r="X78" s="14"/>
      <c r="Y78" s="14"/>
      <c r="Z78" s="14"/>
      <c r="AA78" s="14"/>
      <c r="AB78" s="14"/>
      <c r="AC78" s="14"/>
      <c r="AD78" s="14"/>
    </row>
    <row r="79" spans="2:30" s="1" customFormat="1" x14ac:dyDescent="0.25">
      <c r="C79" s="15"/>
      <c r="G79" s="14"/>
      <c r="H79" s="14"/>
      <c r="I79" s="14"/>
      <c r="O79" s="14"/>
      <c r="P79" s="14"/>
      <c r="Q79" s="14"/>
      <c r="R79" s="14"/>
      <c r="S79" s="14"/>
      <c r="T79" s="14"/>
      <c r="U79" s="14"/>
      <c r="V79" s="14"/>
      <c r="W79" s="14"/>
      <c r="X79" s="14"/>
      <c r="Y79" s="14"/>
      <c r="Z79" s="14"/>
      <c r="AA79" s="14"/>
      <c r="AB79" s="14"/>
      <c r="AC79" s="14"/>
      <c r="AD79" s="14"/>
    </row>
    <row r="80" spans="2:30" s="1" customFormat="1" x14ac:dyDescent="0.25">
      <c r="C80" s="15"/>
      <c r="G80" s="14"/>
      <c r="H80" s="14"/>
      <c r="I80" s="14"/>
      <c r="O80" s="14"/>
      <c r="P80" s="14"/>
      <c r="Q80" s="14"/>
      <c r="R80" s="14"/>
      <c r="S80" s="14"/>
      <c r="T80" s="14"/>
      <c r="U80" s="14"/>
      <c r="V80" s="14"/>
      <c r="W80" s="14"/>
      <c r="X80" s="14"/>
      <c r="Y80" s="14"/>
      <c r="Z80" s="14"/>
      <c r="AA80" s="14"/>
      <c r="AB80" s="14"/>
      <c r="AC80" s="14"/>
      <c r="AD80" s="14"/>
    </row>
    <row r="81" spans="3:30" s="1" customFormat="1" x14ac:dyDescent="0.25">
      <c r="C81" s="15"/>
      <c r="G81" s="14"/>
      <c r="H81" s="14"/>
      <c r="I81" s="14"/>
      <c r="O81" s="14"/>
      <c r="P81" s="14"/>
      <c r="Q81" s="14"/>
      <c r="R81" s="14"/>
      <c r="S81" s="14"/>
      <c r="T81" s="14"/>
      <c r="U81" s="14"/>
      <c r="V81" s="14"/>
      <c r="W81" s="14"/>
      <c r="X81" s="14"/>
      <c r="Y81" s="14"/>
      <c r="Z81" s="14"/>
      <c r="AA81" s="14"/>
      <c r="AB81" s="14"/>
      <c r="AC81" s="14"/>
      <c r="AD81" s="14"/>
    </row>
    <row r="82" spans="3:30" s="1" customFormat="1" x14ac:dyDescent="0.25">
      <c r="C82" s="15"/>
      <c r="G82" s="14"/>
      <c r="H82" s="14"/>
      <c r="I82" s="14"/>
      <c r="O82" s="14"/>
      <c r="P82" s="14"/>
      <c r="Q82" s="14"/>
      <c r="R82" s="14"/>
      <c r="S82" s="14"/>
      <c r="T82" s="14"/>
      <c r="U82" s="14"/>
      <c r="V82" s="14"/>
      <c r="W82" s="14"/>
      <c r="X82" s="14"/>
      <c r="Y82" s="14"/>
      <c r="Z82" s="14"/>
      <c r="AA82" s="14"/>
      <c r="AB82" s="14"/>
      <c r="AC82" s="14"/>
      <c r="AD82" s="14"/>
    </row>
    <row r="83" spans="3:30" s="1" customFormat="1" x14ac:dyDescent="0.25">
      <c r="C83" s="15"/>
      <c r="G83" s="14"/>
      <c r="H83" s="14"/>
      <c r="I83" s="14"/>
      <c r="O83" s="14"/>
      <c r="P83" s="14"/>
      <c r="Q83" s="14"/>
      <c r="R83" s="14"/>
      <c r="S83" s="14"/>
      <c r="T83" s="14"/>
      <c r="U83" s="14"/>
      <c r="V83" s="14"/>
      <c r="W83" s="14"/>
      <c r="X83" s="14"/>
      <c r="Y83" s="14"/>
      <c r="Z83" s="14"/>
      <c r="AA83" s="14"/>
      <c r="AB83" s="14"/>
      <c r="AC83" s="14"/>
      <c r="AD83" s="14"/>
    </row>
    <row r="84" spans="3:30" s="1" customFormat="1" x14ac:dyDescent="0.25">
      <c r="C84" s="15"/>
      <c r="G84" s="14"/>
      <c r="H84" s="14"/>
      <c r="I84" s="14"/>
      <c r="O84" s="14"/>
      <c r="P84" s="14"/>
      <c r="Q84" s="401" t="s">
        <v>22</v>
      </c>
      <c r="R84" s="402" t="s">
        <v>78</v>
      </c>
      <c r="S84" s="14"/>
      <c r="T84" s="14"/>
      <c r="U84" s="14"/>
      <c r="V84" s="14"/>
      <c r="W84" s="14"/>
      <c r="X84" s="14"/>
      <c r="Y84" s="14"/>
      <c r="Z84" s="14"/>
      <c r="AA84" s="14"/>
      <c r="AB84" s="14"/>
      <c r="AC84" s="14"/>
      <c r="AD84" s="14"/>
    </row>
    <row r="85" spans="3:30" s="1" customFormat="1" x14ac:dyDescent="0.25">
      <c r="C85" s="15"/>
      <c r="G85" s="14"/>
      <c r="H85" s="14"/>
      <c r="I85" s="14"/>
      <c r="O85" s="14"/>
      <c r="P85" s="14"/>
      <c r="Q85" s="401" t="s">
        <v>304</v>
      </c>
      <c r="R85" s="403" t="s">
        <v>38</v>
      </c>
      <c r="S85" s="14"/>
      <c r="T85" s="14"/>
      <c r="U85" s="14"/>
      <c r="V85" s="14"/>
      <c r="W85" s="14"/>
      <c r="X85" s="14"/>
      <c r="Y85" s="14"/>
      <c r="Z85" s="14"/>
      <c r="AA85" s="14"/>
      <c r="AB85" s="14"/>
      <c r="AC85" s="14"/>
      <c r="AD85" s="14"/>
    </row>
    <row r="86" spans="3:30" s="1" customFormat="1" x14ac:dyDescent="0.25">
      <c r="C86" s="15"/>
      <c r="G86" s="14"/>
      <c r="H86" s="14"/>
      <c r="I86" s="14"/>
      <c r="O86" s="14"/>
      <c r="P86" s="14"/>
      <c r="Q86" s="405" t="s">
        <v>305</v>
      </c>
      <c r="R86" s="403" t="s">
        <v>518</v>
      </c>
      <c r="S86" s="14"/>
      <c r="T86" s="14"/>
      <c r="U86" s="14"/>
      <c r="V86" s="14"/>
      <c r="W86" s="14"/>
      <c r="X86" s="14"/>
      <c r="Y86" s="14"/>
      <c r="Z86" s="14"/>
      <c r="AA86" s="14"/>
      <c r="AB86" s="14"/>
      <c r="AC86" s="14"/>
      <c r="AD86" s="14"/>
    </row>
    <row r="87" spans="3:30" s="1" customFormat="1" x14ac:dyDescent="0.25">
      <c r="C87" s="15"/>
      <c r="G87" s="14"/>
      <c r="H87" s="14"/>
      <c r="I87" s="14"/>
      <c r="O87" s="14"/>
      <c r="P87" s="14"/>
      <c r="Q87" s="14"/>
      <c r="R87" s="14"/>
      <c r="S87" s="14"/>
      <c r="T87" s="14"/>
      <c r="U87" s="14"/>
      <c r="V87" s="14"/>
      <c r="W87" s="14"/>
      <c r="X87" s="14"/>
      <c r="Y87" s="14"/>
      <c r="Z87" s="14"/>
      <c r="AA87" s="14"/>
      <c r="AB87" s="14"/>
      <c r="AC87" s="14"/>
      <c r="AD87" s="14"/>
    </row>
    <row r="88" spans="3:30" s="1" customFormat="1" x14ac:dyDescent="0.25">
      <c r="G88" s="14"/>
      <c r="H88" s="14"/>
      <c r="I88" s="14"/>
      <c r="O88" s="14"/>
      <c r="P88" s="14"/>
      <c r="Q88" s="14"/>
      <c r="R88" s="14"/>
      <c r="S88" s="14"/>
      <c r="T88" s="14"/>
      <c r="U88" s="14"/>
      <c r="V88" s="14"/>
      <c r="W88" s="14"/>
      <c r="X88" s="14"/>
      <c r="Y88" s="14"/>
      <c r="Z88" s="14"/>
      <c r="AA88" s="14"/>
      <c r="AB88" s="14"/>
      <c r="AC88" s="14"/>
      <c r="AD88" s="14"/>
    </row>
    <row r="89" spans="3:30" s="1" customFormat="1" x14ac:dyDescent="0.25">
      <c r="G89" s="14"/>
      <c r="H89" s="14"/>
      <c r="I89" s="14"/>
      <c r="O89" s="14"/>
      <c r="P89" s="14"/>
      <c r="Q89" s="14"/>
      <c r="R89" s="14"/>
      <c r="S89" s="14"/>
      <c r="T89" s="14"/>
      <c r="U89" s="14"/>
      <c r="V89" s="14"/>
      <c r="W89" s="14"/>
      <c r="X89" s="14"/>
      <c r="Y89" s="14"/>
      <c r="Z89" s="14"/>
      <c r="AA89" s="14"/>
      <c r="AB89" s="14"/>
      <c r="AC89" s="14"/>
      <c r="AD89" s="14"/>
    </row>
    <row r="90" spans="3:30" s="1" customFormat="1" x14ac:dyDescent="0.25">
      <c r="G90" s="14"/>
      <c r="H90" s="14"/>
      <c r="I90" s="14"/>
      <c r="O90" s="14"/>
      <c r="P90" s="14"/>
      <c r="Q90" s="14"/>
      <c r="R90" s="14"/>
      <c r="S90" s="14"/>
      <c r="T90" s="14"/>
      <c r="U90" s="14"/>
      <c r="V90" s="14"/>
      <c r="W90" s="14"/>
      <c r="X90" s="14"/>
      <c r="Y90" s="14"/>
      <c r="Z90" s="14"/>
      <c r="AA90" s="14"/>
      <c r="AB90" s="14"/>
      <c r="AC90" s="14"/>
      <c r="AD90" s="14"/>
    </row>
    <row r="91" spans="3:30" s="1" customFormat="1" x14ac:dyDescent="0.25">
      <c r="G91" s="14"/>
      <c r="H91" s="14"/>
      <c r="I91" s="14"/>
      <c r="O91" s="14"/>
      <c r="P91" s="14"/>
      <c r="Q91" s="14"/>
      <c r="R91" s="14"/>
      <c r="S91" s="14"/>
      <c r="T91" s="14"/>
      <c r="U91" s="14"/>
      <c r="V91" s="14"/>
      <c r="W91" s="14"/>
      <c r="X91" s="14"/>
      <c r="Y91" s="14"/>
      <c r="Z91" s="14"/>
      <c r="AA91" s="14"/>
      <c r="AB91" s="14"/>
      <c r="AC91" s="14"/>
      <c r="AD91" s="14"/>
    </row>
    <row r="92" spans="3:30" s="1" customFormat="1" x14ac:dyDescent="0.25">
      <c r="G92" s="14"/>
      <c r="H92" s="14"/>
      <c r="I92" s="14"/>
      <c r="O92" s="14"/>
      <c r="P92" s="14"/>
      <c r="Q92" s="14"/>
      <c r="R92" s="14"/>
      <c r="S92" s="14"/>
      <c r="T92" s="14"/>
      <c r="U92" s="14"/>
      <c r="V92" s="14"/>
      <c r="W92" s="14"/>
      <c r="X92" s="14"/>
      <c r="Y92" s="14"/>
      <c r="Z92" s="14"/>
      <c r="AA92" s="14"/>
      <c r="AB92" s="14"/>
      <c r="AC92" s="14"/>
      <c r="AD92" s="14"/>
    </row>
    <row r="93" spans="3:30" s="1" customFormat="1" x14ac:dyDescent="0.25">
      <c r="G93" s="14"/>
      <c r="H93" s="14"/>
      <c r="I93" s="14"/>
      <c r="O93" s="14"/>
      <c r="P93" s="14"/>
      <c r="Q93" s="14"/>
      <c r="R93" s="14"/>
      <c r="S93" s="14"/>
      <c r="T93" s="14"/>
      <c r="U93" s="14"/>
      <c r="V93" s="14"/>
      <c r="W93" s="14"/>
      <c r="X93" s="14"/>
      <c r="Y93" s="14"/>
      <c r="Z93" s="14"/>
      <c r="AA93" s="14"/>
      <c r="AB93" s="14"/>
      <c r="AC93" s="14"/>
      <c r="AD93" s="14"/>
    </row>
    <row r="94" spans="3:30" s="1" customFormat="1" x14ac:dyDescent="0.25">
      <c r="G94" s="14"/>
      <c r="H94" s="14"/>
      <c r="I94" s="14"/>
      <c r="O94" s="14"/>
      <c r="P94" s="14"/>
      <c r="Q94" s="14"/>
      <c r="R94" s="14"/>
      <c r="S94" s="14"/>
      <c r="T94" s="14"/>
      <c r="U94" s="14"/>
      <c r="V94" s="14"/>
      <c r="W94" s="14"/>
      <c r="X94" s="14"/>
      <c r="Y94" s="14"/>
      <c r="Z94" s="14"/>
      <c r="AA94" s="14"/>
      <c r="AB94" s="14"/>
      <c r="AC94" s="14"/>
      <c r="AD94" s="14"/>
    </row>
    <row r="95" spans="3:30" s="1" customFormat="1" x14ac:dyDescent="0.25">
      <c r="G95" s="14"/>
      <c r="H95" s="14"/>
      <c r="I95" s="14"/>
      <c r="O95" s="14"/>
      <c r="P95" s="14"/>
      <c r="Q95" s="14"/>
      <c r="R95" s="14"/>
      <c r="S95" s="14"/>
      <c r="T95" s="14"/>
      <c r="U95" s="14"/>
      <c r="V95" s="14"/>
      <c r="W95" s="14"/>
      <c r="X95" s="14"/>
      <c r="Y95" s="14"/>
      <c r="Z95" s="14"/>
      <c r="AA95" s="14"/>
      <c r="AB95" s="14"/>
      <c r="AC95" s="14"/>
      <c r="AD95" s="14"/>
    </row>
    <row r="96" spans="3:30" s="1" customFormat="1" x14ac:dyDescent="0.25">
      <c r="G96" s="14"/>
      <c r="H96" s="14"/>
      <c r="I96" s="14"/>
      <c r="O96" s="14"/>
      <c r="P96" s="14"/>
      <c r="Q96" s="14"/>
      <c r="R96" s="14"/>
      <c r="S96" s="14"/>
      <c r="T96" s="14"/>
      <c r="U96" s="14"/>
      <c r="V96" s="14"/>
      <c r="W96" s="14"/>
      <c r="X96" s="14"/>
      <c r="Y96" s="14"/>
      <c r="Z96" s="14"/>
      <c r="AA96" s="14"/>
      <c r="AB96" s="14"/>
      <c r="AC96" s="14"/>
      <c r="AD96" s="14"/>
    </row>
    <row r="97" spans="7:30" s="1" customFormat="1" x14ac:dyDescent="0.25">
      <c r="G97" s="14"/>
      <c r="H97" s="14"/>
      <c r="I97" s="14"/>
      <c r="O97" s="14"/>
      <c r="P97" s="14"/>
      <c r="Q97" s="14"/>
      <c r="R97" s="14"/>
      <c r="S97" s="14"/>
      <c r="T97" s="14"/>
      <c r="U97" s="14"/>
      <c r="V97" s="14"/>
      <c r="W97" s="14"/>
      <c r="X97" s="14"/>
      <c r="Y97" s="14"/>
      <c r="Z97" s="14"/>
      <c r="AA97" s="14"/>
      <c r="AB97" s="14"/>
      <c r="AC97" s="14"/>
      <c r="AD97" s="14"/>
    </row>
    <row r="98" spans="7:30" s="1" customFormat="1" x14ac:dyDescent="0.25">
      <c r="G98" s="14"/>
      <c r="H98" s="14"/>
      <c r="I98" s="14"/>
      <c r="O98" s="14"/>
      <c r="P98" s="14"/>
      <c r="Q98" s="14"/>
      <c r="R98" s="14"/>
      <c r="S98" s="14"/>
      <c r="T98" s="14"/>
      <c r="U98" s="14"/>
      <c r="V98" s="14"/>
      <c r="W98" s="14"/>
      <c r="X98" s="14"/>
      <c r="Y98" s="14"/>
      <c r="Z98" s="14"/>
      <c r="AA98" s="14"/>
      <c r="AB98" s="14"/>
      <c r="AC98" s="14"/>
      <c r="AD98" s="14"/>
    </row>
    <row r="99" spans="7:30" s="1" customFormat="1" x14ac:dyDescent="0.25">
      <c r="G99" s="14"/>
      <c r="H99" s="14"/>
      <c r="I99" s="14"/>
      <c r="O99" s="14"/>
      <c r="P99" s="14"/>
      <c r="Q99" s="14"/>
      <c r="R99" s="14"/>
      <c r="S99" s="14"/>
      <c r="T99" s="14"/>
      <c r="U99" s="14"/>
      <c r="V99" s="14"/>
      <c r="W99" s="14"/>
      <c r="X99" s="14"/>
      <c r="Y99" s="14"/>
      <c r="Z99" s="14"/>
      <c r="AA99" s="14"/>
      <c r="AB99" s="14"/>
      <c r="AC99" s="14"/>
      <c r="AD99" s="14"/>
    </row>
    <row r="100" spans="7:30" s="1" customFormat="1" x14ac:dyDescent="0.25">
      <c r="G100" s="14"/>
      <c r="H100" s="14"/>
      <c r="I100" s="14"/>
      <c r="O100" s="14"/>
      <c r="P100" s="14"/>
      <c r="Q100" s="14"/>
      <c r="R100" s="14"/>
      <c r="S100" s="14"/>
      <c r="T100" s="14"/>
      <c r="U100" s="14"/>
      <c r="V100" s="14"/>
      <c r="W100" s="14"/>
      <c r="X100" s="14"/>
      <c r="Y100" s="14"/>
      <c r="Z100" s="14"/>
      <c r="AA100" s="14"/>
      <c r="AB100" s="14"/>
      <c r="AC100" s="14"/>
      <c r="AD100" s="14"/>
    </row>
    <row r="101" spans="7:30" s="1" customFormat="1" x14ac:dyDescent="0.25">
      <c r="G101" s="14"/>
      <c r="H101" s="14"/>
      <c r="I101" s="14"/>
      <c r="O101" s="14"/>
      <c r="P101" s="14"/>
      <c r="Q101" s="14"/>
      <c r="R101" s="14"/>
      <c r="S101" s="14"/>
      <c r="T101" s="14"/>
      <c r="U101" s="14"/>
      <c r="V101" s="14"/>
      <c r="W101" s="14"/>
      <c r="X101" s="14"/>
      <c r="Y101" s="14"/>
      <c r="Z101" s="14"/>
      <c r="AA101" s="14"/>
      <c r="AB101" s="14"/>
      <c r="AC101" s="14"/>
      <c r="AD101" s="14"/>
    </row>
    <row r="102" spans="7:30" s="1" customFormat="1" x14ac:dyDescent="0.25">
      <c r="G102" s="14"/>
      <c r="H102" s="14"/>
      <c r="I102" s="14"/>
      <c r="O102" s="14"/>
      <c r="P102" s="14"/>
      <c r="Q102" s="14"/>
      <c r="R102" s="14"/>
      <c r="S102" s="14"/>
      <c r="T102" s="14"/>
      <c r="U102" s="14"/>
      <c r="V102" s="14"/>
      <c r="W102" s="14"/>
      <c r="X102" s="14"/>
      <c r="Y102" s="14"/>
      <c r="Z102" s="14"/>
      <c r="AA102" s="14"/>
      <c r="AB102" s="14"/>
      <c r="AC102" s="14"/>
      <c r="AD102" s="14"/>
    </row>
    <row r="103" spans="7:30" s="1" customFormat="1" x14ac:dyDescent="0.25">
      <c r="G103" s="14"/>
      <c r="H103" s="14"/>
      <c r="I103" s="14"/>
      <c r="O103" s="14"/>
      <c r="P103" s="14"/>
      <c r="Q103" s="14"/>
      <c r="R103" s="14"/>
      <c r="S103" s="14"/>
      <c r="T103" s="14"/>
      <c r="U103" s="14"/>
      <c r="V103" s="14"/>
      <c r="W103" s="14"/>
      <c r="X103" s="14"/>
      <c r="Y103" s="14"/>
      <c r="Z103" s="14"/>
      <c r="AA103" s="14"/>
      <c r="AB103" s="14"/>
      <c r="AC103" s="14"/>
      <c r="AD103" s="14"/>
    </row>
    <row r="104" spans="7:30" s="1" customFormat="1" x14ac:dyDescent="0.25">
      <c r="G104" s="14"/>
      <c r="H104" s="14"/>
      <c r="I104" s="14"/>
      <c r="O104" s="14"/>
      <c r="P104" s="14"/>
      <c r="Q104" s="14"/>
      <c r="R104" s="14"/>
      <c r="S104" s="14"/>
      <c r="T104" s="14"/>
      <c r="U104" s="14"/>
      <c r="V104" s="14"/>
      <c r="W104" s="14"/>
      <c r="X104" s="14"/>
      <c r="Y104" s="14"/>
      <c r="Z104" s="14"/>
      <c r="AA104" s="14"/>
      <c r="AB104" s="14"/>
      <c r="AC104" s="14"/>
      <c r="AD104" s="14"/>
    </row>
    <row r="105" spans="7:30" s="1" customFormat="1" x14ac:dyDescent="0.25">
      <c r="G105" s="14"/>
      <c r="H105" s="14"/>
      <c r="I105" s="14"/>
      <c r="O105" s="14"/>
      <c r="P105" s="14"/>
      <c r="Q105" s="14"/>
      <c r="R105" s="14"/>
      <c r="S105" s="14"/>
      <c r="T105" s="14"/>
      <c r="U105" s="14"/>
      <c r="V105" s="14"/>
      <c r="W105" s="14"/>
      <c r="X105" s="14"/>
      <c r="Y105" s="14"/>
      <c r="Z105" s="14"/>
      <c r="AA105" s="14"/>
      <c r="AB105" s="14"/>
      <c r="AC105" s="14"/>
      <c r="AD105" s="14"/>
    </row>
    <row r="106" spans="7:30" s="1" customFormat="1" x14ac:dyDescent="0.25">
      <c r="G106" s="14"/>
      <c r="H106" s="14"/>
      <c r="I106" s="14"/>
      <c r="O106" s="14"/>
      <c r="P106" s="14"/>
      <c r="Q106" s="14"/>
      <c r="R106" s="14"/>
      <c r="S106" s="14"/>
      <c r="T106" s="14"/>
      <c r="U106" s="14"/>
      <c r="V106" s="14"/>
      <c r="W106" s="14"/>
      <c r="X106" s="14"/>
      <c r="Y106" s="14"/>
      <c r="Z106" s="14"/>
      <c r="AA106" s="14"/>
      <c r="AB106" s="14"/>
      <c r="AC106" s="14"/>
      <c r="AD106" s="14"/>
    </row>
    <row r="107" spans="7:30" s="1" customFormat="1" x14ac:dyDescent="0.25">
      <c r="G107" s="14"/>
      <c r="H107" s="14"/>
      <c r="I107" s="14"/>
      <c r="O107" s="14"/>
      <c r="P107" s="14"/>
      <c r="Q107" s="14"/>
      <c r="R107" s="14"/>
      <c r="S107" s="14"/>
      <c r="T107" s="14"/>
      <c r="U107" s="14"/>
      <c r="V107" s="14"/>
      <c r="W107" s="14"/>
      <c r="X107" s="14"/>
      <c r="Y107" s="14"/>
      <c r="Z107" s="14"/>
      <c r="AA107" s="14"/>
      <c r="AB107" s="14"/>
      <c r="AC107" s="14"/>
      <c r="AD107" s="14"/>
    </row>
    <row r="108" spans="7:30" s="1" customFormat="1" x14ac:dyDescent="0.25">
      <c r="G108" s="14"/>
      <c r="H108" s="14"/>
      <c r="I108" s="14"/>
      <c r="O108" s="14"/>
      <c r="P108" s="14"/>
      <c r="Q108" s="14"/>
      <c r="R108" s="14"/>
      <c r="S108" s="14"/>
      <c r="T108" s="14"/>
      <c r="U108" s="14"/>
      <c r="V108" s="14"/>
      <c r="W108" s="14"/>
      <c r="X108" s="14"/>
      <c r="Y108" s="14"/>
      <c r="Z108" s="14"/>
      <c r="AA108" s="14"/>
      <c r="AB108" s="14"/>
      <c r="AC108" s="14"/>
      <c r="AD108" s="14"/>
    </row>
    <row r="109" spans="7:30" s="1" customFormat="1" x14ac:dyDescent="0.25">
      <c r="G109" s="14"/>
      <c r="H109" s="14"/>
      <c r="I109" s="14"/>
      <c r="O109" s="14"/>
      <c r="P109" s="14"/>
      <c r="Q109" s="14"/>
      <c r="R109" s="14"/>
      <c r="S109" s="14"/>
      <c r="T109" s="14"/>
      <c r="U109" s="14"/>
      <c r="V109" s="14"/>
      <c r="W109" s="14"/>
      <c r="X109" s="14"/>
      <c r="Y109" s="14"/>
      <c r="Z109" s="14"/>
      <c r="AA109" s="14"/>
      <c r="AB109" s="14"/>
      <c r="AC109" s="14"/>
      <c r="AD109" s="14"/>
    </row>
    <row r="110" spans="7:30" s="1" customFormat="1" x14ac:dyDescent="0.25">
      <c r="G110" s="14"/>
      <c r="H110" s="14"/>
      <c r="I110" s="14"/>
      <c r="O110" s="14"/>
      <c r="P110" s="14"/>
      <c r="Q110" s="14"/>
      <c r="R110" s="14"/>
      <c r="S110" s="14"/>
      <c r="T110" s="14"/>
      <c r="U110" s="14"/>
      <c r="V110" s="14"/>
      <c r="W110" s="14"/>
      <c r="X110" s="14"/>
      <c r="Y110" s="14"/>
      <c r="Z110" s="14"/>
      <c r="AA110" s="14"/>
      <c r="AB110" s="14"/>
      <c r="AC110" s="14"/>
      <c r="AD110" s="14"/>
    </row>
    <row r="111" spans="7:30" s="1" customFormat="1" x14ac:dyDescent="0.25">
      <c r="G111" s="14"/>
      <c r="H111" s="14"/>
      <c r="I111" s="14"/>
      <c r="O111" s="14"/>
      <c r="P111" s="14"/>
      <c r="Q111" s="14"/>
      <c r="R111" s="14"/>
      <c r="S111" s="14"/>
      <c r="T111" s="14"/>
      <c r="U111" s="14"/>
      <c r="V111" s="14"/>
      <c r="W111" s="14"/>
      <c r="X111" s="14"/>
      <c r="Y111" s="14"/>
      <c r="Z111" s="14"/>
      <c r="AA111" s="14"/>
      <c r="AB111" s="14"/>
      <c r="AC111" s="14"/>
      <c r="AD111" s="14"/>
    </row>
    <row r="112" spans="7:30" s="1" customFormat="1" x14ac:dyDescent="0.25">
      <c r="G112" s="14"/>
      <c r="H112" s="14"/>
      <c r="I112" s="14"/>
      <c r="O112" s="14"/>
      <c r="P112" s="14"/>
      <c r="Q112" s="14"/>
      <c r="R112" s="14"/>
      <c r="S112" s="14"/>
      <c r="T112" s="14"/>
      <c r="U112" s="14"/>
      <c r="V112" s="14"/>
      <c r="W112" s="14"/>
      <c r="X112" s="14"/>
      <c r="Y112" s="14"/>
      <c r="Z112" s="14"/>
      <c r="AA112" s="14"/>
      <c r="AB112" s="14"/>
      <c r="AC112" s="14"/>
      <c r="AD112" s="14"/>
    </row>
    <row r="113" spans="7:30" s="1" customFormat="1" x14ac:dyDescent="0.25">
      <c r="G113" s="14"/>
      <c r="H113" s="14"/>
      <c r="I113" s="14"/>
      <c r="O113" s="14"/>
      <c r="P113" s="14"/>
      <c r="Q113" s="14"/>
      <c r="R113" s="14"/>
      <c r="S113" s="14"/>
      <c r="T113" s="14"/>
      <c r="U113" s="14"/>
      <c r="V113" s="14"/>
      <c r="W113" s="14"/>
      <c r="X113" s="14"/>
      <c r="Y113" s="14"/>
      <c r="Z113" s="14"/>
      <c r="AA113" s="14"/>
      <c r="AB113" s="14"/>
      <c r="AC113" s="14"/>
      <c r="AD113" s="14"/>
    </row>
    <row r="114" spans="7:30" s="1" customFormat="1" x14ac:dyDescent="0.25">
      <c r="G114" s="14"/>
      <c r="H114" s="14"/>
      <c r="I114" s="14"/>
      <c r="O114" s="14"/>
      <c r="P114" s="14"/>
      <c r="Q114" s="14"/>
      <c r="R114" s="14"/>
      <c r="S114" s="14"/>
      <c r="T114" s="14"/>
      <c r="U114" s="14"/>
      <c r="V114" s="14"/>
      <c r="W114" s="14"/>
      <c r="X114" s="14"/>
      <c r="Y114" s="14"/>
      <c r="Z114" s="14"/>
      <c r="AA114" s="14"/>
      <c r="AB114" s="14"/>
      <c r="AC114" s="14"/>
      <c r="AD114" s="14"/>
    </row>
    <row r="115" spans="7:30" s="1" customFormat="1" x14ac:dyDescent="0.25">
      <c r="G115" s="14"/>
      <c r="H115" s="14"/>
      <c r="I115" s="14"/>
      <c r="O115" s="14"/>
      <c r="P115" s="14"/>
      <c r="Q115" s="14"/>
      <c r="R115" s="14"/>
      <c r="S115" s="14"/>
      <c r="T115" s="14"/>
      <c r="U115" s="14"/>
      <c r="V115" s="14"/>
      <c r="W115" s="14"/>
      <c r="X115" s="14"/>
      <c r="Y115" s="14"/>
      <c r="Z115" s="14"/>
      <c r="AA115" s="14"/>
      <c r="AB115" s="14"/>
      <c r="AC115" s="14"/>
      <c r="AD115" s="14"/>
    </row>
    <row r="116" spans="7:30" s="1" customFormat="1" x14ac:dyDescent="0.25">
      <c r="G116" s="14"/>
      <c r="H116" s="14"/>
      <c r="I116" s="14"/>
      <c r="O116" s="14"/>
      <c r="P116" s="14"/>
      <c r="Q116" s="14"/>
      <c r="R116" s="14"/>
      <c r="S116" s="14"/>
      <c r="T116" s="14"/>
      <c r="U116" s="14"/>
      <c r="V116" s="14"/>
      <c r="W116" s="14"/>
      <c r="X116" s="14"/>
      <c r="Y116" s="14"/>
      <c r="Z116" s="14"/>
      <c r="AA116" s="14"/>
      <c r="AB116" s="14"/>
      <c r="AC116" s="14"/>
      <c r="AD116" s="14"/>
    </row>
    <row r="117" spans="7:30" s="1" customFormat="1" x14ac:dyDescent="0.25">
      <c r="G117" s="14"/>
      <c r="H117" s="14"/>
      <c r="I117" s="14"/>
      <c r="O117" s="14"/>
      <c r="P117" s="14"/>
      <c r="Q117" s="14"/>
      <c r="R117" s="14"/>
      <c r="S117" s="14"/>
      <c r="T117" s="14"/>
      <c r="U117" s="14"/>
      <c r="V117" s="14"/>
      <c r="W117" s="14"/>
      <c r="X117" s="14"/>
      <c r="Y117" s="14"/>
      <c r="Z117" s="14"/>
      <c r="AA117" s="14"/>
      <c r="AB117" s="14"/>
      <c r="AC117" s="14"/>
      <c r="AD117" s="14"/>
    </row>
    <row r="118" spans="7:30" s="1" customFormat="1" x14ac:dyDescent="0.25">
      <c r="G118" s="14"/>
      <c r="H118" s="14"/>
      <c r="I118" s="14"/>
      <c r="O118" s="14"/>
      <c r="P118" s="14"/>
      <c r="Q118" s="14"/>
      <c r="R118" s="14"/>
      <c r="S118" s="14"/>
      <c r="T118" s="14"/>
      <c r="U118" s="14"/>
      <c r="V118" s="14"/>
      <c r="W118" s="14"/>
      <c r="X118" s="14"/>
      <c r="Y118" s="14"/>
      <c r="Z118" s="14"/>
      <c r="AA118" s="14"/>
      <c r="AB118" s="14"/>
      <c r="AC118" s="14"/>
      <c r="AD118" s="14"/>
    </row>
    <row r="119" spans="7:30" s="1" customFormat="1" x14ac:dyDescent="0.25">
      <c r="G119" s="14"/>
      <c r="H119" s="14"/>
      <c r="I119" s="14"/>
      <c r="O119" s="14"/>
      <c r="P119" s="14"/>
      <c r="Q119" s="14"/>
      <c r="R119" s="14"/>
      <c r="S119" s="14"/>
      <c r="T119" s="14"/>
      <c r="U119" s="14"/>
      <c r="V119" s="14"/>
      <c r="W119" s="14"/>
      <c r="X119" s="14"/>
      <c r="Y119" s="14"/>
      <c r="Z119" s="14"/>
      <c r="AA119" s="14"/>
      <c r="AB119" s="14"/>
      <c r="AC119" s="14"/>
      <c r="AD119" s="14"/>
    </row>
    <row r="120" spans="7:30" s="1" customFormat="1" x14ac:dyDescent="0.25">
      <c r="G120" s="14"/>
      <c r="H120" s="14"/>
      <c r="I120" s="14"/>
      <c r="O120" s="14"/>
      <c r="P120" s="14"/>
      <c r="Q120" s="14"/>
      <c r="R120" s="14"/>
      <c r="S120" s="14"/>
      <c r="T120" s="14"/>
      <c r="U120" s="14"/>
      <c r="V120" s="14"/>
      <c r="W120" s="14"/>
      <c r="X120" s="14"/>
      <c r="Y120" s="14"/>
      <c r="Z120" s="14"/>
      <c r="AA120" s="14"/>
      <c r="AB120" s="14"/>
      <c r="AC120" s="14"/>
      <c r="AD120" s="14"/>
    </row>
    <row r="121" spans="7:30" s="1" customFormat="1" x14ac:dyDescent="0.25">
      <c r="G121" s="14"/>
      <c r="H121" s="14"/>
      <c r="I121" s="14"/>
      <c r="O121" s="14"/>
      <c r="P121" s="14"/>
      <c r="Q121" s="14"/>
      <c r="R121" s="14"/>
      <c r="S121" s="14"/>
      <c r="T121" s="14"/>
      <c r="U121" s="14"/>
      <c r="V121" s="14"/>
      <c r="W121" s="14"/>
      <c r="X121" s="14"/>
      <c r="Y121" s="14"/>
      <c r="Z121" s="14"/>
      <c r="AA121" s="14"/>
      <c r="AB121" s="14"/>
      <c r="AC121" s="14"/>
      <c r="AD121" s="14"/>
    </row>
    <row r="122" spans="7:30" s="1" customFormat="1" x14ac:dyDescent="0.25">
      <c r="G122" s="14"/>
      <c r="H122" s="14"/>
      <c r="I122" s="14"/>
      <c r="O122" s="14"/>
      <c r="P122" s="14"/>
      <c r="Q122" s="14"/>
      <c r="R122" s="14"/>
      <c r="S122" s="14"/>
      <c r="T122" s="14"/>
      <c r="U122" s="14"/>
      <c r="V122" s="14"/>
      <c r="W122" s="14"/>
      <c r="X122" s="14"/>
      <c r="Y122" s="14"/>
      <c r="Z122" s="14"/>
      <c r="AA122" s="14"/>
      <c r="AB122" s="14"/>
      <c r="AC122" s="14"/>
      <c r="AD122" s="14"/>
    </row>
    <row r="123" spans="7:30" s="1" customFormat="1" x14ac:dyDescent="0.25">
      <c r="G123" s="14"/>
      <c r="H123" s="14"/>
      <c r="I123" s="14"/>
      <c r="O123" s="14"/>
      <c r="P123" s="14"/>
      <c r="Q123" s="14"/>
      <c r="R123" s="14"/>
      <c r="S123" s="14"/>
      <c r="T123" s="14"/>
      <c r="U123" s="14"/>
      <c r="V123" s="14"/>
      <c r="W123" s="14"/>
      <c r="X123" s="14"/>
      <c r="Y123" s="14"/>
      <c r="Z123" s="14"/>
      <c r="AA123" s="14"/>
      <c r="AB123" s="14"/>
      <c r="AC123" s="14"/>
      <c r="AD123" s="14"/>
    </row>
    <row r="124" spans="7:30" s="1" customFormat="1" x14ac:dyDescent="0.25">
      <c r="G124" s="14"/>
      <c r="H124" s="14"/>
      <c r="I124" s="14"/>
      <c r="O124" s="14"/>
      <c r="P124" s="14"/>
      <c r="Q124" s="14"/>
      <c r="R124" s="14"/>
      <c r="S124" s="14"/>
      <c r="T124" s="14"/>
      <c r="U124" s="14"/>
      <c r="V124" s="14"/>
      <c r="W124" s="14"/>
      <c r="X124" s="14"/>
      <c r="Y124" s="14"/>
      <c r="Z124" s="14"/>
      <c r="AA124" s="14"/>
      <c r="AB124" s="14"/>
      <c r="AC124" s="14"/>
      <c r="AD124" s="14"/>
    </row>
    <row r="125" spans="7:30" s="1" customFormat="1" x14ac:dyDescent="0.25">
      <c r="G125" s="14"/>
      <c r="H125" s="14"/>
      <c r="I125" s="14"/>
      <c r="O125" s="14"/>
      <c r="P125" s="14"/>
      <c r="Q125" s="14"/>
      <c r="R125" s="14"/>
      <c r="S125" s="14"/>
      <c r="T125" s="14"/>
      <c r="U125" s="14"/>
      <c r="V125" s="14"/>
      <c r="W125" s="14"/>
      <c r="X125" s="14"/>
      <c r="Y125" s="14"/>
      <c r="Z125" s="14"/>
      <c r="AA125" s="14"/>
      <c r="AB125" s="14"/>
      <c r="AC125" s="14"/>
      <c r="AD125" s="14"/>
    </row>
    <row r="126" spans="7:30" s="1" customFormat="1" x14ac:dyDescent="0.25">
      <c r="G126" s="14"/>
      <c r="H126" s="14"/>
      <c r="I126" s="14"/>
      <c r="O126" s="14"/>
      <c r="P126" s="14"/>
      <c r="Q126" s="14"/>
      <c r="R126" s="14"/>
      <c r="S126" s="14"/>
      <c r="T126" s="14"/>
      <c r="U126" s="14"/>
      <c r="V126" s="14"/>
      <c r="W126" s="14"/>
      <c r="X126" s="14"/>
      <c r="Y126" s="14"/>
      <c r="Z126" s="14"/>
      <c r="AA126" s="14"/>
      <c r="AB126" s="14"/>
      <c r="AC126" s="14"/>
      <c r="AD126" s="14"/>
    </row>
    <row r="127" spans="7:30" s="1" customFormat="1" x14ac:dyDescent="0.25">
      <c r="G127" s="14"/>
      <c r="H127" s="14"/>
      <c r="I127" s="14"/>
      <c r="O127" s="14"/>
      <c r="P127" s="14"/>
      <c r="Q127" s="14"/>
      <c r="R127" s="14"/>
      <c r="S127" s="14"/>
      <c r="T127" s="14"/>
      <c r="U127" s="14"/>
      <c r="V127" s="14"/>
      <c r="W127" s="14"/>
      <c r="X127" s="14"/>
      <c r="Y127" s="14"/>
      <c r="Z127" s="14"/>
      <c r="AA127" s="14"/>
      <c r="AB127" s="14"/>
      <c r="AC127" s="14"/>
      <c r="AD127" s="14"/>
    </row>
    <row r="128" spans="7:30" s="1" customFormat="1" x14ac:dyDescent="0.25">
      <c r="G128" s="14"/>
      <c r="H128" s="14"/>
      <c r="I128" s="14"/>
      <c r="O128" s="14"/>
      <c r="P128" s="14"/>
      <c r="Q128" s="14"/>
      <c r="R128" s="14"/>
      <c r="S128" s="14"/>
      <c r="T128" s="14"/>
      <c r="U128" s="14"/>
      <c r="V128" s="14"/>
      <c r="W128" s="14"/>
      <c r="X128" s="14"/>
      <c r="Y128" s="14"/>
      <c r="Z128" s="14"/>
      <c r="AA128" s="14"/>
      <c r="AB128" s="14"/>
      <c r="AC128" s="14"/>
      <c r="AD128" s="14"/>
    </row>
    <row r="129" spans="7:30" s="1" customFormat="1" x14ac:dyDescent="0.25">
      <c r="G129" s="14"/>
      <c r="H129" s="14"/>
      <c r="I129" s="14"/>
      <c r="O129" s="14"/>
      <c r="P129" s="14"/>
      <c r="Q129" s="14"/>
      <c r="R129" s="14"/>
      <c r="S129" s="14"/>
      <c r="T129" s="14"/>
      <c r="U129" s="14"/>
      <c r="V129" s="14"/>
      <c r="W129" s="14"/>
      <c r="X129" s="14"/>
      <c r="Y129" s="14"/>
      <c r="Z129" s="14"/>
      <c r="AA129" s="14"/>
      <c r="AB129" s="14"/>
      <c r="AC129" s="14"/>
      <c r="AD129" s="14"/>
    </row>
    <row r="130" spans="7:30" s="1" customFormat="1" x14ac:dyDescent="0.25">
      <c r="G130" s="14"/>
      <c r="H130" s="14"/>
      <c r="I130" s="14"/>
      <c r="O130" s="14"/>
      <c r="P130" s="14"/>
      <c r="Q130" s="14"/>
      <c r="R130" s="14"/>
      <c r="S130" s="14"/>
      <c r="T130" s="14"/>
      <c r="U130" s="14"/>
      <c r="V130" s="14"/>
      <c r="W130" s="14"/>
      <c r="X130" s="14"/>
      <c r="Y130" s="14"/>
      <c r="Z130" s="14"/>
      <c r="AA130" s="14"/>
      <c r="AB130" s="14"/>
      <c r="AC130" s="14"/>
      <c r="AD130" s="14"/>
    </row>
    <row r="131" spans="7:30" s="1" customFormat="1" x14ac:dyDescent="0.25">
      <c r="G131" s="14"/>
      <c r="H131" s="14"/>
      <c r="I131" s="14"/>
      <c r="O131" s="14"/>
      <c r="P131" s="14"/>
      <c r="Q131" s="14"/>
      <c r="R131" s="14"/>
      <c r="S131" s="14"/>
      <c r="T131" s="14"/>
      <c r="U131" s="14"/>
      <c r="V131" s="14"/>
      <c r="W131" s="14"/>
      <c r="X131" s="14"/>
      <c r="Y131" s="14"/>
      <c r="Z131" s="14"/>
      <c r="AA131" s="14"/>
      <c r="AB131" s="14"/>
      <c r="AC131" s="14"/>
      <c r="AD131" s="14"/>
    </row>
    <row r="132" spans="7:30" s="1" customFormat="1" x14ac:dyDescent="0.25">
      <c r="G132" s="14"/>
      <c r="H132" s="14"/>
      <c r="I132" s="14"/>
      <c r="O132" s="14"/>
      <c r="P132" s="14"/>
      <c r="Q132" s="14"/>
      <c r="R132" s="14"/>
      <c r="S132" s="14"/>
      <c r="T132" s="14"/>
      <c r="U132" s="14"/>
      <c r="V132" s="14"/>
      <c r="W132" s="14"/>
      <c r="X132" s="14"/>
      <c r="Y132" s="14"/>
      <c r="Z132" s="14"/>
      <c r="AA132" s="14"/>
      <c r="AB132" s="14"/>
      <c r="AC132" s="14"/>
      <c r="AD132" s="14"/>
    </row>
    <row r="133" spans="7:30" s="1" customFormat="1" x14ac:dyDescent="0.25">
      <c r="G133" s="14"/>
      <c r="H133" s="14"/>
      <c r="I133" s="14"/>
      <c r="O133" s="14"/>
      <c r="P133" s="14"/>
      <c r="Q133" s="14"/>
      <c r="R133" s="14"/>
      <c r="S133" s="14"/>
      <c r="T133" s="14"/>
      <c r="U133" s="14"/>
      <c r="V133" s="14"/>
      <c r="W133" s="14"/>
      <c r="X133" s="14"/>
      <c r="Y133" s="14"/>
      <c r="Z133" s="14"/>
      <c r="AA133" s="14"/>
      <c r="AB133" s="14"/>
      <c r="AC133" s="14"/>
      <c r="AD133" s="14"/>
    </row>
    <row r="134" spans="7:30" s="1" customFormat="1" x14ac:dyDescent="0.25">
      <c r="G134" s="14"/>
      <c r="H134" s="14"/>
      <c r="I134" s="14"/>
      <c r="O134" s="14"/>
      <c r="P134" s="14"/>
      <c r="Q134" s="14"/>
      <c r="R134" s="14"/>
      <c r="S134" s="14"/>
      <c r="T134" s="14"/>
      <c r="U134" s="14"/>
      <c r="V134" s="14"/>
      <c r="W134" s="14"/>
      <c r="X134" s="14"/>
      <c r="Y134" s="14"/>
      <c r="Z134" s="14"/>
      <c r="AA134" s="14"/>
      <c r="AB134" s="14"/>
      <c r="AC134" s="14"/>
      <c r="AD134" s="14"/>
    </row>
    <row r="135" spans="7:30" s="1" customFormat="1" x14ac:dyDescent="0.25">
      <c r="G135" s="14"/>
      <c r="H135" s="14"/>
      <c r="I135" s="14"/>
      <c r="O135" s="14"/>
      <c r="P135" s="14"/>
      <c r="Q135" s="14"/>
      <c r="R135" s="14"/>
      <c r="S135" s="14"/>
      <c r="T135" s="14"/>
      <c r="U135" s="14"/>
      <c r="V135" s="14"/>
      <c r="W135" s="14"/>
      <c r="X135" s="14"/>
      <c r="Y135" s="14"/>
      <c r="Z135" s="14"/>
      <c r="AA135" s="14"/>
      <c r="AB135" s="14"/>
      <c r="AC135" s="14"/>
      <c r="AD135" s="14"/>
    </row>
    <row r="136" spans="7:30" s="1" customFormat="1" x14ac:dyDescent="0.25">
      <c r="G136" s="14"/>
      <c r="H136" s="14"/>
      <c r="I136" s="14"/>
      <c r="O136" s="14"/>
      <c r="P136" s="14"/>
      <c r="Q136" s="14"/>
      <c r="R136" s="14"/>
      <c r="S136" s="14"/>
      <c r="T136" s="14"/>
      <c r="U136" s="14"/>
      <c r="V136" s="14"/>
      <c r="W136" s="14"/>
      <c r="X136" s="14"/>
      <c r="Y136" s="14"/>
      <c r="Z136" s="14"/>
      <c r="AA136" s="14"/>
      <c r="AB136" s="14"/>
      <c r="AC136" s="14"/>
      <c r="AD136" s="14"/>
    </row>
    <row r="137" spans="7:30" s="1" customFormat="1" x14ac:dyDescent="0.25">
      <c r="G137" s="14"/>
      <c r="H137" s="14"/>
      <c r="I137" s="14"/>
      <c r="O137" s="14"/>
      <c r="P137" s="14"/>
      <c r="Q137" s="14"/>
      <c r="R137" s="14"/>
      <c r="S137" s="14"/>
      <c r="T137" s="14"/>
      <c r="U137" s="14"/>
      <c r="V137" s="14"/>
      <c r="W137" s="14"/>
      <c r="X137" s="14"/>
      <c r="Y137" s="14"/>
      <c r="Z137" s="14"/>
      <c r="AA137" s="14"/>
      <c r="AB137" s="14"/>
      <c r="AC137" s="14"/>
      <c r="AD137" s="14"/>
    </row>
    <row r="138" spans="7:30" s="1" customFormat="1" x14ac:dyDescent="0.25">
      <c r="G138" s="14"/>
      <c r="H138" s="14"/>
      <c r="I138" s="14"/>
      <c r="O138" s="14"/>
      <c r="P138" s="14"/>
      <c r="Q138" s="14"/>
      <c r="R138" s="14"/>
      <c r="S138" s="14"/>
      <c r="T138" s="14"/>
      <c r="U138" s="14"/>
      <c r="V138" s="14"/>
      <c r="W138" s="14"/>
      <c r="X138" s="14"/>
      <c r="Y138" s="14"/>
      <c r="Z138" s="14"/>
      <c r="AA138" s="14"/>
      <c r="AB138" s="14"/>
      <c r="AC138" s="14"/>
      <c r="AD138" s="14"/>
    </row>
    <row r="139" spans="7:30" s="1" customFormat="1" x14ac:dyDescent="0.25">
      <c r="G139" s="14"/>
      <c r="H139" s="14"/>
      <c r="I139" s="14"/>
      <c r="O139" s="14"/>
      <c r="P139" s="14"/>
      <c r="Q139" s="14"/>
      <c r="R139" s="14"/>
      <c r="S139" s="14"/>
      <c r="T139" s="14"/>
      <c r="U139" s="14"/>
      <c r="V139" s="14"/>
      <c r="W139" s="14"/>
      <c r="X139" s="14"/>
      <c r="Y139" s="14"/>
      <c r="Z139" s="14"/>
      <c r="AA139" s="14"/>
      <c r="AB139" s="14"/>
      <c r="AC139" s="14"/>
      <c r="AD139" s="14"/>
    </row>
    <row r="140" spans="7:30" s="1" customFormat="1" x14ac:dyDescent="0.25">
      <c r="G140" s="14"/>
      <c r="H140" s="14"/>
      <c r="I140" s="14"/>
      <c r="O140" s="14"/>
      <c r="P140" s="14"/>
      <c r="Q140" s="14"/>
      <c r="R140" s="14"/>
      <c r="S140" s="14"/>
      <c r="T140" s="14"/>
      <c r="U140" s="14"/>
      <c r="V140" s="14"/>
      <c r="W140" s="14"/>
      <c r="X140" s="14"/>
      <c r="Y140" s="14"/>
      <c r="Z140" s="14"/>
      <c r="AA140" s="14"/>
      <c r="AB140" s="14"/>
      <c r="AC140" s="14"/>
      <c r="AD140" s="14"/>
    </row>
    <row r="141" spans="7:30" s="1" customFormat="1" x14ac:dyDescent="0.25">
      <c r="G141" s="14"/>
      <c r="H141" s="14"/>
      <c r="I141" s="14"/>
      <c r="O141" s="14"/>
      <c r="P141" s="14"/>
      <c r="Q141" s="14"/>
      <c r="R141" s="14"/>
      <c r="S141" s="14"/>
      <c r="T141" s="14"/>
      <c r="U141" s="14"/>
      <c r="V141" s="14"/>
      <c r="W141" s="14"/>
      <c r="X141" s="14"/>
      <c r="Y141" s="14"/>
      <c r="Z141" s="14"/>
      <c r="AA141" s="14"/>
      <c r="AB141" s="14"/>
      <c r="AC141" s="14"/>
      <c r="AD141" s="14"/>
    </row>
    <row r="142" spans="7:30" s="1" customFormat="1" x14ac:dyDescent="0.25">
      <c r="G142" s="14"/>
      <c r="H142" s="14"/>
      <c r="I142" s="14"/>
      <c r="O142" s="14"/>
      <c r="P142" s="14"/>
      <c r="Q142" s="14"/>
      <c r="R142" s="14"/>
      <c r="S142" s="14"/>
      <c r="T142" s="14"/>
      <c r="U142" s="14"/>
      <c r="V142" s="14"/>
      <c r="W142" s="14"/>
      <c r="X142" s="14"/>
      <c r="Y142" s="14"/>
      <c r="Z142" s="14"/>
      <c r="AA142" s="14"/>
      <c r="AB142" s="14"/>
      <c r="AC142" s="14"/>
      <c r="AD142" s="14"/>
    </row>
    <row r="143" spans="7:30" s="1" customFormat="1" x14ac:dyDescent="0.25">
      <c r="G143" s="14"/>
      <c r="H143" s="14"/>
      <c r="I143" s="14"/>
      <c r="O143" s="14"/>
      <c r="P143" s="14"/>
      <c r="Q143" s="14"/>
      <c r="R143" s="14"/>
      <c r="S143" s="14"/>
      <c r="T143" s="14"/>
      <c r="U143" s="14"/>
      <c r="V143" s="14"/>
      <c r="W143" s="14"/>
      <c r="X143" s="14"/>
      <c r="Y143" s="14"/>
      <c r="Z143" s="14"/>
      <c r="AA143" s="14"/>
      <c r="AB143" s="14"/>
      <c r="AC143" s="14"/>
      <c r="AD143" s="14"/>
    </row>
    <row r="144" spans="7:30" s="1" customFormat="1" x14ac:dyDescent="0.25">
      <c r="G144" s="14"/>
      <c r="H144" s="14"/>
      <c r="I144" s="14"/>
      <c r="O144" s="14"/>
      <c r="P144" s="14"/>
      <c r="Q144" s="14"/>
      <c r="R144" s="14"/>
      <c r="S144" s="14"/>
      <c r="T144" s="14"/>
      <c r="U144" s="14"/>
      <c r="V144" s="14"/>
      <c r="W144" s="14"/>
      <c r="X144" s="14"/>
      <c r="Y144" s="14"/>
      <c r="Z144" s="14"/>
      <c r="AA144" s="14"/>
      <c r="AB144" s="14"/>
      <c r="AC144" s="14"/>
      <c r="AD144" s="14"/>
    </row>
    <row r="145" spans="7:30" s="1" customFormat="1" x14ac:dyDescent="0.25">
      <c r="G145" s="14"/>
      <c r="H145" s="14"/>
      <c r="I145" s="14"/>
      <c r="O145" s="14"/>
      <c r="P145" s="14"/>
      <c r="Q145" s="14"/>
      <c r="R145" s="14"/>
      <c r="S145" s="14"/>
      <c r="T145" s="14"/>
      <c r="U145" s="14"/>
      <c r="V145" s="14"/>
      <c r="W145" s="14"/>
      <c r="X145" s="14"/>
      <c r="Y145" s="14"/>
      <c r="Z145" s="14"/>
      <c r="AA145" s="14"/>
      <c r="AB145" s="14"/>
      <c r="AC145" s="14"/>
      <c r="AD145" s="14"/>
    </row>
    <row r="146" spans="7:30" s="1" customFormat="1" x14ac:dyDescent="0.25">
      <c r="G146" s="14"/>
      <c r="H146" s="14"/>
      <c r="I146" s="14"/>
      <c r="O146" s="14"/>
      <c r="P146" s="14"/>
      <c r="Q146" s="14"/>
      <c r="R146" s="14"/>
      <c r="S146" s="14"/>
      <c r="T146" s="14"/>
      <c r="U146" s="14"/>
      <c r="V146" s="14"/>
      <c r="W146" s="14"/>
      <c r="X146" s="14"/>
      <c r="Y146" s="14"/>
      <c r="Z146" s="14"/>
      <c r="AA146" s="14"/>
      <c r="AB146" s="14"/>
      <c r="AC146" s="14"/>
      <c r="AD146" s="14"/>
    </row>
    <row r="147" spans="7:30" s="1" customFormat="1" x14ac:dyDescent="0.25">
      <c r="G147" s="14"/>
      <c r="H147" s="14"/>
      <c r="I147" s="14"/>
      <c r="O147" s="14"/>
      <c r="P147" s="14"/>
      <c r="Q147" s="14"/>
      <c r="R147" s="14"/>
      <c r="S147" s="14"/>
      <c r="T147" s="14"/>
      <c r="U147" s="14"/>
      <c r="V147" s="14"/>
      <c r="W147" s="14"/>
      <c r="X147" s="14"/>
      <c r="Y147" s="14"/>
      <c r="Z147" s="14"/>
      <c r="AA147" s="14"/>
      <c r="AB147" s="14"/>
      <c r="AC147" s="14"/>
      <c r="AD147" s="14"/>
    </row>
    <row r="148" spans="7:30" s="1" customFormat="1" x14ac:dyDescent="0.25">
      <c r="G148" s="14"/>
      <c r="H148" s="14"/>
      <c r="I148" s="14"/>
      <c r="O148" s="14"/>
      <c r="P148" s="14"/>
      <c r="Q148" s="14"/>
      <c r="R148" s="14"/>
      <c r="S148" s="14"/>
      <c r="T148" s="14"/>
      <c r="U148" s="14"/>
      <c r="V148" s="14"/>
      <c r="W148" s="14"/>
      <c r="X148" s="14"/>
      <c r="Y148" s="14"/>
      <c r="Z148" s="14"/>
      <c r="AA148" s="14"/>
      <c r="AB148" s="14"/>
      <c r="AC148" s="14"/>
      <c r="AD148" s="14"/>
    </row>
    <row r="149" spans="7:30" s="1" customFormat="1" x14ac:dyDescent="0.25">
      <c r="G149" s="14"/>
      <c r="H149" s="14"/>
      <c r="I149" s="14"/>
      <c r="O149" s="14"/>
      <c r="P149" s="14"/>
      <c r="Q149" s="14"/>
      <c r="R149" s="14"/>
      <c r="S149" s="14"/>
      <c r="T149" s="14"/>
      <c r="U149" s="14"/>
      <c r="V149" s="14"/>
      <c r="W149" s="14"/>
      <c r="X149" s="14"/>
      <c r="Y149" s="14"/>
      <c r="Z149" s="14"/>
      <c r="AA149" s="14"/>
      <c r="AB149" s="14"/>
      <c r="AC149" s="14"/>
      <c r="AD149" s="14"/>
    </row>
    <row r="150" spans="7:30" s="1" customFormat="1" x14ac:dyDescent="0.25">
      <c r="G150" s="14"/>
      <c r="H150" s="14"/>
      <c r="I150" s="14"/>
      <c r="O150" s="14"/>
      <c r="P150" s="14"/>
      <c r="Q150" s="14"/>
      <c r="R150" s="14"/>
      <c r="S150" s="14"/>
      <c r="T150" s="14"/>
      <c r="U150" s="14"/>
      <c r="V150" s="14"/>
      <c r="W150" s="14"/>
      <c r="X150" s="14"/>
      <c r="Y150" s="14"/>
      <c r="Z150" s="14"/>
      <c r="AA150" s="14"/>
      <c r="AB150" s="14"/>
      <c r="AC150" s="14"/>
      <c r="AD150" s="14"/>
    </row>
    <row r="151" spans="7:30" s="1" customFormat="1" x14ac:dyDescent="0.25">
      <c r="G151" s="14"/>
      <c r="H151" s="14"/>
      <c r="I151" s="14"/>
      <c r="O151" s="14"/>
      <c r="P151" s="14"/>
      <c r="Q151" s="14"/>
      <c r="R151" s="14"/>
      <c r="S151" s="14"/>
      <c r="T151" s="14"/>
      <c r="U151" s="14"/>
      <c r="V151" s="14"/>
      <c r="W151" s="14"/>
      <c r="X151" s="14"/>
      <c r="Y151" s="14"/>
      <c r="Z151" s="14"/>
      <c r="AA151" s="14"/>
      <c r="AB151" s="14"/>
      <c r="AC151" s="14"/>
      <c r="AD151" s="14"/>
    </row>
    <row r="152" spans="7:30" s="1" customFormat="1" x14ac:dyDescent="0.25">
      <c r="G152" s="14"/>
      <c r="H152" s="14"/>
      <c r="I152" s="14"/>
      <c r="O152" s="14"/>
      <c r="P152" s="14"/>
      <c r="Q152" s="14"/>
      <c r="R152" s="14"/>
      <c r="S152" s="14"/>
      <c r="T152" s="14"/>
      <c r="U152" s="14"/>
      <c r="V152" s="14"/>
      <c r="W152" s="14"/>
      <c r="X152" s="14"/>
      <c r="Y152" s="14"/>
      <c r="Z152" s="14"/>
      <c r="AA152" s="14"/>
      <c r="AB152" s="14"/>
      <c r="AC152" s="14"/>
      <c r="AD152" s="14"/>
    </row>
    <row r="153" spans="7:30" s="1" customFormat="1" x14ac:dyDescent="0.25">
      <c r="G153" s="14"/>
      <c r="H153" s="14"/>
      <c r="I153" s="14"/>
      <c r="O153" s="14"/>
      <c r="P153" s="14"/>
      <c r="Q153" s="14"/>
      <c r="R153" s="14"/>
      <c r="S153" s="14"/>
      <c r="T153" s="14"/>
      <c r="U153" s="14"/>
      <c r="V153" s="14"/>
      <c r="W153" s="14"/>
      <c r="X153" s="14"/>
      <c r="Y153" s="14"/>
      <c r="Z153" s="14"/>
      <c r="AA153" s="14"/>
      <c r="AB153" s="14"/>
      <c r="AC153" s="14"/>
      <c r="AD153" s="14"/>
    </row>
    <row r="154" spans="7:30" s="1" customFormat="1" x14ac:dyDescent="0.25">
      <c r="G154" s="14"/>
      <c r="H154" s="14"/>
      <c r="I154" s="14"/>
      <c r="O154" s="14"/>
      <c r="P154" s="14"/>
      <c r="Q154" s="14"/>
      <c r="R154" s="14"/>
      <c r="S154" s="14"/>
      <c r="T154" s="14"/>
      <c r="U154" s="14"/>
      <c r="V154" s="14"/>
      <c r="W154" s="14"/>
      <c r="X154" s="14"/>
      <c r="Y154" s="14"/>
      <c r="Z154" s="14"/>
      <c r="AA154" s="14"/>
      <c r="AB154" s="14"/>
      <c r="AC154" s="14"/>
      <c r="AD154" s="14"/>
    </row>
    <row r="155" spans="7:30" s="1" customFormat="1" x14ac:dyDescent="0.25">
      <c r="G155" s="14"/>
      <c r="H155" s="14"/>
      <c r="I155" s="14"/>
      <c r="O155" s="14"/>
      <c r="P155" s="14"/>
      <c r="Q155" s="14"/>
      <c r="R155" s="14"/>
      <c r="S155" s="14"/>
      <c r="T155" s="14"/>
      <c r="U155" s="14"/>
      <c r="V155" s="14"/>
      <c r="W155" s="14"/>
      <c r="X155" s="14"/>
      <c r="Y155" s="14"/>
      <c r="Z155" s="14"/>
      <c r="AA155" s="14"/>
      <c r="AB155" s="14"/>
      <c r="AC155" s="14"/>
      <c r="AD155" s="14"/>
    </row>
    <row r="156" spans="7:30" s="1" customFormat="1" x14ac:dyDescent="0.25">
      <c r="G156" s="14"/>
      <c r="H156" s="14"/>
      <c r="I156" s="14"/>
      <c r="O156" s="14"/>
      <c r="P156" s="14"/>
      <c r="Q156" s="14"/>
      <c r="R156" s="14"/>
      <c r="S156" s="14"/>
      <c r="T156" s="14"/>
      <c r="U156" s="14"/>
      <c r="V156" s="14"/>
      <c r="W156" s="14"/>
      <c r="X156" s="14"/>
      <c r="Y156" s="14"/>
      <c r="Z156" s="14"/>
      <c r="AA156" s="14"/>
      <c r="AB156" s="14"/>
      <c r="AC156" s="14"/>
      <c r="AD156" s="14"/>
    </row>
    <row r="157" spans="7:30" s="1" customFormat="1" x14ac:dyDescent="0.25">
      <c r="G157" s="14"/>
      <c r="H157" s="14"/>
      <c r="I157" s="14"/>
      <c r="O157" s="14"/>
      <c r="P157" s="14"/>
      <c r="Q157" s="14"/>
      <c r="R157" s="14"/>
      <c r="S157" s="14"/>
      <c r="T157" s="14"/>
      <c r="U157" s="14"/>
      <c r="V157" s="14"/>
      <c r="W157" s="14"/>
      <c r="X157" s="14"/>
      <c r="Y157" s="14"/>
      <c r="Z157" s="14"/>
      <c r="AA157" s="14"/>
      <c r="AB157" s="14"/>
      <c r="AC157" s="14"/>
      <c r="AD157" s="14"/>
    </row>
    <row r="158" spans="7:30" s="1" customFormat="1" x14ac:dyDescent="0.25">
      <c r="G158" s="14"/>
      <c r="H158" s="14"/>
      <c r="I158" s="14"/>
      <c r="O158" s="14"/>
      <c r="P158" s="14"/>
      <c r="Q158" s="14"/>
      <c r="R158" s="14"/>
      <c r="S158" s="14"/>
      <c r="T158" s="14"/>
      <c r="U158" s="14"/>
      <c r="V158" s="14"/>
      <c r="W158" s="14"/>
      <c r="X158" s="14"/>
      <c r="Y158" s="14"/>
      <c r="Z158" s="14"/>
      <c r="AA158" s="14"/>
      <c r="AB158" s="14"/>
      <c r="AC158" s="14"/>
      <c r="AD158" s="14"/>
    </row>
    <row r="159" spans="7:30" s="1" customFormat="1" x14ac:dyDescent="0.25">
      <c r="G159" s="14"/>
      <c r="H159" s="14"/>
      <c r="I159" s="14"/>
      <c r="O159" s="14"/>
      <c r="P159" s="14"/>
      <c r="Q159" s="14"/>
      <c r="R159" s="14"/>
      <c r="S159" s="14"/>
      <c r="T159" s="14"/>
      <c r="U159" s="14"/>
      <c r="V159" s="14"/>
      <c r="W159" s="14"/>
      <c r="X159" s="14"/>
      <c r="Y159" s="14"/>
      <c r="Z159" s="14"/>
      <c r="AA159" s="14"/>
      <c r="AB159" s="14"/>
      <c r="AC159" s="14"/>
      <c r="AD159" s="14"/>
    </row>
    <row r="160" spans="7:30" s="1" customFormat="1" x14ac:dyDescent="0.25">
      <c r="G160" s="14"/>
      <c r="H160" s="14"/>
      <c r="I160" s="14"/>
      <c r="O160" s="14"/>
      <c r="P160" s="14"/>
      <c r="Q160" s="14"/>
      <c r="R160" s="14"/>
      <c r="S160" s="14"/>
      <c r="T160" s="14"/>
      <c r="U160" s="14"/>
      <c r="V160" s="14"/>
      <c r="W160" s="14"/>
      <c r="X160" s="14"/>
      <c r="Y160" s="14"/>
      <c r="Z160" s="14"/>
      <c r="AA160" s="14"/>
      <c r="AB160" s="14"/>
      <c r="AC160" s="14"/>
      <c r="AD160" s="14"/>
    </row>
    <row r="161" spans="7:30" s="1" customFormat="1" x14ac:dyDescent="0.25">
      <c r="G161" s="14"/>
      <c r="H161" s="14"/>
      <c r="I161" s="14"/>
      <c r="O161" s="14"/>
      <c r="P161" s="14"/>
      <c r="Q161" s="14"/>
      <c r="R161" s="14"/>
      <c r="S161" s="14"/>
      <c r="T161" s="14"/>
      <c r="U161" s="14"/>
      <c r="V161" s="14"/>
      <c r="W161" s="14"/>
      <c r="X161" s="14"/>
      <c r="Y161" s="14"/>
      <c r="Z161" s="14"/>
      <c r="AA161" s="14"/>
      <c r="AB161" s="14"/>
      <c r="AC161" s="14"/>
      <c r="AD161" s="14"/>
    </row>
    <row r="162" spans="7:30" s="1" customFormat="1" x14ac:dyDescent="0.25">
      <c r="G162" s="14"/>
      <c r="H162" s="14"/>
      <c r="I162" s="14"/>
      <c r="O162" s="14"/>
      <c r="P162" s="14"/>
      <c r="Q162" s="14"/>
      <c r="R162" s="14"/>
      <c r="S162" s="14"/>
      <c r="T162" s="14"/>
      <c r="U162" s="14"/>
      <c r="V162" s="14"/>
      <c r="W162" s="14"/>
      <c r="X162" s="14"/>
      <c r="Y162" s="14"/>
      <c r="Z162" s="14"/>
      <c r="AA162" s="14"/>
      <c r="AB162" s="14"/>
      <c r="AC162" s="14"/>
      <c r="AD162" s="14"/>
    </row>
    <row r="163" spans="7:30" s="1" customFormat="1" x14ac:dyDescent="0.25">
      <c r="G163" s="14"/>
      <c r="H163" s="14"/>
      <c r="I163" s="14"/>
      <c r="O163" s="14"/>
      <c r="P163" s="14"/>
      <c r="Q163" s="14"/>
      <c r="R163" s="14"/>
      <c r="S163" s="14"/>
      <c r="T163" s="14"/>
      <c r="U163" s="14"/>
      <c r="V163" s="14"/>
      <c r="W163" s="14"/>
      <c r="X163" s="14"/>
      <c r="Y163" s="14"/>
      <c r="Z163" s="14"/>
      <c r="AA163" s="14"/>
      <c r="AB163" s="14"/>
      <c r="AC163" s="14"/>
      <c r="AD163" s="14"/>
    </row>
    <row r="164" spans="7:30" s="1" customFormat="1" x14ac:dyDescent="0.25">
      <c r="G164" s="14"/>
      <c r="H164" s="14"/>
      <c r="I164" s="14"/>
      <c r="O164" s="14"/>
      <c r="P164" s="14"/>
      <c r="Q164" s="14"/>
      <c r="R164" s="14"/>
      <c r="S164" s="14"/>
      <c r="T164" s="14"/>
      <c r="U164" s="14"/>
      <c r="V164" s="14"/>
      <c r="W164" s="14"/>
      <c r="X164" s="14"/>
      <c r="Y164" s="14"/>
      <c r="Z164" s="14"/>
      <c r="AA164" s="14"/>
      <c r="AB164" s="14"/>
      <c r="AC164" s="14"/>
      <c r="AD164" s="14"/>
    </row>
    <row r="165" spans="7:30" s="1" customFormat="1" x14ac:dyDescent="0.25">
      <c r="G165" s="14"/>
      <c r="H165" s="14"/>
      <c r="I165" s="14"/>
      <c r="O165" s="14"/>
      <c r="P165" s="14"/>
      <c r="Q165" s="14"/>
      <c r="R165" s="14"/>
      <c r="S165" s="14"/>
      <c r="T165" s="14"/>
      <c r="U165" s="14"/>
      <c r="V165" s="14"/>
      <c r="W165" s="14"/>
      <c r="X165" s="14"/>
      <c r="Y165" s="14"/>
      <c r="Z165" s="14"/>
      <c r="AA165" s="14"/>
      <c r="AB165" s="14"/>
      <c r="AC165" s="14"/>
      <c r="AD165" s="14"/>
    </row>
    <row r="166" spans="7:30" s="1" customFormat="1" x14ac:dyDescent="0.25">
      <c r="G166" s="14"/>
      <c r="H166" s="14"/>
      <c r="I166" s="14"/>
      <c r="O166" s="14"/>
      <c r="P166" s="14"/>
      <c r="Q166" s="14"/>
      <c r="R166" s="14"/>
      <c r="S166" s="14"/>
      <c r="T166" s="14"/>
      <c r="U166" s="14"/>
      <c r="V166" s="14"/>
      <c r="W166" s="14"/>
      <c r="X166" s="14"/>
      <c r="Y166" s="14"/>
      <c r="Z166" s="14"/>
      <c r="AA166" s="14"/>
      <c r="AB166" s="14"/>
      <c r="AC166" s="14"/>
      <c r="AD166" s="14"/>
    </row>
    <row r="167" spans="7:30" s="1" customFormat="1" x14ac:dyDescent="0.25">
      <c r="G167" s="14"/>
      <c r="H167" s="14"/>
      <c r="I167" s="14"/>
      <c r="O167" s="14"/>
      <c r="P167" s="14"/>
      <c r="Q167" s="14"/>
      <c r="R167" s="14"/>
      <c r="S167" s="14"/>
      <c r="T167" s="14"/>
      <c r="U167" s="14"/>
      <c r="V167" s="14"/>
      <c r="W167" s="14"/>
      <c r="X167" s="14"/>
      <c r="Y167" s="14"/>
      <c r="Z167" s="14"/>
      <c r="AA167" s="14"/>
      <c r="AB167" s="14"/>
      <c r="AC167" s="14"/>
      <c r="AD167" s="14"/>
    </row>
    <row r="168" spans="7:30" s="1" customFormat="1" x14ac:dyDescent="0.25">
      <c r="G168" s="14"/>
      <c r="H168" s="14"/>
      <c r="I168" s="14"/>
      <c r="O168" s="14"/>
      <c r="P168" s="14"/>
      <c r="Q168" s="14"/>
      <c r="R168" s="14"/>
      <c r="S168" s="14"/>
      <c r="T168" s="14"/>
      <c r="U168" s="14"/>
      <c r="V168" s="14"/>
      <c r="W168" s="14"/>
      <c r="X168" s="14"/>
      <c r="Y168" s="14"/>
      <c r="Z168" s="14"/>
      <c r="AA168" s="14"/>
      <c r="AB168" s="14"/>
      <c r="AC168" s="14"/>
      <c r="AD168" s="14"/>
    </row>
    <row r="169" spans="7:30" s="1" customFormat="1" x14ac:dyDescent="0.25">
      <c r="G169" s="14"/>
      <c r="H169" s="14"/>
      <c r="I169" s="14"/>
      <c r="O169" s="14"/>
      <c r="P169" s="14"/>
      <c r="Q169" s="14"/>
      <c r="R169" s="14"/>
      <c r="S169" s="14"/>
      <c r="T169" s="14"/>
      <c r="U169" s="14"/>
      <c r="V169" s="14"/>
      <c r="W169" s="14"/>
      <c r="X169" s="14"/>
      <c r="Y169" s="14"/>
      <c r="Z169" s="14"/>
      <c r="AA169" s="14"/>
      <c r="AB169" s="14"/>
      <c r="AC169" s="14"/>
      <c r="AD169" s="14"/>
    </row>
    <row r="170" spans="7:30" s="1" customFormat="1" x14ac:dyDescent="0.25">
      <c r="G170" s="14"/>
      <c r="H170" s="14"/>
      <c r="I170" s="14"/>
      <c r="O170" s="14"/>
      <c r="P170" s="14"/>
      <c r="Q170" s="14"/>
      <c r="R170" s="14"/>
      <c r="S170" s="14"/>
      <c r="T170" s="14"/>
      <c r="U170" s="14"/>
      <c r="V170" s="14"/>
      <c r="W170" s="14"/>
      <c r="X170" s="14"/>
      <c r="Y170" s="14"/>
      <c r="Z170" s="14"/>
      <c r="AA170" s="14"/>
      <c r="AB170" s="14"/>
      <c r="AC170" s="14"/>
      <c r="AD170" s="14"/>
    </row>
    <row r="171" spans="7:30" s="1" customFormat="1" x14ac:dyDescent="0.25">
      <c r="G171" s="14"/>
      <c r="H171" s="14"/>
      <c r="I171" s="14"/>
      <c r="O171" s="14"/>
      <c r="P171" s="14"/>
      <c r="Q171" s="14"/>
      <c r="R171" s="14"/>
      <c r="S171" s="14"/>
      <c r="T171" s="14"/>
      <c r="U171" s="14"/>
      <c r="V171" s="14"/>
      <c r="W171" s="14"/>
      <c r="X171" s="14"/>
      <c r="Y171" s="14"/>
      <c r="Z171" s="14"/>
      <c r="AA171" s="14"/>
      <c r="AB171" s="14"/>
      <c r="AC171" s="14"/>
      <c r="AD171" s="14"/>
    </row>
    <row r="172" spans="7:30" s="1" customFormat="1" x14ac:dyDescent="0.25">
      <c r="G172" s="14"/>
      <c r="H172" s="14"/>
      <c r="I172" s="14"/>
      <c r="O172" s="14"/>
      <c r="P172" s="14"/>
      <c r="Q172" s="14"/>
      <c r="R172" s="14"/>
      <c r="S172" s="14"/>
      <c r="T172" s="14"/>
      <c r="U172" s="14"/>
      <c r="V172" s="14"/>
      <c r="W172" s="14"/>
      <c r="X172" s="14"/>
      <c r="Y172" s="14"/>
      <c r="Z172" s="14"/>
      <c r="AA172" s="14"/>
      <c r="AB172" s="14"/>
      <c r="AC172" s="14"/>
      <c r="AD172" s="14"/>
    </row>
    <row r="173" spans="7:30" s="1" customFormat="1" x14ac:dyDescent="0.25">
      <c r="G173" s="14"/>
      <c r="H173" s="14"/>
      <c r="I173" s="14"/>
      <c r="O173" s="14"/>
      <c r="P173" s="14"/>
      <c r="Q173" s="14"/>
      <c r="R173" s="14"/>
      <c r="S173" s="14"/>
      <c r="T173" s="14"/>
      <c r="U173" s="14"/>
      <c r="V173" s="14"/>
      <c r="W173" s="14"/>
      <c r="X173" s="14"/>
      <c r="Y173" s="14"/>
      <c r="Z173" s="14"/>
      <c r="AA173" s="14"/>
      <c r="AB173" s="14"/>
      <c r="AC173" s="14"/>
      <c r="AD173" s="14"/>
    </row>
    <row r="174" spans="7:30" s="1" customFormat="1" x14ac:dyDescent="0.25">
      <c r="G174" s="14"/>
      <c r="H174" s="14"/>
      <c r="I174" s="14"/>
      <c r="O174" s="14"/>
      <c r="P174" s="14"/>
      <c r="Q174" s="14"/>
      <c r="R174" s="14"/>
      <c r="S174" s="14"/>
      <c r="T174" s="14"/>
      <c r="U174" s="14"/>
      <c r="V174" s="14"/>
      <c r="W174" s="14"/>
      <c r="X174" s="14"/>
      <c r="Y174" s="14"/>
      <c r="Z174" s="14"/>
      <c r="AA174" s="14"/>
      <c r="AB174" s="14"/>
      <c r="AC174" s="14"/>
      <c r="AD174" s="14"/>
    </row>
    <row r="175" spans="7:30" s="1" customFormat="1" x14ac:dyDescent="0.25">
      <c r="G175" s="14"/>
      <c r="H175" s="14"/>
      <c r="I175" s="14"/>
      <c r="O175" s="14"/>
      <c r="P175" s="14"/>
      <c r="Q175" s="14"/>
      <c r="R175" s="14"/>
      <c r="S175" s="14"/>
      <c r="T175" s="14"/>
      <c r="U175" s="14"/>
      <c r="V175" s="14"/>
      <c r="W175" s="14"/>
      <c r="X175" s="14"/>
      <c r="Y175" s="14"/>
      <c r="Z175" s="14"/>
      <c r="AA175" s="14"/>
      <c r="AB175" s="14"/>
      <c r="AC175" s="14"/>
      <c r="AD175" s="14"/>
    </row>
    <row r="176" spans="7:30" s="1" customFormat="1" x14ac:dyDescent="0.25">
      <c r="G176" s="14"/>
      <c r="H176" s="14"/>
      <c r="I176" s="14"/>
      <c r="O176" s="14"/>
      <c r="P176" s="14"/>
      <c r="Q176" s="14"/>
      <c r="R176" s="14"/>
      <c r="S176" s="14"/>
      <c r="T176" s="14"/>
      <c r="U176" s="14"/>
      <c r="V176" s="14"/>
      <c r="W176" s="14"/>
      <c r="X176" s="14"/>
      <c r="Y176" s="14"/>
      <c r="Z176" s="14"/>
      <c r="AA176" s="14"/>
      <c r="AB176" s="14"/>
      <c r="AC176" s="14"/>
      <c r="AD176" s="14"/>
    </row>
    <row r="177" spans="7:30" s="1" customFormat="1" x14ac:dyDescent="0.25">
      <c r="G177" s="14"/>
      <c r="H177" s="14"/>
      <c r="I177" s="14"/>
      <c r="O177" s="14"/>
      <c r="P177" s="14"/>
      <c r="Q177" s="14"/>
      <c r="R177" s="14"/>
      <c r="S177" s="14"/>
      <c r="T177" s="14"/>
      <c r="U177" s="14"/>
      <c r="V177" s="14"/>
      <c r="W177" s="14"/>
      <c r="X177" s="14"/>
      <c r="Y177" s="14"/>
      <c r="Z177" s="14"/>
      <c r="AA177" s="14"/>
      <c r="AB177" s="14"/>
      <c r="AC177" s="14"/>
      <c r="AD177" s="14"/>
    </row>
    <row r="178" spans="7:30" s="1" customFormat="1" x14ac:dyDescent="0.25">
      <c r="G178" s="14"/>
      <c r="H178" s="14"/>
      <c r="I178" s="14"/>
      <c r="O178" s="14"/>
      <c r="P178" s="14"/>
      <c r="Q178" s="14"/>
      <c r="R178" s="14"/>
      <c r="S178" s="14"/>
      <c r="T178" s="14"/>
      <c r="U178" s="14"/>
      <c r="V178" s="14"/>
      <c r="W178" s="14"/>
      <c r="X178" s="14"/>
      <c r="Y178" s="14"/>
      <c r="Z178" s="14"/>
      <c r="AA178" s="14"/>
      <c r="AB178" s="14"/>
      <c r="AC178" s="14"/>
      <c r="AD178" s="14"/>
    </row>
    <row r="179" spans="7:30" s="1" customFormat="1" x14ac:dyDescent="0.25">
      <c r="G179" s="14"/>
      <c r="H179" s="14"/>
      <c r="I179" s="14"/>
      <c r="O179" s="14"/>
      <c r="P179" s="14"/>
      <c r="Q179" s="14"/>
      <c r="R179" s="14"/>
      <c r="S179" s="14"/>
      <c r="T179" s="14"/>
      <c r="U179" s="14"/>
      <c r="V179" s="14"/>
      <c r="W179" s="14"/>
      <c r="X179" s="14"/>
      <c r="Y179" s="14"/>
      <c r="Z179" s="14"/>
      <c r="AA179" s="14"/>
      <c r="AB179" s="14"/>
      <c r="AC179" s="14"/>
      <c r="AD179" s="14"/>
    </row>
    <row r="180" spans="7:30" s="1" customFormat="1" x14ac:dyDescent="0.25">
      <c r="G180" s="14"/>
      <c r="H180" s="14"/>
      <c r="I180" s="14"/>
      <c r="O180" s="14"/>
      <c r="P180" s="14"/>
      <c r="Q180" s="14"/>
      <c r="R180" s="14"/>
      <c r="S180" s="14"/>
      <c r="T180" s="14"/>
      <c r="U180" s="14"/>
      <c r="V180" s="14"/>
      <c r="W180" s="14"/>
      <c r="X180" s="14"/>
      <c r="Y180" s="14"/>
      <c r="Z180" s="14"/>
      <c r="AA180" s="14"/>
      <c r="AB180" s="14"/>
      <c r="AC180" s="14"/>
      <c r="AD180" s="14"/>
    </row>
    <row r="181" spans="7:30" s="1" customFormat="1" x14ac:dyDescent="0.25">
      <c r="G181" s="14"/>
      <c r="H181" s="14"/>
      <c r="I181" s="14"/>
      <c r="O181" s="14"/>
      <c r="P181" s="14"/>
      <c r="Q181" s="14"/>
      <c r="R181" s="14"/>
      <c r="S181" s="14"/>
      <c r="T181" s="14"/>
      <c r="U181" s="14"/>
      <c r="V181" s="14"/>
      <c r="W181" s="14"/>
      <c r="X181" s="14"/>
      <c r="Y181" s="14"/>
      <c r="Z181" s="14"/>
      <c r="AA181" s="14"/>
      <c r="AB181" s="14"/>
      <c r="AC181" s="14"/>
      <c r="AD181" s="14"/>
    </row>
    <row r="182" spans="7:30" s="1" customFormat="1" x14ac:dyDescent="0.25">
      <c r="G182" s="14"/>
      <c r="H182" s="14"/>
      <c r="I182" s="14"/>
      <c r="O182" s="14"/>
      <c r="P182" s="14"/>
      <c r="Q182" s="14"/>
      <c r="R182" s="14"/>
      <c r="S182" s="14"/>
      <c r="T182" s="14"/>
      <c r="U182" s="14"/>
      <c r="V182" s="14"/>
      <c r="W182" s="14"/>
      <c r="X182" s="14"/>
      <c r="Y182" s="14"/>
      <c r="Z182" s="14"/>
      <c r="AA182" s="14"/>
      <c r="AB182" s="14"/>
      <c r="AC182" s="14"/>
      <c r="AD182" s="14"/>
    </row>
    <row r="183" spans="7:30" s="1" customFormat="1" x14ac:dyDescent="0.25">
      <c r="G183" s="14"/>
      <c r="H183" s="14"/>
      <c r="I183" s="14"/>
      <c r="O183" s="14"/>
      <c r="P183" s="14"/>
      <c r="Q183" s="14"/>
      <c r="R183" s="14"/>
      <c r="S183" s="14"/>
      <c r="T183" s="14"/>
      <c r="U183" s="14"/>
      <c r="V183" s="14"/>
      <c r="W183" s="14"/>
      <c r="X183" s="14"/>
      <c r="Y183" s="14"/>
      <c r="Z183" s="14"/>
      <c r="AA183" s="14"/>
      <c r="AB183" s="14"/>
      <c r="AC183" s="14"/>
      <c r="AD183" s="14"/>
    </row>
    <row r="184" spans="7:30" s="1" customFormat="1" x14ac:dyDescent="0.25">
      <c r="G184" s="14"/>
      <c r="H184" s="14"/>
      <c r="I184" s="14"/>
      <c r="O184" s="14"/>
      <c r="P184" s="14"/>
      <c r="Q184" s="14"/>
      <c r="R184" s="14"/>
      <c r="S184" s="14"/>
      <c r="T184" s="14"/>
      <c r="U184" s="14"/>
      <c r="V184" s="14"/>
      <c r="W184" s="14"/>
      <c r="X184" s="14"/>
      <c r="Y184" s="14"/>
      <c r="Z184" s="14"/>
      <c r="AA184" s="14"/>
      <c r="AB184" s="14"/>
      <c r="AC184" s="14"/>
      <c r="AD184" s="14"/>
    </row>
    <row r="185" spans="7:30" s="1" customFormat="1" x14ac:dyDescent="0.25">
      <c r="G185" s="14"/>
      <c r="H185" s="14"/>
      <c r="I185" s="14"/>
      <c r="O185" s="14"/>
      <c r="P185" s="14"/>
      <c r="Q185" s="14"/>
      <c r="R185" s="14"/>
      <c r="S185" s="14"/>
      <c r="T185" s="14"/>
      <c r="U185" s="14"/>
      <c r="V185" s="14"/>
      <c r="W185" s="14"/>
      <c r="X185" s="14"/>
      <c r="Y185" s="14"/>
      <c r="Z185" s="14"/>
      <c r="AA185" s="14"/>
      <c r="AB185" s="14"/>
      <c r="AC185" s="14"/>
      <c r="AD185" s="14"/>
    </row>
    <row r="186" spans="7:30" s="1" customFormat="1" x14ac:dyDescent="0.25">
      <c r="G186" s="14"/>
      <c r="H186" s="14"/>
      <c r="I186" s="14"/>
      <c r="O186" s="14"/>
      <c r="P186" s="14"/>
      <c r="Q186" s="14"/>
      <c r="R186" s="14"/>
      <c r="S186" s="14"/>
      <c r="T186" s="14"/>
      <c r="U186" s="14"/>
      <c r="V186" s="14"/>
      <c r="W186" s="14"/>
      <c r="X186" s="14"/>
      <c r="Y186" s="14"/>
      <c r="Z186" s="14"/>
      <c r="AA186" s="14"/>
      <c r="AB186" s="14"/>
      <c r="AC186" s="14"/>
      <c r="AD186" s="14"/>
    </row>
    <row r="187" spans="7:30" s="1" customFormat="1" x14ac:dyDescent="0.25">
      <c r="G187" s="14"/>
      <c r="H187" s="14"/>
      <c r="I187" s="14"/>
      <c r="O187" s="14"/>
      <c r="P187" s="14"/>
      <c r="Q187" s="14"/>
      <c r="R187" s="14"/>
      <c r="S187" s="14"/>
      <c r="T187" s="14"/>
      <c r="U187" s="14"/>
      <c r="V187" s="14"/>
      <c r="W187" s="14"/>
      <c r="X187" s="14"/>
      <c r="Y187" s="14"/>
      <c r="Z187" s="14"/>
      <c r="AA187" s="14"/>
      <c r="AB187" s="14"/>
      <c r="AC187" s="14"/>
      <c r="AD187" s="14"/>
    </row>
    <row r="188" spans="7:30" s="1" customFormat="1" x14ac:dyDescent="0.25">
      <c r="G188" s="14"/>
      <c r="H188" s="14"/>
      <c r="I188" s="14"/>
      <c r="O188" s="14"/>
      <c r="P188" s="14"/>
      <c r="Q188" s="14"/>
      <c r="R188" s="14"/>
      <c r="S188" s="14"/>
      <c r="T188" s="14"/>
      <c r="U188" s="14"/>
      <c r="V188" s="14"/>
      <c r="W188" s="14"/>
      <c r="X188" s="14"/>
      <c r="Y188" s="14"/>
      <c r="Z188" s="14"/>
      <c r="AA188" s="14"/>
      <c r="AB188" s="14"/>
      <c r="AC188" s="14"/>
      <c r="AD188" s="14"/>
    </row>
    <row r="189" spans="7:30" s="1" customFormat="1" x14ac:dyDescent="0.25">
      <c r="G189" s="14"/>
      <c r="H189" s="14"/>
      <c r="I189" s="14"/>
      <c r="O189" s="14"/>
      <c r="P189" s="14"/>
      <c r="Q189" s="14"/>
      <c r="R189" s="14"/>
      <c r="S189" s="14"/>
      <c r="T189" s="14"/>
      <c r="U189" s="14"/>
      <c r="V189" s="14"/>
      <c r="W189" s="14"/>
      <c r="X189" s="14"/>
      <c r="Y189" s="14"/>
      <c r="Z189" s="14"/>
      <c r="AA189" s="14"/>
      <c r="AB189" s="14"/>
      <c r="AC189" s="14"/>
      <c r="AD189" s="14"/>
    </row>
    <row r="190" spans="7:30" s="1" customFormat="1" x14ac:dyDescent="0.25">
      <c r="G190" s="14"/>
      <c r="H190" s="14"/>
      <c r="I190" s="14"/>
      <c r="O190" s="14"/>
      <c r="P190" s="14"/>
      <c r="Q190" s="14"/>
      <c r="R190" s="14"/>
      <c r="S190" s="14"/>
      <c r="T190" s="14"/>
      <c r="U190" s="14"/>
      <c r="V190" s="14"/>
      <c r="W190" s="14"/>
      <c r="X190" s="14"/>
      <c r="Y190" s="14"/>
      <c r="Z190" s="14"/>
      <c r="AA190" s="14"/>
      <c r="AB190" s="14"/>
      <c r="AC190" s="14"/>
      <c r="AD190" s="14"/>
    </row>
  </sheetData>
  <sheetProtection algorithmName="SHA-512" hashValue="XroifcNseAs+HMLPKu75yzRvEFPjYoCll0OCQ++UTINM2KPGpL6tWjONZu9g3H/Di+kd7Ob6IH964bLU0koegg==" saltValue="PJ4vo9xbK/IayrWcJJUyRg==" spinCount="100000" sheet="1" formatCells="0"/>
  <sortState xmlns:xlrd2="http://schemas.microsoft.com/office/spreadsheetml/2017/richdata2" ref="AF86:AF90">
    <sortCondition ref="AF86"/>
  </sortState>
  <dataConsolidate/>
  <mergeCells count="6">
    <mergeCell ref="B50:F50"/>
    <mergeCell ref="B53:F53"/>
    <mergeCell ref="B44:F44"/>
    <mergeCell ref="B36:C36"/>
    <mergeCell ref="E36:F36"/>
    <mergeCell ref="B39:C39"/>
  </mergeCells>
  <phoneticPr fontId="21" type="noConversion"/>
  <conditionalFormatting sqref="B21:C21 E14:F14">
    <cfRule type="expression" dxfId="2140" priority="604">
      <formula>$F$5&lt;&gt;$L$9</formula>
    </cfRule>
  </conditionalFormatting>
  <conditionalFormatting sqref="C5:C21">
    <cfRule type="expression" dxfId="2139" priority="4">
      <formula>A5=1</formula>
    </cfRule>
  </conditionalFormatting>
  <conditionalFormatting sqref="E17 E16:F16">
    <cfRule type="expression" dxfId="2137" priority="601">
      <formula>$F$5&lt;&gt;$L$5</formula>
    </cfRule>
  </conditionalFormatting>
  <conditionalFormatting sqref="E15:F15">
    <cfRule type="expression" dxfId="2136" priority="2">
      <formula>$I15=0</formula>
    </cfRule>
  </conditionalFormatting>
  <conditionalFormatting sqref="E16:F16">
    <cfRule type="expression" dxfId="2135" priority="12">
      <formula>$F$5=$AE$5</formula>
    </cfRule>
  </conditionalFormatting>
  <conditionalFormatting sqref="E17:F17">
    <cfRule type="expression" dxfId="2134" priority="11">
      <formula>$F$5=$AE$5</formula>
    </cfRule>
    <cfRule type="expression" dxfId="2133" priority="599">
      <formula>$F$5&lt;&gt;$L$5</formula>
    </cfRule>
  </conditionalFormatting>
  <conditionalFormatting sqref="E18:F28">
    <cfRule type="expression" dxfId="2132" priority="7">
      <formula>$I18=0</formula>
    </cfRule>
  </conditionalFormatting>
  <conditionalFormatting sqref="E20:F20 E22:F22">
    <cfRule type="expression" dxfId="2131" priority="10">
      <formula>$F$5=$AE$5</formula>
    </cfRule>
  </conditionalFormatting>
  <conditionalFormatting sqref="E21:F21">
    <cfRule type="expression" dxfId="2130" priority="21">
      <formula>$H$21=0</formula>
    </cfRule>
  </conditionalFormatting>
  <conditionalFormatting sqref="F15">
    <cfRule type="expression" dxfId="2129" priority="1">
      <formula>$I15=1</formula>
    </cfRule>
  </conditionalFormatting>
  <conditionalFormatting sqref="F18:F28">
    <cfRule type="expression" dxfId="2128" priority="6">
      <formula>$I18=1</formula>
    </cfRule>
  </conditionalFormatting>
  <dataValidations xWindow="51" yWindow="574" count="36">
    <dataValidation type="list" allowBlank="1" showInputMessage="1" showErrorMessage="1" sqref="P102" xr:uid="{00000000-0002-0000-0100-000000000000}">
      <formula1>$P$100:$P$101</formula1>
    </dataValidation>
    <dataValidation allowBlank="1" showErrorMessage="1" sqref="E35 C15:C17" xr:uid="{00000000-0002-0000-0100-000001000000}"/>
    <dataValidation allowBlank="1" showInputMessage="1" showErrorMessage="1" prompt="This is the building address that will appear on the BREEAM certificate and GreenBook Live listing." sqref="B16" xr:uid="{00000000-0002-0000-0100-000002000000}"/>
    <dataValidation allowBlank="1" showInputMessage="1" showErrorMessage="1" prompt="BREEAM ID" sqref="C5" xr:uid="{00000000-0002-0000-0100-000003000000}"/>
    <dataValidation allowBlank="1" showInputMessage="1" showErrorMessage="1" prompt="Informer kunden om at bygningsnavnet vil stå på sertifikatet. Unngå navn som &quot;Ny barneskole i Lilleby&quot; eller byggeprosjektnavn slik som &quot;BN 13 BT4&quot;" sqref="C13" xr:uid="{00000000-0002-0000-0100-000004000000}"/>
    <dataValidation type="list" allowBlank="1" showErrorMessage="1" error="Incorrect entry, please re-try." sqref="R84" xr:uid="{00000000-0002-0000-0100-000005000000}">
      <formula1>ADAS01</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P47" xr:uid="{00000000-0002-0000-0100-000006000000}"/>
    <dataValidation type="list" allowBlank="1" showErrorMessage="1" error="Invalid data entry, please retry." sqref="F21" xr:uid="{00000000-0002-0000-0100-000007000000}">
      <formula1>AD_Labsize_list</formula1>
    </dataValidation>
    <dataValidation type="list" showErrorMessage="1" error="Invalid data entry, please retry." sqref="F16:F17" xr:uid="{00000000-0002-0000-0100-000009000000}">
      <formula1>AD_YesNo</formula1>
    </dataValidation>
    <dataValidation type="list" allowBlank="1" showErrorMessage="1" error="Invalid data entry, please retry." sqref="F18:F19 P73 F22:F24 F26:F28" xr:uid="{00000000-0002-0000-0100-00000A000000}">
      <formula1>AD_YesNo</formula1>
    </dataValidation>
    <dataValidation type="list" allowBlank="1" showInputMessage="1" showErrorMessage="1" sqref="P68" xr:uid="{00000000-0002-0000-0100-00000B000000}">
      <formula1>TRA01_BuildType</formula1>
    </dataValidation>
    <dataValidation allowBlank="1" showInputMessage="1" showErrorMessage="1" prompt="Insert an electornic signature here." sqref="C65" xr:uid="{00000000-0002-0000-0100-00000C000000}"/>
    <dataValidation type="list" allowBlank="1" showInputMessage="1" showErrorMessage="1" error="Invalid data entry, please re-try" sqref="R85" xr:uid="{00000000-0002-0000-0100-00000D000000}">
      <formula1>AD_BREEAM_stage</formula1>
    </dataValidation>
    <dataValidation allowBlank="1" showInputMessage="1" showErrorMessage="1" error="Invalid data entry, please retry." sqref="F30:F32" xr:uid="{00000000-0002-0000-0100-00000E000000}"/>
    <dataValidation type="list" allowBlank="1" showInputMessage="1" showErrorMessage="1" error="Invalid data entry, please re-try" sqref="R86" xr:uid="{00000000-0002-0000-0100-000010000000}">
      <formula1>$Q$8</formula1>
    </dataValidation>
    <dataValidation type="whole" allowBlank="1" showInputMessage="1" showErrorMessage="1" prompt=" Kun heltall uten komma eller punktum." sqref="F12:F14" xr:uid="{00000000-0002-0000-0100-000011000000}">
      <formula1>0</formula1>
      <formula2>40000</formula2>
    </dataValidation>
    <dataValidation allowBlank="1" showInputMessage="1" showErrorMessage="1" prompt="Bruksareal (BRA) er arealet innenfor omsluttede vegger, ref NS 3940:2012" sqref="E12" xr:uid="{00000000-0002-0000-0100-000012000000}"/>
    <dataValidation allowBlank="1" showInputMessage="1" showErrorMessage="1" prompt="Bruttoareal (BTA) er arealet begrenset av ytterveggens utside eller midt i delevegg, ref NS 3940:2012" sqref="E13" xr:uid="{00000000-0002-0000-0100-000013000000}"/>
    <dataValidation allowBlank="1" showInputMessage="1" showErrorMessage="1" prompt="Det er ingen definisjon av BRAs (salgbart bruksareal) iht. NS 3940:2012. BRAs er den enkelte leilighets BRA, det vil si areal innenfor omsluttende vegger i leiligheten. " sqref="E14" xr:uid="{00000000-0002-0000-0100-000014000000}"/>
    <dataValidation type="list" allowBlank="1" showErrorMessage="1" error="Please review, your data entry is invalid." sqref="F6" xr:uid="{00000000-0002-0000-0100-000015000000}">
      <formula1>$O$5:$O$13</formula1>
    </dataValidation>
    <dataValidation type="list" allowBlank="1" showInputMessage="1" showErrorMessage="1" error="Invalid data entry, please retry." prompt="This information determines the applicability of BREEAM issue Ene02a." sqref="G81:I81 Q46" xr:uid="{00000000-0002-0000-0100-000017000000}">
      <formula1>AD_YesNo</formula1>
    </dataValidation>
    <dataValidation allowBlank="1" showErrorMessage="1" prompt="Please state the company name." sqref="B39" xr:uid="{00000000-0002-0000-0100-000019000000}"/>
    <dataValidation allowBlank="1" showInputMessage="1" showErrorMessage="1" prompt="Her ønsker vi en overordnet, kort tekst om bygget sin funksjon der det er plassert, og at løsninger som fremmer bærekraft trekkes frem." sqref="E36:F36" xr:uid="{00000000-0002-0000-0100-00001B000000}"/>
    <dataValidation type="list" allowBlank="1" showErrorMessage="1" error="Please review, your data entry is invalid." sqref="F5" xr:uid="{00000000-0002-0000-0100-00000F000000}">
      <formula1>$L$5:$L$17</formula1>
    </dataValidation>
    <dataValidation type="list" allowBlank="1" showErrorMessage="1" error="Invalid data entry, please retry." sqref="F20" xr:uid="{7FC0A853-413C-49C1-B2DE-3EAE9BFE3F89}">
      <formula1>$Q$55:$Q$58</formula1>
    </dataValidation>
    <dataValidation type="list" allowBlank="1" showErrorMessage="1" error="Invalid data entry, please retry." sqref="F25" xr:uid="{10067917-375C-485B-8027-3530AE81B846}">
      <formula1>$J$30:$J$31</formula1>
    </dataValidation>
    <dataValidation type="list" allowBlank="1" showErrorMessage="1" error="Incorrect entry, please retry." sqref="Q17" xr:uid="{00000000-0002-0000-0100-000016000000}">
      <formula1>$Q$11:$Q$13</formula1>
    </dataValidation>
    <dataValidation allowBlank="1" showInputMessage="1" showErrorMessage="1" prompt="Her skal revisor legge inn tiltakshaver eller byggeier. Dette avgjør om prosjektet får medlemsrabatt eller ikke" sqref="C6" xr:uid="{BA43CBD0-8442-40DB-BF89-24669419BC3D}"/>
    <dataValidation allowBlank="1" showInputMessage="1" showErrorMessage="1" prompt="Hvis revisororganisasjon er endret, må prosjektet omregistreres" sqref="C9" xr:uid="{3B6DE451-A3D1-402E-8E45-47DF454B2F1D}"/>
    <dataValidation allowBlank="1" showInputMessage="1" showErrorMessage="1" prompt="Hvis adresse/postnr/poststed ikke er kjent ved revisjonstidspunktet kan revisor skrive &quot;Ikke kjent&quot; eller tilsvarende" sqref="C14" xr:uid="{BA909187-AFD8-4735-A3C0-517F93354D62}"/>
    <dataValidation allowBlank="1" showInputMessage="1" showErrorMessage="1" prompt="Dette er ikke nødvendigvis samme som &quot;Client Name&quot; lenger oppe. " sqref="C24" xr:uid="{8AC9EF10-20F4-434C-ADC3-C0C1FEC3DAA0}"/>
    <dataValidation allowBlank="1" showInputMessage="1" showErrorMessage="1" prompt="Kun firmanavn nødvendig. Skriv korrekt navn på firmaet da dette kommer på sertifikatet" sqref="C25:C33" xr:uid="{670A3A1B-569A-4B98-B175-D43D9C24B4C2}"/>
    <dataValidation allowBlank="1" showInputMessage="1" showErrorMessage="1" prompt="Her kan revisor fylle inn tiltak prosjektet har gjort som kan være interessante for andre. Dette kan danne grunnlag for nyhetsartikler/caser som legges ut på Grønn Byggalianses nettsider. Dette vil selvsagt bli avklart med prosjektet/byggeier på forhånd." sqref="B36:C36" xr:uid="{159970F0-1E2C-4FCA-94FB-97C4A9760DEE}"/>
    <dataValidation type="list" allowBlank="1" showInputMessage="1" showErrorMessage="1" sqref="F15" xr:uid="{21EAB3B3-E1C0-4116-B3AC-EE6A610FB5AD}">
      <formula1>$R$22:$R$23</formula1>
    </dataValidation>
    <dataValidation type="list" allowBlank="1" showInputMessage="1" showErrorMessage="1" sqref="F8" xr:uid="{98F723A8-FD9F-46AC-8607-A8F8FEED4303}">
      <formula1>$J$37:$J$38</formula1>
    </dataValidation>
    <dataValidation type="list" allowBlank="1" showInputMessage="1" showErrorMessage="1" sqref="F7" xr:uid="{BFF1E904-F2AA-4D20-8FDE-6441517E9E4D}">
      <formula1>$Q$11:$Q$16</formula1>
    </dataValidation>
  </dataValidations>
  <printOptions horizontalCentered="1"/>
  <pageMargins left="0.23622047244094491" right="0.23622047244094491" top="0.32" bottom="0.41" header="0.31496062992125984" footer="0.31496062992125984"/>
  <pageSetup paperSize="9" scale="52" orientation="landscape" errors="blank" r:id="rId1"/>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25" id="{15BD1200-67FE-42E0-955A-22C5BFC5B389}">
            <xm:f>'Manuell filtrering og justering'!$I$2='Manuell filtrering og justering'!$J$2</xm:f>
            <x14:dxf>
              <border>
                <top style="thin">
                  <color auto="1"/>
                </top>
                <vertical/>
                <horizontal/>
              </border>
            </x14:dxf>
          </x14:cfRule>
          <xm:sqref>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9F4D-E595-4FE6-B9FF-ACDB02C68F9B}">
  <dimension ref="B2:AB116"/>
  <sheetViews>
    <sheetView workbookViewId="0">
      <selection activeCell="O4" sqref="O4"/>
    </sheetView>
  </sheetViews>
  <sheetFormatPr defaultColWidth="9.140625" defaultRowHeight="15" x14ac:dyDescent="0.25"/>
  <cols>
    <col min="2" max="2" width="12.5703125" bestFit="1" customWidth="1"/>
    <col min="15" max="15" width="26.5703125" customWidth="1"/>
    <col min="21" max="21" width="80.85546875" customWidth="1"/>
    <col min="23" max="23" width="12.5703125" customWidth="1"/>
    <col min="24" max="24" width="35.42578125" customWidth="1"/>
    <col min="25" max="25" width="25.42578125" customWidth="1"/>
    <col min="28" max="28" width="45.7109375" bestFit="1" customWidth="1"/>
  </cols>
  <sheetData>
    <row r="2" spans="2:28" x14ac:dyDescent="0.25">
      <c r="B2" s="485" t="s">
        <v>1252</v>
      </c>
      <c r="C2" s="485" t="s">
        <v>1215</v>
      </c>
      <c r="D2" s="485" t="s">
        <v>21</v>
      </c>
      <c r="E2" s="485"/>
      <c r="F2" s="485" t="s">
        <v>1253</v>
      </c>
      <c r="G2" s="485"/>
      <c r="H2" s="485"/>
      <c r="I2" s="485"/>
      <c r="J2" s="485"/>
      <c r="K2" s="485"/>
      <c r="L2" s="485"/>
      <c r="M2" s="485"/>
      <c r="N2" s="485"/>
      <c r="O2" s="485" t="s">
        <v>1254</v>
      </c>
      <c r="P2" s="485" t="s">
        <v>1255</v>
      </c>
      <c r="Q2" s="485" t="s">
        <v>1256</v>
      </c>
      <c r="R2" s="215" t="s">
        <v>1257</v>
      </c>
      <c r="U2" s="1141" t="s">
        <v>1258</v>
      </c>
      <c r="W2" s="1527" t="s">
        <v>1259</v>
      </c>
      <c r="X2" s="1527"/>
      <c r="Y2" s="1527"/>
      <c r="AB2" t="s">
        <v>316</v>
      </c>
    </row>
    <row r="3" spans="2:28" x14ac:dyDescent="0.25">
      <c r="B3" s="1142" t="s">
        <v>316</v>
      </c>
      <c r="C3" s="43" t="s">
        <v>1191</v>
      </c>
      <c r="D3" s="43">
        <v>0</v>
      </c>
      <c r="E3" s="43">
        <v>5</v>
      </c>
      <c r="F3" s="43" t="s">
        <v>1260</v>
      </c>
      <c r="G3" s="43" t="s">
        <v>74</v>
      </c>
      <c r="H3" s="43"/>
      <c r="I3" s="43" t="s">
        <v>1261</v>
      </c>
      <c r="J3" s="43" t="s">
        <v>1262</v>
      </c>
      <c r="K3" s="43" t="s">
        <v>1263</v>
      </c>
      <c r="L3" s="43" t="s">
        <v>1264</v>
      </c>
      <c r="M3" s="43" t="s">
        <v>1265</v>
      </c>
      <c r="N3" s="43" t="s">
        <v>1266</v>
      </c>
      <c r="O3" s="1142" t="s">
        <v>316</v>
      </c>
      <c r="P3" s="1143">
        <v>0</v>
      </c>
      <c r="Q3" s="1144" t="s">
        <v>1036</v>
      </c>
      <c r="R3" s="1142" t="s">
        <v>316</v>
      </c>
      <c r="S3" s="1144" t="s">
        <v>1036</v>
      </c>
      <c r="T3" t="s">
        <v>87</v>
      </c>
      <c r="U3" s="1145"/>
      <c r="W3">
        <v>1</v>
      </c>
      <c r="X3" t="s">
        <v>1151</v>
      </c>
      <c r="Y3" t="s">
        <v>1221</v>
      </c>
      <c r="AB3" t="s">
        <v>14</v>
      </c>
    </row>
    <row r="4" spans="2:28" x14ac:dyDescent="0.25">
      <c r="B4" s="1146" t="s">
        <v>12</v>
      </c>
      <c r="C4" s="43" t="s">
        <v>1188</v>
      </c>
      <c r="D4" s="43" t="s">
        <v>1267</v>
      </c>
      <c r="E4" s="43">
        <v>4</v>
      </c>
      <c r="F4" s="43" t="s">
        <v>1268</v>
      </c>
      <c r="G4" s="43" t="s">
        <v>73</v>
      </c>
      <c r="H4" s="43" t="s">
        <v>525</v>
      </c>
      <c r="I4" s="43">
        <v>1</v>
      </c>
      <c r="J4" s="43">
        <v>1</v>
      </c>
      <c r="K4" s="43">
        <v>1</v>
      </c>
      <c r="L4" s="43">
        <v>1</v>
      </c>
      <c r="M4" s="43">
        <v>2</v>
      </c>
      <c r="N4" s="43"/>
      <c r="O4" s="1147" t="str">
        <f>IF(OR(ADPT=ADPT01,ADPT=ADPT03),AIS_NA,"Option 1")</f>
        <v>N/A</v>
      </c>
      <c r="P4" s="1143">
        <v>1</v>
      </c>
      <c r="Q4" s="1148">
        <v>0</v>
      </c>
      <c r="R4" s="1149">
        <v>1</v>
      </c>
      <c r="S4" s="1148">
        <v>0</v>
      </c>
      <c r="T4" t="s">
        <v>88</v>
      </c>
      <c r="U4" s="1150" t="s">
        <v>1269</v>
      </c>
      <c r="W4">
        <v>2</v>
      </c>
      <c r="X4" t="s">
        <v>1192</v>
      </c>
      <c r="Y4" t="s">
        <v>1191</v>
      </c>
      <c r="AB4" t="s">
        <v>1646</v>
      </c>
    </row>
    <row r="5" spans="2:28" ht="18" x14ac:dyDescent="0.35">
      <c r="B5" s="1146" t="s">
        <v>13</v>
      </c>
      <c r="C5" s="43" t="s">
        <v>1270</v>
      </c>
      <c r="D5" s="43" t="s">
        <v>31</v>
      </c>
      <c r="E5" s="43">
        <v>3</v>
      </c>
      <c r="F5" s="43" t="s">
        <v>1271</v>
      </c>
      <c r="G5" s="43" t="s">
        <v>72</v>
      </c>
      <c r="H5" s="43" t="s">
        <v>1272</v>
      </c>
      <c r="I5" s="43">
        <v>0</v>
      </c>
      <c r="J5" s="43">
        <v>0</v>
      </c>
      <c r="K5" s="43">
        <v>0</v>
      </c>
      <c r="L5" s="43">
        <v>1</v>
      </c>
      <c r="M5" s="43">
        <v>2</v>
      </c>
      <c r="N5" s="43"/>
      <c r="O5" s="1147" t="str">
        <f>IF(OR(ADPT=ADPT01,ADPT=ADPT03),AIS_NA,"Option 2")</f>
        <v>N/A</v>
      </c>
      <c r="P5" s="1143">
        <v>2</v>
      </c>
      <c r="Q5" s="1148">
        <v>0.01</v>
      </c>
      <c r="R5" s="1149">
        <v>2</v>
      </c>
      <c r="S5" s="1148">
        <v>0.01</v>
      </c>
      <c r="T5" t="s">
        <v>89</v>
      </c>
      <c r="U5" s="1150" t="s">
        <v>1273</v>
      </c>
      <c r="W5">
        <v>3</v>
      </c>
      <c r="X5" t="s">
        <v>1189</v>
      </c>
      <c r="Y5" t="s">
        <v>1188</v>
      </c>
      <c r="AB5" t="s">
        <v>1647</v>
      </c>
    </row>
    <row r="6" spans="2:28" ht="18" x14ac:dyDescent="0.35">
      <c r="B6" s="1146" t="s">
        <v>14</v>
      </c>
      <c r="C6" s="43" t="s">
        <v>1274</v>
      </c>
      <c r="D6" s="43"/>
      <c r="E6" s="43">
        <v>2</v>
      </c>
      <c r="F6" s="43" t="s">
        <v>1275</v>
      </c>
      <c r="G6" s="43" t="s">
        <v>71</v>
      </c>
      <c r="H6" s="43" t="s">
        <v>702</v>
      </c>
      <c r="I6" s="43">
        <v>0</v>
      </c>
      <c r="J6" s="43">
        <v>1</v>
      </c>
      <c r="K6" s="43">
        <v>1</v>
      </c>
      <c r="L6" s="43">
        <v>1</v>
      </c>
      <c r="M6" s="43">
        <v>1</v>
      </c>
      <c r="N6" s="43"/>
      <c r="O6" s="1147" t="str">
        <f>IF(OR(ADPT=ADPT01,ADPT=ADPT03),AIS_NA,"Option 3")</f>
        <v>N/A</v>
      </c>
      <c r="P6" s="1143">
        <v>3</v>
      </c>
      <c r="Q6" s="1148">
        <v>0.02</v>
      </c>
      <c r="R6" s="1149">
        <v>3</v>
      </c>
      <c r="S6" s="1148">
        <v>0.02</v>
      </c>
      <c r="T6" t="s">
        <v>90</v>
      </c>
      <c r="U6" s="1150" t="s">
        <v>1276</v>
      </c>
      <c r="W6">
        <v>4</v>
      </c>
      <c r="X6" t="s">
        <v>1186</v>
      </c>
      <c r="Y6" t="s">
        <v>1184</v>
      </c>
      <c r="AB6" t="s">
        <v>1648</v>
      </c>
    </row>
    <row r="7" spans="2:28" x14ac:dyDescent="0.25">
      <c r="B7" s="1146" t="s">
        <v>1277</v>
      </c>
      <c r="O7" s="1147" t="str">
        <f>IF(OR(ADPT=ADPT01,ADPT=ADPT03),AIS_NA,"Option 4")</f>
        <v>N/A</v>
      </c>
      <c r="P7" s="1143">
        <v>4</v>
      </c>
      <c r="Q7" s="1148">
        <v>0.03</v>
      </c>
      <c r="R7" s="1149">
        <v>4</v>
      </c>
      <c r="S7" s="1148">
        <v>0.03</v>
      </c>
      <c r="T7" t="s">
        <v>91</v>
      </c>
      <c r="U7" s="1150" t="s">
        <v>1278</v>
      </c>
      <c r="W7">
        <v>5</v>
      </c>
      <c r="X7" t="s">
        <v>1185</v>
      </c>
      <c r="Y7" t="s">
        <v>1184</v>
      </c>
      <c r="AB7" t="s">
        <v>1649</v>
      </c>
    </row>
    <row r="8" spans="2:28" x14ac:dyDescent="0.25">
      <c r="B8" s="1146" t="s">
        <v>1279</v>
      </c>
      <c r="O8" s="1147" t="str">
        <f>IF(OR(ADPT=ADPT01,ADPT=ADPT03),AIS_NA,"N/A")</f>
        <v>N/A</v>
      </c>
      <c r="P8" s="1143">
        <v>5</v>
      </c>
      <c r="Q8" s="1148">
        <v>0.04</v>
      </c>
      <c r="R8" s="1149">
        <v>5</v>
      </c>
      <c r="S8" s="1148">
        <v>0.04</v>
      </c>
      <c r="T8" t="s">
        <v>111</v>
      </c>
      <c r="U8" s="1150" t="s">
        <v>1280</v>
      </c>
      <c r="W8">
        <v>6</v>
      </c>
      <c r="X8" t="s">
        <v>1183</v>
      </c>
      <c r="Y8" t="s">
        <v>1181</v>
      </c>
      <c r="AB8" t="s">
        <v>1650</v>
      </c>
    </row>
    <row r="9" spans="2:28" x14ac:dyDescent="0.25">
      <c r="B9" s="1146" t="s">
        <v>1158</v>
      </c>
      <c r="O9" s="1150"/>
      <c r="P9" s="1143">
        <v>6</v>
      </c>
      <c r="Q9" s="1148">
        <v>0.05</v>
      </c>
      <c r="R9" s="1149">
        <v>6</v>
      </c>
      <c r="S9" s="1148">
        <v>0.05</v>
      </c>
      <c r="T9" t="s">
        <v>112</v>
      </c>
      <c r="U9" s="1150" t="s">
        <v>1281</v>
      </c>
      <c r="W9">
        <v>7</v>
      </c>
      <c r="X9" t="s">
        <v>1182</v>
      </c>
      <c r="Y9" t="s">
        <v>1181</v>
      </c>
      <c r="AB9" t="s">
        <v>1651</v>
      </c>
    </row>
    <row r="10" spans="2:28" x14ac:dyDescent="0.25">
      <c r="B10" s="1146" t="s">
        <v>1282</v>
      </c>
      <c r="O10" s="1147" t="str">
        <f>IF(OR(ADPT=ADPT01,ADPT=ADPT03),AIS_NA,"Option 1")</f>
        <v>N/A</v>
      </c>
      <c r="P10" s="1143">
        <v>7</v>
      </c>
      <c r="Q10" s="1148">
        <v>0.06</v>
      </c>
      <c r="R10" s="1149">
        <v>7</v>
      </c>
      <c r="S10" s="1148">
        <v>0.06</v>
      </c>
      <c r="T10" t="s">
        <v>113</v>
      </c>
      <c r="U10" s="1150" t="s">
        <v>1283</v>
      </c>
      <c r="W10">
        <v>8</v>
      </c>
      <c r="X10" t="s">
        <v>1179</v>
      </c>
      <c r="Y10" t="s">
        <v>1176</v>
      </c>
      <c r="AB10" t="s">
        <v>1652</v>
      </c>
    </row>
    <row r="11" spans="2:28" x14ac:dyDescent="0.25">
      <c r="B11" s="1146" t="s">
        <v>1</v>
      </c>
      <c r="O11" s="1147" t="str">
        <f>IF(OR(ADPT=ADPT01,ADPT=ADPT03),AIS_NA,"Option 2: N/A")</f>
        <v>N/A</v>
      </c>
      <c r="P11" s="1143">
        <v>8</v>
      </c>
      <c r="Q11" s="1148">
        <v>7.0000000000000007E-2</v>
      </c>
      <c r="R11" s="1149">
        <v>8</v>
      </c>
      <c r="S11" s="1148">
        <v>7.0000000000000007E-2</v>
      </c>
      <c r="T11" t="s">
        <v>115</v>
      </c>
      <c r="U11" s="1150" t="s">
        <v>1284</v>
      </c>
      <c r="W11">
        <v>9</v>
      </c>
      <c r="X11" t="s">
        <v>1177</v>
      </c>
      <c r="Y11" t="s">
        <v>1176</v>
      </c>
      <c r="AB11" t="s">
        <v>1653</v>
      </c>
    </row>
    <row r="12" spans="2:28" x14ac:dyDescent="0.25">
      <c r="B12" s="1146" t="s">
        <v>1160</v>
      </c>
      <c r="O12" s="1147" t="str">
        <f>IF(OR(ADPT=ADPT01,ADPT=ADPT03),AIS_NA,"Option 3")</f>
        <v>N/A</v>
      </c>
      <c r="P12" s="1143">
        <v>9</v>
      </c>
      <c r="Q12" s="1148">
        <v>0.08</v>
      </c>
      <c r="R12" s="1149">
        <v>9</v>
      </c>
      <c r="S12" s="1148">
        <v>0.08</v>
      </c>
      <c r="T12" t="s">
        <v>116</v>
      </c>
      <c r="U12" s="1150" t="s">
        <v>1285</v>
      </c>
      <c r="W12">
        <v>10</v>
      </c>
      <c r="X12" t="s">
        <v>1172</v>
      </c>
      <c r="Y12" t="s">
        <v>1167</v>
      </c>
      <c r="AB12" t="s">
        <v>1654</v>
      </c>
    </row>
    <row r="13" spans="2:28" x14ac:dyDescent="0.25">
      <c r="B13" s="1146" t="s">
        <v>1150</v>
      </c>
      <c r="O13" s="1147" t="str">
        <f>IF(OR(ADPT=ADPT01,ADPT=ADPT03),AIS_NA,"Option 4")</f>
        <v>N/A</v>
      </c>
      <c r="P13" s="1143">
        <v>10</v>
      </c>
      <c r="Q13" s="1148">
        <v>0.09</v>
      </c>
      <c r="R13" s="1149">
        <v>10</v>
      </c>
      <c r="S13" s="1148">
        <v>0.09</v>
      </c>
      <c r="T13" t="s">
        <v>118</v>
      </c>
      <c r="U13" s="1150" t="s">
        <v>1286</v>
      </c>
      <c r="W13">
        <v>11</v>
      </c>
      <c r="X13" t="s">
        <v>1171</v>
      </c>
      <c r="Y13" t="s">
        <v>1170</v>
      </c>
      <c r="AB13" t="s">
        <v>1655</v>
      </c>
    </row>
    <row r="14" spans="2:28" x14ac:dyDescent="0.25">
      <c r="O14" s="1147" t="str">
        <f>IF(OR(ADPT=ADPT01,ADPT=ADPT03),AIS_NA,"N/A")</f>
        <v>N/A</v>
      </c>
      <c r="P14" s="1143">
        <v>11</v>
      </c>
      <c r="Q14" s="1148">
        <v>0.1</v>
      </c>
      <c r="R14" s="1149">
        <v>11</v>
      </c>
      <c r="S14" s="1148">
        <v>0.1</v>
      </c>
      <c r="T14" t="s">
        <v>129</v>
      </c>
      <c r="U14" s="1150" t="s">
        <v>1287</v>
      </c>
      <c r="W14">
        <v>12</v>
      </c>
      <c r="X14" t="s">
        <v>1169</v>
      </c>
      <c r="Y14" t="s">
        <v>1167</v>
      </c>
      <c r="AB14" t="s">
        <v>1656</v>
      </c>
    </row>
    <row r="15" spans="2:28" x14ac:dyDescent="0.25">
      <c r="B15" s="1146" t="s">
        <v>383</v>
      </c>
      <c r="O15" s="1150"/>
      <c r="P15" s="1143">
        <v>12</v>
      </c>
      <c r="Q15" s="1148">
        <v>0.11</v>
      </c>
      <c r="R15" s="1149">
        <v>12</v>
      </c>
      <c r="S15" s="1148">
        <v>0.11</v>
      </c>
      <c r="T15" t="s">
        <v>130</v>
      </c>
      <c r="U15" s="1150" t="s">
        <v>1288</v>
      </c>
      <c r="W15">
        <v>13</v>
      </c>
      <c r="X15" t="s">
        <v>1168</v>
      </c>
      <c r="Y15" t="s">
        <v>1167</v>
      </c>
      <c r="AB15" t="s">
        <v>1657</v>
      </c>
    </row>
    <row r="16" spans="2:28" x14ac:dyDescent="0.25">
      <c r="B16" s="1146" t="s">
        <v>384</v>
      </c>
      <c r="O16" s="1147" t="str">
        <f>IF(OR(ADPT=ADPT01,ADPT=ADPT03),AIS_NA,"Option 1: N/A")</f>
        <v>N/A</v>
      </c>
      <c r="P16" s="1143">
        <v>13</v>
      </c>
      <c r="Q16" s="1148">
        <v>0.12</v>
      </c>
      <c r="R16" s="1149">
        <v>13</v>
      </c>
      <c r="S16" s="1148">
        <v>0.12</v>
      </c>
      <c r="T16" t="s">
        <v>131</v>
      </c>
      <c r="U16" s="1150" t="s">
        <v>1289</v>
      </c>
      <c r="W16">
        <v>14</v>
      </c>
      <c r="X16" t="s">
        <v>1165</v>
      </c>
      <c r="Y16" t="s">
        <v>1163</v>
      </c>
      <c r="AB16" t="s">
        <v>1658</v>
      </c>
    </row>
    <row r="17" spans="2:28" x14ac:dyDescent="0.25">
      <c r="O17" s="1147" t="str">
        <f>IF(OR(ADPT=ADPT01,ADPT=ADPT03),AIS_NA,"Option 3")</f>
        <v>N/A</v>
      </c>
      <c r="P17" s="1143">
        <v>15</v>
      </c>
      <c r="Q17" s="1148">
        <v>0.13</v>
      </c>
      <c r="R17" s="1149">
        <v>14</v>
      </c>
      <c r="S17" s="1151">
        <v>0.125</v>
      </c>
      <c r="T17" t="s">
        <v>133</v>
      </c>
      <c r="U17" s="1150" t="s">
        <v>1290</v>
      </c>
      <c r="W17">
        <v>15</v>
      </c>
      <c r="X17" t="s">
        <v>1164</v>
      </c>
      <c r="Y17" t="s">
        <v>1163</v>
      </c>
      <c r="AB17" t="s">
        <v>1659</v>
      </c>
    </row>
    <row r="18" spans="2:28" x14ac:dyDescent="0.25">
      <c r="O18" s="1147" t="str">
        <f>IF(OR(ADPT=ADPT01,ADPT=ADPT03),AIS_NA,"Option 4")</f>
        <v>N/A</v>
      </c>
      <c r="P18" s="1143">
        <v>16</v>
      </c>
      <c r="Q18" s="1148">
        <v>0.14000000000000001</v>
      </c>
      <c r="R18" s="1149">
        <v>15</v>
      </c>
      <c r="S18" s="1148">
        <v>0.13</v>
      </c>
      <c r="T18" t="s">
        <v>134</v>
      </c>
      <c r="U18" s="1150" t="s">
        <v>1291</v>
      </c>
      <c r="W18">
        <v>16</v>
      </c>
      <c r="X18" t="s">
        <v>1156</v>
      </c>
      <c r="Y18" t="s">
        <v>1155</v>
      </c>
      <c r="AB18" t="s">
        <v>1660</v>
      </c>
    </row>
    <row r="19" spans="2:28" x14ac:dyDescent="0.25">
      <c r="O19" s="1147" t="str">
        <f>IF(OR(ADPT=ADPT01,ADPT=ADPT03),AIS_NA,"N/A")</f>
        <v>N/A</v>
      </c>
      <c r="P19" s="1143">
        <v>17</v>
      </c>
      <c r="Q19" s="1148">
        <v>0.15</v>
      </c>
      <c r="R19" s="1149">
        <v>16</v>
      </c>
      <c r="S19" s="1148">
        <v>0.14000000000000001</v>
      </c>
      <c r="T19" t="s">
        <v>135</v>
      </c>
      <c r="U19" s="1150" t="s">
        <v>1292</v>
      </c>
      <c r="W19">
        <v>17</v>
      </c>
      <c r="X19" t="s">
        <v>1154</v>
      </c>
      <c r="Y19" t="s">
        <v>1153</v>
      </c>
      <c r="AB19" t="s">
        <v>1661</v>
      </c>
    </row>
    <row r="20" spans="2:28" x14ac:dyDescent="0.25">
      <c r="O20" s="1150"/>
      <c r="P20" s="1143">
        <v>18</v>
      </c>
      <c r="Q20" s="1148">
        <v>0.16</v>
      </c>
      <c r="R20" s="1149">
        <v>17</v>
      </c>
      <c r="S20" s="1148">
        <v>0.15</v>
      </c>
      <c r="T20" t="s">
        <v>136</v>
      </c>
      <c r="U20" s="1150" t="s">
        <v>1293</v>
      </c>
      <c r="W20">
        <v>18</v>
      </c>
      <c r="X20" t="s">
        <v>1115</v>
      </c>
      <c r="Y20" t="s">
        <v>1157</v>
      </c>
      <c r="AB20" t="s">
        <v>1662</v>
      </c>
    </row>
    <row r="21" spans="2:28" x14ac:dyDescent="0.25">
      <c r="G21" t="str">
        <f>AIS_Yes_old</f>
        <v>Yes</v>
      </c>
      <c r="O21" s="1147" t="str">
        <f>IF(OR(ADPT=ADPT01,ADPT=ADPT03),AIS_NA,"Option 1")</f>
        <v>N/A</v>
      </c>
      <c r="P21" s="1143">
        <v>19</v>
      </c>
      <c r="Q21" s="1148">
        <v>0.17</v>
      </c>
      <c r="R21" s="1149">
        <v>18</v>
      </c>
      <c r="S21" s="1148">
        <v>0.16</v>
      </c>
      <c r="T21" t="s">
        <v>141</v>
      </c>
      <c r="U21" s="1150" t="s">
        <v>1294</v>
      </c>
      <c r="W21">
        <v>19</v>
      </c>
      <c r="X21" t="s">
        <v>1114</v>
      </c>
      <c r="Y21" t="s">
        <v>1157</v>
      </c>
      <c r="AB21" t="s">
        <v>1663</v>
      </c>
    </row>
    <row r="22" spans="2:28" x14ac:dyDescent="0.25">
      <c r="O22" s="1147" t="str">
        <f>IF(OR(ADPT=ADPT01,ADPT=ADPT03),AIS_NA,"Option 2: N/A")</f>
        <v>N/A</v>
      </c>
      <c r="P22" s="1143">
        <v>20</v>
      </c>
      <c r="Q22" s="1148">
        <v>0.18</v>
      </c>
      <c r="R22" s="1149">
        <v>19</v>
      </c>
      <c r="S22" s="1148">
        <v>0.17</v>
      </c>
      <c r="T22" t="s">
        <v>142</v>
      </c>
      <c r="U22" s="1150" t="s">
        <v>1295</v>
      </c>
      <c r="W22">
        <v>20</v>
      </c>
      <c r="X22" t="s">
        <v>1112</v>
      </c>
      <c r="Y22" t="s">
        <v>1111</v>
      </c>
      <c r="AB22" t="s">
        <v>1664</v>
      </c>
    </row>
    <row r="23" spans="2:28" x14ac:dyDescent="0.25">
      <c r="O23" s="1147" t="str">
        <f>IF(OR(ADPT=ADPT01,ADPT=ADPT03),AIS_NA,"Option 3")</f>
        <v>N/A</v>
      </c>
      <c r="Q23" s="1148">
        <v>0.19</v>
      </c>
      <c r="R23" s="1149">
        <v>20</v>
      </c>
      <c r="S23" s="1148">
        <v>0.18</v>
      </c>
      <c r="T23" t="s">
        <v>163</v>
      </c>
      <c r="U23" s="1150" t="s">
        <v>1296</v>
      </c>
      <c r="W23">
        <v>21</v>
      </c>
      <c r="X23" t="s">
        <v>1110</v>
      </c>
      <c r="Y23" t="s">
        <v>1157</v>
      </c>
      <c r="AB23" t="s">
        <v>1665</v>
      </c>
    </row>
    <row r="24" spans="2:28" x14ac:dyDescent="0.25">
      <c r="O24" s="1147" t="str">
        <f>IF(OR(ADPT=ADPT01,ADPT=ADPT03),AIS_NA,"N/A")</f>
        <v>N/A</v>
      </c>
      <c r="Q24" s="1148">
        <v>0.2</v>
      </c>
      <c r="R24" s="1149">
        <v>21</v>
      </c>
      <c r="S24" s="1148">
        <v>0.19</v>
      </c>
      <c r="T24" t="s">
        <v>164</v>
      </c>
      <c r="U24" s="1150" t="s">
        <v>1297</v>
      </c>
      <c r="W24">
        <v>22</v>
      </c>
      <c r="X24" t="s">
        <v>1298</v>
      </c>
      <c r="Y24" t="s">
        <v>1071</v>
      </c>
      <c r="AB24" t="s">
        <v>1666</v>
      </c>
    </row>
    <row r="25" spans="2:28" x14ac:dyDescent="0.25">
      <c r="Q25" s="1148">
        <v>0.21</v>
      </c>
      <c r="R25" s="1149">
        <v>22</v>
      </c>
      <c r="S25" s="1148">
        <v>0.2</v>
      </c>
      <c r="T25" t="s">
        <v>165</v>
      </c>
      <c r="U25" s="1150" t="s">
        <v>1299</v>
      </c>
      <c r="W25">
        <v>23</v>
      </c>
      <c r="X25" t="s">
        <v>1300</v>
      </c>
      <c r="Y25" t="s">
        <v>1070</v>
      </c>
      <c r="AB25" t="s">
        <v>1667</v>
      </c>
    </row>
    <row r="26" spans="2:28" x14ac:dyDescent="0.25">
      <c r="O26" s="1147" t="s">
        <v>1301</v>
      </c>
      <c r="Q26" s="1148">
        <v>0.22</v>
      </c>
      <c r="R26" s="1149">
        <v>23</v>
      </c>
      <c r="S26" s="1148">
        <v>0.21</v>
      </c>
      <c r="T26" t="s">
        <v>166</v>
      </c>
      <c r="U26" s="1150" t="s">
        <v>1302</v>
      </c>
      <c r="W26">
        <v>24</v>
      </c>
      <c r="X26" t="s">
        <v>1060</v>
      </c>
      <c r="AB26" t="s">
        <v>1668</v>
      </c>
    </row>
    <row r="27" spans="2:28" x14ac:dyDescent="0.25">
      <c r="Q27" s="1148">
        <v>0.23</v>
      </c>
      <c r="R27" s="1149">
        <v>24</v>
      </c>
      <c r="S27" s="1148">
        <v>0.22</v>
      </c>
      <c r="T27" t="s">
        <v>167</v>
      </c>
      <c r="U27" s="1150" t="s">
        <v>1303</v>
      </c>
      <c r="W27">
        <v>25</v>
      </c>
      <c r="X27" t="s">
        <v>1059</v>
      </c>
      <c r="AB27" t="s">
        <v>1669</v>
      </c>
    </row>
    <row r="28" spans="2:28" x14ac:dyDescent="0.25">
      <c r="Q28" s="1148">
        <v>0.24</v>
      </c>
      <c r="R28" s="1149">
        <v>25</v>
      </c>
      <c r="S28" s="1148">
        <v>0.23</v>
      </c>
      <c r="T28" t="s">
        <v>457</v>
      </c>
      <c r="U28" s="1150" t="s">
        <v>1304</v>
      </c>
      <c r="W28" s="125">
        <v>26</v>
      </c>
      <c r="X28" t="s">
        <v>1057</v>
      </c>
      <c r="AB28" t="s">
        <v>1670</v>
      </c>
    </row>
    <row r="29" spans="2:28" x14ac:dyDescent="0.25">
      <c r="Q29" s="1148">
        <v>0.25</v>
      </c>
      <c r="R29" s="1149">
        <v>26</v>
      </c>
      <c r="S29" s="1148">
        <v>0.24</v>
      </c>
      <c r="T29" t="s">
        <v>168</v>
      </c>
      <c r="U29" s="1150" t="s">
        <v>1305</v>
      </c>
      <c r="W29" s="125">
        <v>27</v>
      </c>
      <c r="X29" t="s">
        <v>1203</v>
      </c>
      <c r="Y29" t="s">
        <v>1111</v>
      </c>
      <c r="AB29" t="s">
        <v>1671</v>
      </c>
    </row>
    <row r="30" spans="2:28" x14ac:dyDescent="0.25">
      <c r="Q30" s="1148">
        <v>0.26</v>
      </c>
      <c r="R30" s="1149">
        <v>27</v>
      </c>
      <c r="S30" s="1148">
        <v>0.25</v>
      </c>
      <c r="T30" t="s">
        <v>169</v>
      </c>
      <c r="U30" s="1150" t="s">
        <v>1306</v>
      </c>
      <c r="W30" s="125" t="s">
        <v>1307</v>
      </c>
      <c r="X30" t="s">
        <v>1050</v>
      </c>
      <c r="Y30" t="s">
        <v>1048</v>
      </c>
      <c r="AB30" t="s">
        <v>1683</v>
      </c>
    </row>
    <row r="31" spans="2:28" ht="15.75" thickBot="1" x14ac:dyDescent="0.3">
      <c r="B31" s="1152" t="s">
        <v>139</v>
      </c>
      <c r="C31" s="1152"/>
      <c r="D31" s="1152"/>
      <c r="E31" s="1152"/>
      <c r="F31" s="1152"/>
      <c r="G31" s="1152"/>
      <c r="H31" s="1152"/>
      <c r="I31" s="1152"/>
      <c r="J31" s="1152"/>
      <c r="K31" s="1152"/>
      <c r="Q31" s="1148">
        <v>0.27</v>
      </c>
      <c r="R31" s="1149">
        <v>28</v>
      </c>
      <c r="S31" s="1148">
        <v>0.26</v>
      </c>
      <c r="T31" t="s">
        <v>170</v>
      </c>
      <c r="U31" s="1150" t="s">
        <v>1308</v>
      </c>
      <c r="W31" s="125" t="s">
        <v>1309</v>
      </c>
      <c r="X31" t="s">
        <v>1049</v>
      </c>
      <c r="Y31" t="s">
        <v>1048</v>
      </c>
      <c r="AB31" t="s">
        <v>1672</v>
      </c>
    </row>
    <row r="32" spans="2:28" ht="15.75" thickBot="1" x14ac:dyDescent="0.3">
      <c r="B32" s="1153">
        <v>1</v>
      </c>
      <c r="C32" s="1154">
        <v>2</v>
      </c>
      <c r="D32" s="1154">
        <v>3</v>
      </c>
      <c r="E32" s="1154">
        <v>4</v>
      </c>
      <c r="F32" s="1154">
        <v>5</v>
      </c>
      <c r="G32" s="1154">
        <v>6</v>
      </c>
      <c r="H32" s="1154">
        <v>7</v>
      </c>
      <c r="I32" s="1154">
        <v>8</v>
      </c>
      <c r="J32" s="1154">
        <v>9</v>
      </c>
      <c r="K32" s="1155">
        <v>10</v>
      </c>
      <c r="Q32" s="1148">
        <v>0.28000000000000003</v>
      </c>
      <c r="R32" s="1149">
        <v>29</v>
      </c>
      <c r="S32" s="1148">
        <v>0.27</v>
      </c>
      <c r="T32" t="s">
        <v>458</v>
      </c>
      <c r="U32" s="1150" t="s">
        <v>1310</v>
      </c>
      <c r="W32" s="125">
        <v>28</v>
      </c>
      <c r="X32" t="s">
        <v>1040</v>
      </c>
      <c r="Y32" t="s">
        <v>1311</v>
      </c>
      <c r="AB32" t="s">
        <v>1673</v>
      </c>
    </row>
    <row r="33" spans="2:28" x14ac:dyDescent="0.25">
      <c r="B33" s="1156" t="s">
        <v>1312</v>
      </c>
      <c r="C33" s="1157" t="s">
        <v>1313</v>
      </c>
      <c r="D33" s="1157"/>
      <c r="E33" s="1157"/>
      <c r="F33" s="1157"/>
      <c r="G33" s="1157"/>
      <c r="H33" s="1157"/>
      <c r="I33" s="1157"/>
      <c r="J33" s="1157"/>
      <c r="K33" s="1158"/>
      <c r="Q33" s="1148">
        <v>0.28999999999999998</v>
      </c>
      <c r="R33" s="1149">
        <v>30</v>
      </c>
      <c r="S33" s="1148">
        <v>0.28000000000000003</v>
      </c>
      <c r="T33" t="s">
        <v>171</v>
      </c>
      <c r="U33" s="1150" t="s">
        <v>1314</v>
      </c>
      <c r="W33" s="125">
        <v>29</v>
      </c>
      <c r="X33" t="s">
        <v>1039</v>
      </c>
      <c r="Y33" t="s">
        <v>1315</v>
      </c>
      <c r="AB33" t="s">
        <v>1674</v>
      </c>
    </row>
    <row r="34" spans="2:28" ht="15.75" thickBot="1" x14ac:dyDescent="0.3">
      <c r="B34" s="1159" t="s">
        <v>1316</v>
      </c>
      <c r="C34" s="1160">
        <v>0.5</v>
      </c>
      <c r="D34" s="1160">
        <v>1</v>
      </c>
      <c r="E34" s="1160">
        <v>2</v>
      </c>
      <c r="F34" s="1160">
        <v>4</v>
      </c>
      <c r="G34" s="1160">
        <v>8</v>
      </c>
      <c r="H34" s="1160">
        <v>10</v>
      </c>
      <c r="I34" s="1160">
        <v>12</v>
      </c>
      <c r="J34" s="1160">
        <v>18</v>
      </c>
      <c r="K34" s="1161" t="s">
        <v>1317</v>
      </c>
      <c r="Q34" s="1148">
        <v>0.3</v>
      </c>
      <c r="R34" s="1162" t="s">
        <v>1318</v>
      </c>
      <c r="S34" s="1148">
        <v>0.28999999999999998</v>
      </c>
      <c r="T34" t="s">
        <v>926</v>
      </c>
      <c r="U34" s="1150" t="s">
        <v>1319</v>
      </c>
      <c r="W34" s="125" t="s">
        <v>1320</v>
      </c>
      <c r="X34" t="s">
        <v>1039</v>
      </c>
      <c r="AB34" t="s">
        <v>1675</v>
      </c>
    </row>
    <row r="35" spans="2:28" x14ac:dyDescent="0.25">
      <c r="B35" s="189" t="s">
        <v>1085</v>
      </c>
      <c r="C35" s="156">
        <v>0</v>
      </c>
      <c r="D35" s="156">
        <v>0</v>
      </c>
      <c r="E35" s="156">
        <v>1</v>
      </c>
      <c r="F35" s="156">
        <v>2</v>
      </c>
      <c r="G35" s="156">
        <v>3</v>
      </c>
      <c r="H35" s="156">
        <v>3</v>
      </c>
      <c r="I35" s="156">
        <v>3</v>
      </c>
      <c r="J35" s="156">
        <v>3</v>
      </c>
      <c r="K35" s="157">
        <v>0</v>
      </c>
      <c r="Q35" s="1148">
        <v>0.31</v>
      </c>
      <c r="R35" s="1146" t="s">
        <v>14</v>
      </c>
      <c r="S35" s="1148">
        <v>0.3</v>
      </c>
      <c r="T35" t="s">
        <v>173</v>
      </c>
      <c r="U35" s="1150" t="s">
        <v>1321</v>
      </c>
      <c r="W35" s="125">
        <v>30</v>
      </c>
      <c r="X35" t="s">
        <v>1025</v>
      </c>
      <c r="Y35" t="s">
        <v>1022</v>
      </c>
      <c r="AB35" t="s">
        <v>1676</v>
      </c>
    </row>
    <row r="36" spans="2:28" x14ac:dyDescent="0.25">
      <c r="B36" s="146" t="s">
        <v>1084</v>
      </c>
      <c r="C36" s="43">
        <f>C35</f>
        <v>0</v>
      </c>
      <c r="D36" s="43">
        <f t="shared" ref="D36:J36" si="0">D35</f>
        <v>0</v>
      </c>
      <c r="E36" s="43">
        <f t="shared" si="0"/>
        <v>1</v>
      </c>
      <c r="F36" s="43">
        <f t="shared" si="0"/>
        <v>2</v>
      </c>
      <c r="G36" s="43">
        <f t="shared" si="0"/>
        <v>3</v>
      </c>
      <c r="H36" s="43">
        <f t="shared" si="0"/>
        <v>3</v>
      </c>
      <c r="I36" s="43">
        <f t="shared" si="0"/>
        <v>3</v>
      </c>
      <c r="J36" s="43">
        <f t="shared" si="0"/>
        <v>3</v>
      </c>
      <c r="K36" s="163">
        <v>0</v>
      </c>
      <c r="Q36" s="1148">
        <v>0.32</v>
      </c>
      <c r="R36" s="1148"/>
      <c r="S36" s="1148">
        <v>0.31</v>
      </c>
      <c r="T36" t="s">
        <v>174</v>
      </c>
      <c r="U36" s="1150" t="s">
        <v>1322</v>
      </c>
      <c r="W36" s="125">
        <v>31</v>
      </c>
      <c r="X36" t="s">
        <v>1024</v>
      </c>
      <c r="Y36" t="s">
        <v>1022</v>
      </c>
      <c r="AB36" t="s">
        <v>1677</v>
      </c>
    </row>
    <row r="37" spans="2:28" x14ac:dyDescent="0.25">
      <c r="B37" s="146" t="s">
        <v>1083</v>
      </c>
      <c r="C37" s="43">
        <v>0</v>
      </c>
      <c r="D37" s="43">
        <v>0</v>
      </c>
      <c r="E37" s="43">
        <v>1</v>
      </c>
      <c r="F37" s="43">
        <v>2</v>
      </c>
      <c r="G37" s="43">
        <v>3</v>
      </c>
      <c r="H37" s="43">
        <v>3</v>
      </c>
      <c r="I37" s="43">
        <v>4</v>
      </c>
      <c r="J37" s="43">
        <v>5</v>
      </c>
      <c r="K37" s="163">
        <v>0</v>
      </c>
      <c r="Q37" s="1148">
        <v>0.33</v>
      </c>
      <c r="R37" s="1148"/>
      <c r="S37" s="1148">
        <v>0.32</v>
      </c>
      <c r="T37" t="s">
        <v>175</v>
      </c>
      <c r="U37" s="1150" t="s">
        <v>1323</v>
      </c>
      <c r="W37" s="125">
        <v>32</v>
      </c>
      <c r="X37" t="s">
        <v>1023</v>
      </c>
      <c r="Y37" t="s">
        <v>1022</v>
      </c>
      <c r="AB37" t="s">
        <v>1678</v>
      </c>
    </row>
    <row r="38" spans="2:28" x14ac:dyDescent="0.25">
      <c r="B38" s="146" t="s">
        <v>1082</v>
      </c>
      <c r="C38" s="43">
        <v>0</v>
      </c>
      <c r="D38" s="43">
        <v>0</v>
      </c>
      <c r="E38" s="43">
        <v>1</v>
      </c>
      <c r="F38" s="43">
        <v>2</v>
      </c>
      <c r="G38" s="43">
        <v>2</v>
      </c>
      <c r="H38" s="43">
        <v>2</v>
      </c>
      <c r="I38" s="43">
        <v>2</v>
      </c>
      <c r="J38" s="43">
        <v>2</v>
      </c>
      <c r="K38" s="163">
        <v>0</v>
      </c>
      <c r="Q38" s="1148">
        <v>0.34</v>
      </c>
      <c r="R38" s="1148"/>
      <c r="S38" s="1148">
        <v>0.33</v>
      </c>
      <c r="T38" t="s">
        <v>459</v>
      </c>
      <c r="U38" s="1150" t="s">
        <v>1324</v>
      </c>
      <c r="W38" s="125">
        <v>33</v>
      </c>
      <c r="X38" t="s">
        <v>1021</v>
      </c>
      <c r="Y38" t="s">
        <v>1018</v>
      </c>
      <c r="AB38" t="s">
        <v>1679</v>
      </c>
    </row>
    <row r="39" spans="2:28" x14ac:dyDescent="0.25">
      <c r="B39" s="146" t="s">
        <v>1081</v>
      </c>
      <c r="C39" s="43">
        <f>C38</f>
        <v>0</v>
      </c>
      <c r="D39" s="43">
        <f t="shared" ref="D39:J39" si="1">D38</f>
        <v>0</v>
      </c>
      <c r="E39" s="43">
        <f t="shared" si="1"/>
        <v>1</v>
      </c>
      <c r="F39" s="43">
        <f t="shared" si="1"/>
        <v>2</v>
      </c>
      <c r="G39" s="43">
        <f t="shared" si="1"/>
        <v>2</v>
      </c>
      <c r="H39" s="43">
        <f t="shared" si="1"/>
        <v>2</v>
      </c>
      <c r="I39" s="43">
        <f t="shared" si="1"/>
        <v>2</v>
      </c>
      <c r="J39" s="43">
        <f t="shared" si="1"/>
        <v>2</v>
      </c>
      <c r="K39" s="163">
        <v>0</v>
      </c>
      <c r="Q39" s="1148">
        <v>0.35</v>
      </c>
      <c r="R39" s="1148"/>
      <c r="S39" s="1148">
        <v>0.34</v>
      </c>
      <c r="T39" t="s">
        <v>176</v>
      </c>
      <c r="U39" s="1150" t="s">
        <v>1325</v>
      </c>
      <c r="W39" s="125" t="s">
        <v>1326</v>
      </c>
      <c r="X39" t="s">
        <v>1020</v>
      </c>
      <c r="Y39" t="s">
        <v>1018</v>
      </c>
      <c r="AB39" t="s">
        <v>1680</v>
      </c>
    </row>
    <row r="40" spans="2:28" x14ac:dyDescent="0.25">
      <c r="B40" s="146" t="s">
        <v>1080</v>
      </c>
      <c r="C40" s="43">
        <v>1</v>
      </c>
      <c r="D40" s="43">
        <v>2</v>
      </c>
      <c r="E40" s="43">
        <v>3</v>
      </c>
      <c r="F40" s="43">
        <v>4</v>
      </c>
      <c r="G40" s="43">
        <v>4</v>
      </c>
      <c r="H40" s="43">
        <v>4</v>
      </c>
      <c r="I40" s="43">
        <v>4</v>
      </c>
      <c r="J40" s="43">
        <v>4</v>
      </c>
      <c r="K40" s="163">
        <v>0</v>
      </c>
      <c r="Q40" s="1148">
        <v>0.36</v>
      </c>
      <c r="R40" s="1148"/>
      <c r="S40" s="1148">
        <v>0.35</v>
      </c>
      <c r="T40" t="s">
        <v>177</v>
      </c>
      <c r="U40" s="1150" t="s">
        <v>1327</v>
      </c>
      <c r="W40" s="125" t="s">
        <v>1328</v>
      </c>
      <c r="X40" t="s">
        <v>1019</v>
      </c>
      <c r="Y40" t="s">
        <v>1018</v>
      </c>
      <c r="AB40" t="s">
        <v>1681</v>
      </c>
    </row>
    <row r="41" spans="2:28" ht="15.75" thickBot="1" x14ac:dyDescent="0.3">
      <c r="B41" s="168" t="s">
        <v>1079</v>
      </c>
      <c r="C41" s="170">
        <v>0</v>
      </c>
      <c r="D41" s="170">
        <v>0</v>
      </c>
      <c r="E41" s="170">
        <v>1</v>
      </c>
      <c r="F41" s="170">
        <v>2</v>
      </c>
      <c r="G41" s="170">
        <v>3</v>
      </c>
      <c r="H41" s="170">
        <v>3</v>
      </c>
      <c r="I41" s="170">
        <v>3</v>
      </c>
      <c r="J41" s="170">
        <v>4</v>
      </c>
      <c r="K41" s="173">
        <v>0</v>
      </c>
      <c r="Q41" s="1148">
        <v>0.37</v>
      </c>
      <c r="R41" s="1148"/>
      <c r="S41" s="1148">
        <v>0.36</v>
      </c>
      <c r="T41" t="s">
        <v>178</v>
      </c>
      <c r="U41" s="1150" t="s">
        <v>1329</v>
      </c>
      <c r="W41" s="125">
        <v>34</v>
      </c>
      <c r="X41" t="s">
        <v>1029</v>
      </c>
      <c r="Y41" t="s">
        <v>1028</v>
      </c>
      <c r="AB41" t="s">
        <v>1682</v>
      </c>
    </row>
    <row r="42" spans="2:28" x14ac:dyDescent="0.25">
      <c r="Q42" s="1148">
        <v>0.38</v>
      </c>
      <c r="R42" s="1148"/>
      <c r="S42" s="1148">
        <v>0.37</v>
      </c>
      <c r="T42" t="s">
        <v>460</v>
      </c>
      <c r="U42" s="1150" t="s">
        <v>1330</v>
      </c>
      <c r="W42" s="125" t="s">
        <v>1331</v>
      </c>
      <c r="X42" t="s">
        <v>1027</v>
      </c>
      <c r="Y42" t="s">
        <v>1026</v>
      </c>
    </row>
    <row r="43" spans="2:28" x14ac:dyDescent="0.25">
      <c r="Q43" s="1148">
        <v>0.39</v>
      </c>
      <c r="R43" s="1148"/>
      <c r="S43" s="1148">
        <v>0.38</v>
      </c>
      <c r="T43" t="s">
        <v>461</v>
      </c>
      <c r="U43" s="1150" t="s">
        <v>1332</v>
      </c>
      <c r="W43" s="125">
        <v>35</v>
      </c>
      <c r="X43" t="s">
        <v>1103</v>
      </c>
      <c r="Y43" t="s">
        <v>1018</v>
      </c>
    </row>
    <row r="44" spans="2:28" x14ac:dyDescent="0.25">
      <c r="Q44" s="1148">
        <v>0.4</v>
      </c>
      <c r="R44" s="1148"/>
      <c r="S44" s="1148">
        <v>0.39</v>
      </c>
      <c r="T44" t="s">
        <v>179</v>
      </c>
      <c r="U44" s="1150" t="s">
        <v>1333</v>
      </c>
      <c r="W44" s="125">
        <v>36</v>
      </c>
      <c r="X44" t="s">
        <v>1102</v>
      </c>
      <c r="Y44" t="s">
        <v>1018</v>
      </c>
    </row>
    <row r="45" spans="2:28" x14ac:dyDescent="0.25">
      <c r="Q45" s="1148">
        <v>0.41</v>
      </c>
      <c r="R45" s="1148"/>
      <c r="S45" s="1148">
        <v>0.4</v>
      </c>
      <c r="T45" t="s">
        <v>180</v>
      </c>
      <c r="U45" s="1150" t="s">
        <v>1334</v>
      </c>
      <c r="W45">
        <v>37</v>
      </c>
      <c r="X45" t="s">
        <v>1046</v>
      </c>
    </row>
    <row r="46" spans="2:28" x14ac:dyDescent="0.25">
      <c r="Q46" s="1148">
        <v>0.42</v>
      </c>
      <c r="R46" s="1148"/>
      <c r="S46" s="1148">
        <v>0.41</v>
      </c>
      <c r="T46" t="s">
        <v>182</v>
      </c>
      <c r="U46" s="1150" t="s">
        <v>1335</v>
      </c>
    </row>
    <row r="47" spans="2:28" x14ac:dyDescent="0.25">
      <c r="Q47" s="1148">
        <v>0.43</v>
      </c>
      <c r="R47" s="1148"/>
      <c r="S47" s="1148">
        <v>0.42</v>
      </c>
      <c r="T47" t="s">
        <v>183</v>
      </c>
      <c r="U47" s="1150" t="s">
        <v>1336</v>
      </c>
    </row>
    <row r="48" spans="2:28" x14ac:dyDescent="0.25">
      <c r="Q48" s="1148">
        <v>0.44</v>
      </c>
      <c r="R48" s="1148"/>
      <c r="S48" s="1148">
        <v>0.43</v>
      </c>
      <c r="T48" t="s">
        <v>1001</v>
      </c>
      <c r="U48" s="1150" t="s">
        <v>1337</v>
      </c>
    </row>
    <row r="49" spans="15:21" x14ac:dyDescent="0.25">
      <c r="Q49" s="1148">
        <v>0.45</v>
      </c>
      <c r="R49" s="1148"/>
      <c r="S49" s="1148">
        <v>0.44</v>
      </c>
      <c r="U49" s="1150" t="s">
        <v>1338</v>
      </c>
    </row>
    <row r="50" spans="15:21" x14ac:dyDescent="0.25">
      <c r="Q50" s="1148">
        <v>0.46</v>
      </c>
      <c r="R50" s="1148"/>
      <c r="S50" s="1148">
        <v>0.45</v>
      </c>
      <c r="U50" s="1150" t="s">
        <v>1339</v>
      </c>
    </row>
    <row r="51" spans="15:21" x14ac:dyDescent="0.25">
      <c r="Q51" s="1148">
        <v>0.47</v>
      </c>
      <c r="R51" s="1148"/>
      <c r="S51" s="1148">
        <v>0.46</v>
      </c>
      <c r="U51" s="1150" t="s">
        <v>1340</v>
      </c>
    </row>
    <row r="52" spans="15:21" x14ac:dyDescent="0.25">
      <c r="Q52" s="1148">
        <v>0.48</v>
      </c>
      <c r="R52" s="1148"/>
      <c r="S52" s="1148">
        <v>0.47</v>
      </c>
      <c r="U52" s="1150" t="s">
        <v>1341</v>
      </c>
    </row>
    <row r="53" spans="15:21" x14ac:dyDescent="0.25">
      <c r="O53" s="1163" t="s">
        <v>1342</v>
      </c>
      <c r="Q53" s="1148">
        <v>0.49</v>
      </c>
      <c r="R53" s="1148"/>
      <c r="S53" s="1148">
        <v>0.48</v>
      </c>
      <c r="U53" s="1150" t="s">
        <v>1343</v>
      </c>
    </row>
    <row r="54" spans="15:21" x14ac:dyDescent="0.25">
      <c r="Q54" s="1148">
        <v>0.5</v>
      </c>
      <c r="R54" s="1148"/>
      <c r="S54" s="1148">
        <v>0.49</v>
      </c>
      <c r="U54" s="1150" t="s">
        <v>1344</v>
      </c>
    </row>
    <row r="55" spans="15:21" x14ac:dyDescent="0.25">
      <c r="Q55" s="1148">
        <v>0.51</v>
      </c>
      <c r="R55" s="1148"/>
      <c r="S55" s="1148">
        <v>0.5</v>
      </c>
      <c r="T55" s="1148"/>
      <c r="U55" s="1150" t="s">
        <v>1345</v>
      </c>
    </row>
    <row r="56" spans="15:21" x14ac:dyDescent="0.25">
      <c r="Q56" s="1148">
        <v>0.52</v>
      </c>
      <c r="R56" s="1148"/>
      <c r="S56" s="1148">
        <v>0.51</v>
      </c>
      <c r="T56" s="1148"/>
      <c r="U56" s="1150" t="s">
        <v>1346</v>
      </c>
    </row>
    <row r="57" spans="15:21" x14ac:dyDescent="0.25">
      <c r="Q57" s="1148">
        <v>0.53</v>
      </c>
      <c r="R57" s="1148"/>
      <c r="S57" s="1148">
        <v>0.52</v>
      </c>
      <c r="T57" s="1148"/>
      <c r="U57" s="1150" t="s">
        <v>1347</v>
      </c>
    </row>
    <row r="58" spans="15:21" x14ac:dyDescent="0.25">
      <c r="Q58" s="1148">
        <v>0.54</v>
      </c>
      <c r="R58" s="1148"/>
      <c r="S58" s="1148">
        <v>0.53</v>
      </c>
      <c r="T58" s="1148"/>
      <c r="U58" s="1150" t="s">
        <v>1348</v>
      </c>
    </row>
    <row r="59" spans="15:21" x14ac:dyDescent="0.25">
      <c r="Q59" s="1148">
        <v>0.55000000000000004</v>
      </c>
      <c r="R59" s="1148"/>
      <c r="S59" s="1148">
        <v>0.54</v>
      </c>
      <c r="T59" s="1148"/>
      <c r="U59" s="1164" t="s">
        <v>1349</v>
      </c>
    </row>
    <row r="60" spans="15:21" x14ac:dyDescent="0.25">
      <c r="Q60" s="1148">
        <v>0.56000000000000005</v>
      </c>
      <c r="R60" s="1148"/>
      <c r="S60" s="1148">
        <v>0.55000000000000004</v>
      </c>
      <c r="T60" s="1148"/>
      <c r="U60" s="1150" t="s">
        <v>1350</v>
      </c>
    </row>
    <row r="61" spans="15:21" x14ac:dyDescent="0.25">
      <c r="Q61" s="1148">
        <v>0.56999999999999995</v>
      </c>
      <c r="R61" s="1148"/>
      <c r="S61" s="1148">
        <v>0.56000000000000005</v>
      </c>
      <c r="T61" s="1148"/>
      <c r="U61" s="1150" t="s">
        <v>1351</v>
      </c>
    </row>
    <row r="62" spans="15:21" x14ac:dyDescent="0.25">
      <c r="Q62" s="1148">
        <v>0.57999999999999996</v>
      </c>
      <c r="R62" s="1148"/>
      <c r="S62" s="1148">
        <v>0.56999999999999995</v>
      </c>
      <c r="T62" s="1148"/>
      <c r="U62" s="1150" t="s">
        <v>1352</v>
      </c>
    </row>
    <row r="63" spans="15:21" x14ac:dyDescent="0.25">
      <c r="Q63" s="1148">
        <v>0.59</v>
      </c>
      <c r="R63" s="1148"/>
      <c r="S63" s="1148">
        <v>0.57999999999999996</v>
      </c>
      <c r="T63" s="1148"/>
      <c r="U63" s="1150" t="s">
        <v>1353</v>
      </c>
    </row>
    <row r="64" spans="15:21" x14ac:dyDescent="0.25">
      <c r="Q64" s="1148">
        <v>0.6</v>
      </c>
      <c r="R64" s="1148"/>
      <c r="S64" s="1148">
        <v>0.59</v>
      </c>
      <c r="T64" s="1148"/>
      <c r="U64" s="1150" t="s">
        <v>1354</v>
      </c>
    </row>
    <row r="65" spans="17:21" x14ac:dyDescent="0.25">
      <c r="Q65" s="1148">
        <v>0.61</v>
      </c>
      <c r="R65" s="1148"/>
      <c r="S65" s="1148">
        <v>0.6</v>
      </c>
      <c r="T65" s="1148"/>
      <c r="U65" s="1150" t="s">
        <v>1355</v>
      </c>
    </row>
    <row r="66" spans="17:21" x14ac:dyDescent="0.25">
      <c r="Q66" s="1148">
        <v>0.62</v>
      </c>
      <c r="R66" s="1148"/>
      <c r="S66" s="1148">
        <v>0.61</v>
      </c>
      <c r="T66" s="1148"/>
      <c r="U66" s="1150" t="s">
        <v>1356</v>
      </c>
    </row>
    <row r="67" spans="17:21" x14ac:dyDescent="0.25">
      <c r="Q67" s="1148">
        <v>0.63</v>
      </c>
      <c r="R67" s="1148"/>
      <c r="S67" s="1148">
        <v>0.62</v>
      </c>
      <c r="T67" s="1148"/>
      <c r="U67" s="1150" t="s">
        <v>1357</v>
      </c>
    </row>
    <row r="68" spans="17:21" x14ac:dyDescent="0.25">
      <c r="Q68" s="1148">
        <v>0.64</v>
      </c>
      <c r="R68" s="1148"/>
      <c r="S68" s="1148">
        <v>0.63</v>
      </c>
      <c r="T68" s="1148"/>
      <c r="U68" s="1150" t="s">
        <v>1358</v>
      </c>
    </row>
    <row r="69" spans="17:21" x14ac:dyDescent="0.25">
      <c r="Q69" s="1148">
        <v>0.65</v>
      </c>
      <c r="R69" s="1148"/>
      <c r="S69" s="1148">
        <v>0.64</v>
      </c>
      <c r="T69" s="1148"/>
      <c r="U69" s="1150" t="s">
        <v>1359</v>
      </c>
    </row>
    <row r="70" spans="17:21" x14ac:dyDescent="0.25">
      <c r="Q70" s="1148">
        <v>0.66</v>
      </c>
      <c r="R70" s="1148"/>
      <c r="S70" s="1148">
        <v>0.65</v>
      </c>
      <c r="T70" s="1148"/>
      <c r="U70" s="1150" t="s">
        <v>1360</v>
      </c>
    </row>
    <row r="71" spans="17:21" x14ac:dyDescent="0.25">
      <c r="Q71" s="1148">
        <v>0.67</v>
      </c>
      <c r="R71" s="1148"/>
      <c r="S71" s="1148">
        <v>0.66</v>
      </c>
      <c r="T71" s="1148"/>
      <c r="U71" s="1150" t="s">
        <v>1361</v>
      </c>
    </row>
    <row r="72" spans="17:21" x14ac:dyDescent="0.25">
      <c r="Q72" s="1148">
        <v>0.68</v>
      </c>
      <c r="R72" s="1148"/>
      <c r="S72" s="1148">
        <v>0.67</v>
      </c>
      <c r="T72" s="1148"/>
      <c r="U72" s="1150" t="s">
        <v>1362</v>
      </c>
    </row>
    <row r="73" spans="17:21" x14ac:dyDescent="0.25">
      <c r="Q73" s="1148">
        <v>0.69</v>
      </c>
      <c r="R73" s="1148"/>
      <c r="S73" s="1148">
        <v>0.68</v>
      </c>
      <c r="T73" s="1148"/>
      <c r="U73" s="1150" t="s">
        <v>1363</v>
      </c>
    </row>
    <row r="74" spans="17:21" x14ac:dyDescent="0.25">
      <c r="Q74" s="1148">
        <v>0.7</v>
      </c>
      <c r="R74" s="1148"/>
      <c r="S74" s="1148">
        <v>0.69</v>
      </c>
      <c r="T74" s="1148"/>
      <c r="U74" s="1150" t="s">
        <v>1364</v>
      </c>
    </row>
    <row r="75" spans="17:21" x14ac:dyDescent="0.25">
      <c r="Q75" s="1148">
        <v>0.71</v>
      </c>
      <c r="R75" s="1148"/>
      <c r="S75" s="1148">
        <v>0.7</v>
      </c>
      <c r="T75" s="1148"/>
      <c r="U75" s="1150" t="s">
        <v>1365</v>
      </c>
    </row>
    <row r="76" spans="17:21" x14ac:dyDescent="0.25">
      <c r="Q76" s="1148">
        <v>0.72</v>
      </c>
      <c r="R76" s="1148"/>
      <c r="S76" s="1148">
        <v>0.71</v>
      </c>
      <c r="T76" s="1148"/>
      <c r="U76" s="1150" t="s">
        <v>1366</v>
      </c>
    </row>
    <row r="77" spans="17:21" x14ac:dyDescent="0.25">
      <c r="Q77" s="1148">
        <v>0.73</v>
      </c>
      <c r="R77" s="1148"/>
      <c r="S77" s="1148">
        <v>0.72</v>
      </c>
      <c r="T77" s="1148"/>
      <c r="U77" s="1150" t="s">
        <v>1367</v>
      </c>
    </row>
    <row r="78" spans="17:21" x14ac:dyDescent="0.25">
      <c r="Q78" s="1148">
        <v>0.74</v>
      </c>
      <c r="R78" s="1148"/>
      <c r="S78" s="1148">
        <v>0.73</v>
      </c>
      <c r="T78" s="1148"/>
      <c r="U78" s="1150" t="s">
        <v>1368</v>
      </c>
    </row>
    <row r="79" spans="17:21" x14ac:dyDescent="0.25">
      <c r="Q79" s="1148">
        <v>0.75</v>
      </c>
      <c r="R79" s="1148"/>
      <c r="S79" s="1148">
        <v>0.74</v>
      </c>
      <c r="T79" s="1148"/>
      <c r="U79" s="1150" t="s">
        <v>1369</v>
      </c>
    </row>
    <row r="80" spans="17:21" x14ac:dyDescent="0.25">
      <c r="Q80" s="1148">
        <v>0.76</v>
      </c>
      <c r="R80" s="1148"/>
      <c r="S80" s="1148">
        <v>0.75</v>
      </c>
      <c r="T80" s="1148"/>
      <c r="U80" s="1150" t="s">
        <v>1370</v>
      </c>
    </row>
    <row r="81" spans="2:21" x14ac:dyDescent="0.25">
      <c r="Q81" s="1148">
        <v>0.77</v>
      </c>
      <c r="R81" s="1148"/>
      <c r="S81" s="1148">
        <v>0.76</v>
      </c>
      <c r="T81" s="1148"/>
      <c r="U81" s="1150" t="s">
        <v>1371</v>
      </c>
    </row>
    <row r="82" spans="2:21" x14ac:dyDescent="0.25">
      <c r="Q82" s="1148">
        <v>0.78</v>
      </c>
      <c r="R82" s="1148"/>
      <c r="S82" s="1148">
        <v>0.77</v>
      </c>
      <c r="T82" s="1148"/>
      <c r="U82" s="1150" t="s">
        <v>1372</v>
      </c>
    </row>
    <row r="83" spans="2:21" x14ac:dyDescent="0.25">
      <c r="Q83" s="1148">
        <v>0.79</v>
      </c>
      <c r="R83" s="1148"/>
      <c r="S83" s="1148">
        <v>0.78</v>
      </c>
      <c r="T83" s="1148"/>
      <c r="U83" s="1150" t="s">
        <v>1373</v>
      </c>
    </row>
    <row r="84" spans="2:21" x14ac:dyDescent="0.25">
      <c r="Q84" s="1148">
        <v>0.8</v>
      </c>
      <c r="R84" s="1148"/>
      <c r="S84" s="1148">
        <v>0.79</v>
      </c>
      <c r="T84" s="1148"/>
      <c r="U84" s="1150" t="s">
        <v>1374</v>
      </c>
    </row>
    <row r="85" spans="2:21" x14ac:dyDescent="0.25">
      <c r="Q85" s="1148">
        <v>0.81</v>
      </c>
      <c r="R85" s="1148"/>
      <c r="S85" s="1148">
        <v>0.8</v>
      </c>
      <c r="T85" s="1148"/>
      <c r="U85" s="1150" t="s">
        <v>1375</v>
      </c>
    </row>
    <row r="86" spans="2:21" x14ac:dyDescent="0.25">
      <c r="Q86" s="1148">
        <v>0.82</v>
      </c>
      <c r="R86" s="1148"/>
      <c r="S86" s="1148">
        <v>0.81</v>
      </c>
      <c r="T86" s="1148"/>
      <c r="U86" s="1150" t="s">
        <v>1376</v>
      </c>
    </row>
    <row r="87" spans="2:21" x14ac:dyDescent="0.25">
      <c r="Q87" s="1148">
        <v>0.83</v>
      </c>
      <c r="R87" s="1148"/>
      <c r="S87" s="1148">
        <v>0.82</v>
      </c>
      <c r="T87" s="1148"/>
      <c r="U87" s="1150" t="s">
        <v>1377</v>
      </c>
    </row>
    <row r="88" spans="2:21" x14ac:dyDescent="0.25">
      <c r="Q88" s="1148">
        <v>0.84</v>
      </c>
      <c r="R88" s="1148"/>
      <c r="S88" s="1148">
        <v>0.83</v>
      </c>
      <c r="T88" s="1148"/>
      <c r="U88" s="1150" t="s">
        <v>1378</v>
      </c>
    </row>
    <row r="89" spans="2:21" x14ac:dyDescent="0.25">
      <c r="Q89" s="1148">
        <v>0.85</v>
      </c>
      <c r="R89" s="1148"/>
      <c r="S89" s="1148">
        <v>0.84</v>
      </c>
      <c r="T89" s="1148"/>
      <c r="U89" s="1150" t="s">
        <v>1379</v>
      </c>
    </row>
    <row r="90" spans="2:21" x14ac:dyDescent="0.25">
      <c r="Q90" s="1148">
        <v>0.86</v>
      </c>
      <c r="R90" s="1148"/>
      <c r="S90" s="1148">
        <v>0.85</v>
      </c>
      <c r="T90" s="1148"/>
      <c r="U90" s="1150" t="s">
        <v>1380</v>
      </c>
    </row>
    <row r="91" spans="2:21" x14ac:dyDescent="0.25">
      <c r="Q91" s="1148">
        <v>0.87</v>
      </c>
      <c r="R91" s="1148"/>
      <c r="S91" s="1148">
        <v>0.86</v>
      </c>
      <c r="T91" s="1148"/>
      <c r="U91" s="1150" t="s">
        <v>1381</v>
      </c>
    </row>
    <row r="92" spans="2:21" x14ac:dyDescent="0.25">
      <c r="Q92" s="1148">
        <v>0.88</v>
      </c>
      <c r="R92" s="1148"/>
      <c r="S92" s="1148">
        <v>0.87</v>
      </c>
      <c r="T92" s="1148"/>
      <c r="U92" s="1150" t="s">
        <v>1382</v>
      </c>
    </row>
    <row r="93" spans="2:21" x14ac:dyDescent="0.25">
      <c r="Q93" s="1148">
        <v>0.89</v>
      </c>
      <c r="R93" s="1148"/>
      <c r="S93" s="1148">
        <v>0.88</v>
      </c>
      <c r="T93" s="1148"/>
      <c r="U93" s="1150" t="s">
        <v>1383</v>
      </c>
    </row>
    <row r="94" spans="2:21" x14ac:dyDescent="0.25">
      <c r="Q94" s="1148">
        <v>0.9</v>
      </c>
      <c r="R94" s="1148"/>
      <c r="S94" s="1148">
        <v>0.89</v>
      </c>
      <c r="T94" s="1148"/>
      <c r="U94" s="1150" t="s">
        <v>1384</v>
      </c>
    </row>
    <row r="95" spans="2:21" x14ac:dyDescent="0.25">
      <c r="Q95" s="1148">
        <v>0.91</v>
      </c>
      <c r="R95" s="1148"/>
      <c r="S95" s="1148">
        <v>0.9</v>
      </c>
      <c r="T95" s="1148"/>
      <c r="U95" s="1150" t="s">
        <v>1385</v>
      </c>
    </row>
    <row r="96" spans="2:21" x14ac:dyDescent="0.25">
      <c r="B96" s="913" t="s">
        <v>1386</v>
      </c>
      <c r="Q96" s="1148">
        <v>0.92</v>
      </c>
      <c r="R96" s="1148"/>
      <c r="S96" s="1148">
        <v>0.91</v>
      </c>
      <c r="T96" s="1148"/>
      <c r="U96" s="1165" t="s">
        <v>1387</v>
      </c>
    </row>
    <row r="97" spans="2:21" x14ac:dyDescent="0.25">
      <c r="B97" s="911" t="s">
        <v>1388</v>
      </c>
      <c r="Q97" s="1148">
        <v>0.93</v>
      </c>
      <c r="R97" s="1148"/>
      <c r="S97" s="1148">
        <v>0.92</v>
      </c>
      <c r="T97" s="1148"/>
      <c r="U97" s="1165" t="s">
        <v>1389</v>
      </c>
    </row>
    <row r="98" spans="2:21" x14ac:dyDescent="0.25">
      <c r="B98" s="911" t="s">
        <v>1390</v>
      </c>
      <c r="Q98" s="1148">
        <v>0.94</v>
      </c>
      <c r="R98" s="1148"/>
      <c r="S98" s="1148">
        <v>0.93</v>
      </c>
      <c r="T98" s="1148"/>
      <c r="U98" s="1165" t="s">
        <v>1391</v>
      </c>
    </row>
    <row r="99" spans="2:21" x14ac:dyDescent="0.25">
      <c r="B99" s="911" t="s">
        <v>1392</v>
      </c>
      <c r="Q99" s="1148">
        <v>0.95</v>
      </c>
      <c r="R99" s="1148"/>
      <c r="S99" s="1148">
        <v>0.94</v>
      </c>
      <c r="T99" s="1148"/>
      <c r="U99" s="1165" t="s">
        <v>1393</v>
      </c>
    </row>
    <row r="100" spans="2:21" x14ac:dyDescent="0.25">
      <c r="B100" s="911"/>
      <c r="Q100" s="1148">
        <v>0.96</v>
      </c>
      <c r="R100" s="1148"/>
      <c r="S100" s="1148">
        <v>0.95</v>
      </c>
      <c r="T100" s="1148"/>
      <c r="U100" s="1165" t="s">
        <v>1394</v>
      </c>
    </row>
    <row r="101" spans="2:21" x14ac:dyDescent="0.25">
      <c r="Q101" s="1148">
        <v>0.97</v>
      </c>
      <c r="R101" s="1148"/>
      <c r="S101" s="1148">
        <v>0.96</v>
      </c>
      <c r="T101" s="1148"/>
      <c r="U101" s="1165" t="s">
        <v>1395</v>
      </c>
    </row>
    <row r="102" spans="2:21" x14ac:dyDescent="0.25">
      <c r="Q102" s="1148">
        <v>0.98</v>
      </c>
      <c r="R102" s="1148"/>
      <c r="S102" s="1148">
        <v>0.97</v>
      </c>
      <c r="T102" s="1148"/>
      <c r="U102" s="1165" t="s">
        <v>1396</v>
      </c>
    </row>
    <row r="103" spans="2:21" x14ac:dyDescent="0.25">
      <c r="Q103" s="1148">
        <v>0.99</v>
      </c>
      <c r="R103" s="1148"/>
      <c r="S103" s="1148">
        <v>0.98</v>
      </c>
      <c r="T103" s="1148"/>
      <c r="U103" s="1165" t="s">
        <v>1397</v>
      </c>
    </row>
    <row r="104" spans="2:21" x14ac:dyDescent="0.25">
      <c r="Q104" s="1148">
        <v>1</v>
      </c>
      <c r="R104" s="1148"/>
      <c r="S104" s="1148">
        <v>0.99</v>
      </c>
      <c r="T104" s="1148"/>
      <c r="U104" s="1165" t="s">
        <v>1398</v>
      </c>
    </row>
    <row r="105" spans="2:21" x14ac:dyDescent="0.25">
      <c r="Q105" s="1146" t="s">
        <v>14</v>
      </c>
      <c r="R105" s="1146"/>
      <c r="S105" s="1148">
        <v>1</v>
      </c>
      <c r="T105" s="1148"/>
      <c r="U105" s="1165" t="s">
        <v>1399</v>
      </c>
    </row>
    <row r="106" spans="2:21" x14ac:dyDescent="0.25">
      <c r="S106" s="1146" t="s">
        <v>14</v>
      </c>
      <c r="T106" s="1146"/>
      <c r="U106" s="1150" t="s">
        <v>1400</v>
      </c>
    </row>
    <row r="107" spans="2:21" x14ac:dyDescent="0.25">
      <c r="B107" s="911" t="s">
        <v>1401</v>
      </c>
      <c r="U107" t="s">
        <v>1402</v>
      </c>
    </row>
    <row r="108" spans="2:21" x14ac:dyDescent="0.25">
      <c r="B108" s="911" t="s">
        <v>1403</v>
      </c>
      <c r="U108" s="1165" t="s">
        <v>1404</v>
      </c>
    </row>
    <row r="109" spans="2:21" x14ac:dyDescent="0.25">
      <c r="B109" s="911" t="s">
        <v>1405</v>
      </c>
    </row>
    <row r="111" spans="2:21" x14ac:dyDescent="0.25">
      <c r="B111" s="911" t="s">
        <v>1406</v>
      </c>
    </row>
    <row r="112" spans="2:21" x14ac:dyDescent="0.25">
      <c r="B112" s="911" t="s">
        <v>1407</v>
      </c>
    </row>
    <row r="113" spans="2:2" x14ac:dyDescent="0.25">
      <c r="B113" t="s">
        <v>1408</v>
      </c>
    </row>
    <row r="114" spans="2:2" x14ac:dyDescent="0.25">
      <c r="B114" s="911" t="s">
        <v>1409</v>
      </c>
    </row>
    <row r="116" spans="2:2" x14ac:dyDescent="0.25">
      <c r="B116" s="911" t="s">
        <v>1410</v>
      </c>
    </row>
  </sheetData>
  <sheetProtection algorithmName="SHA-512" hashValue="necPt2d4PjuM0Ly5kREVJ6gC94aKF4dk7ArI3WtIoAk82AvVAdXIO5k8AD53SBKAEM8/6WYiuO19MnfLlhVQ7g==" saltValue="8wT/mP76xGnGGV4+e8HSSA==" spinCount="100000" sheet="1" objects="1" scenarios="1"/>
  <mergeCells count="1">
    <mergeCell ref="W2:Y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BD81-C937-463D-A7DA-D8178ED3A4FF}">
  <sheetPr>
    <pageSetUpPr fitToPage="1"/>
  </sheetPr>
  <dimension ref="A1:AU1414"/>
  <sheetViews>
    <sheetView showGridLines="0" topLeftCell="C1" zoomScale="85" zoomScaleNormal="85" workbookViewId="0">
      <pane ySplit="9" topLeftCell="A531" activePane="bottomLeft" state="frozen"/>
      <selection pane="bottomLeft" activeCell="E548" sqref="E548"/>
    </sheetView>
  </sheetViews>
  <sheetFormatPr defaultColWidth="9.140625" defaultRowHeight="15" x14ac:dyDescent="0.25"/>
  <cols>
    <col min="1" max="1" width="5.140625" style="504" hidden="1" customWidth="1"/>
    <col min="2" max="2" width="45.140625" style="375" hidden="1" customWidth="1"/>
    <col min="3" max="3" width="7.7109375" style="375" customWidth="1"/>
    <col min="4" max="4" width="119" style="375" customWidth="1"/>
    <col min="5" max="5" width="33.7109375" style="375" customWidth="1"/>
    <col min="6" max="6" width="17.85546875" style="375" customWidth="1"/>
    <col min="7" max="7" width="20" style="375" bestFit="1" customWidth="1"/>
    <col min="8" max="8" width="20.5703125" style="375" customWidth="1"/>
    <col min="9" max="9" width="27.7109375" style="375" customWidth="1"/>
    <col min="10" max="10" width="7.85546875" style="375" hidden="1" customWidth="1"/>
    <col min="11" max="18" width="7.5703125" style="375" hidden="1" customWidth="1"/>
    <col min="19" max="19" width="8" style="375" hidden="1" customWidth="1"/>
    <col min="20" max="20" width="7.28515625" style="375" hidden="1" customWidth="1"/>
    <col min="21" max="21" width="7.85546875" style="375" hidden="1" customWidth="1"/>
    <col min="22" max="22" width="7.140625" style="375" hidden="1" customWidth="1"/>
    <col min="23" max="23" width="6.7109375" style="375" hidden="1" customWidth="1"/>
    <col min="24" max="25" width="5.7109375" style="375" hidden="1" customWidth="1"/>
    <col min="26" max="33" width="9.140625" style="375" hidden="1" customWidth="1"/>
    <col min="34" max="34" width="12" style="375" hidden="1" customWidth="1"/>
    <col min="35" max="35" width="13.140625" style="375" hidden="1" customWidth="1"/>
    <col min="36" max="45" width="9.140625" style="375" hidden="1" customWidth="1"/>
    <col min="46" max="49" width="9.140625" style="375"/>
    <col min="50" max="52" width="9.140625" style="375" customWidth="1"/>
    <col min="53" max="53" width="13" style="375" customWidth="1"/>
    <col min="54" max="16384" width="9.140625" style="375"/>
  </cols>
  <sheetData>
    <row r="1" spans="1:37" ht="15.75" thickBot="1" x14ac:dyDescent="0.3">
      <c r="A1" s="1137">
        <v>1</v>
      </c>
      <c r="B1" s="1137">
        <v>2</v>
      </c>
      <c r="C1" s="1137">
        <v>3</v>
      </c>
      <c r="D1" s="1137">
        <v>4</v>
      </c>
      <c r="E1" s="1137">
        <v>5</v>
      </c>
      <c r="F1" s="1137">
        <v>6</v>
      </c>
      <c r="G1" s="1137">
        <v>7</v>
      </c>
      <c r="H1" s="1137">
        <v>8</v>
      </c>
      <c r="I1" s="1137">
        <v>9</v>
      </c>
      <c r="J1" s="1137">
        <v>10</v>
      </c>
      <c r="K1" s="1136">
        <v>11</v>
      </c>
      <c r="L1" s="1135"/>
      <c r="M1" s="1135"/>
      <c r="N1" s="1135"/>
      <c r="O1" s="1135"/>
      <c r="P1" s="1135"/>
      <c r="Q1" s="1135"/>
      <c r="R1" s="1135"/>
    </row>
    <row r="2" spans="1:37" ht="36" customHeight="1" thickBot="1" x14ac:dyDescent="0.3">
      <c r="D2" s="1134" t="s">
        <v>1922</v>
      </c>
      <c r="E2" s="1133"/>
      <c r="F2" s="1132"/>
      <c r="G2" s="1131"/>
      <c r="H2" s="1130"/>
      <c r="K2" s="993"/>
      <c r="S2" s="216" t="s">
        <v>1251</v>
      </c>
      <c r="T2" s="1129"/>
      <c r="U2" s="1126"/>
      <c r="Z2" t="s">
        <v>1250</v>
      </c>
    </row>
    <row r="3" spans="1:37" ht="15.75" thickBot="1" x14ac:dyDescent="0.3">
      <c r="D3" s="504"/>
      <c r="E3" s="504"/>
      <c r="F3" s="504"/>
      <c r="G3" s="504"/>
      <c r="H3" s="504"/>
      <c r="I3" s="504"/>
      <c r="J3" s="504"/>
      <c r="K3" s="993"/>
    </row>
    <row r="4" spans="1:37" ht="15.75" thickBot="1" x14ac:dyDescent="0.3">
      <c r="D4" s="1128" t="s">
        <v>19</v>
      </c>
      <c r="E4" s="1122"/>
      <c r="F4" s="92" t="s">
        <v>1131</v>
      </c>
      <c r="G4" s="93"/>
      <c r="H4" s="1127" t="str">
        <f>BP_BREEAMRating</f>
        <v>Unclassified</v>
      </c>
      <c r="K4" s="993"/>
      <c r="W4" s="216" t="s">
        <v>403</v>
      </c>
      <c r="X4" s="1126" t="str">
        <f>IF(OR(T9=V9,T9=W9),AIS_Yes,AIS_No)</f>
        <v>No</v>
      </c>
    </row>
    <row r="5" spans="1:37" x14ac:dyDescent="0.25">
      <c r="D5" s="1125" t="str">
        <f>IF(ISBLANK(ADBN),"",ADBN)</f>
        <v/>
      </c>
      <c r="E5" s="1122"/>
      <c r="F5" s="698" t="s">
        <v>80</v>
      </c>
      <c r="G5" s="755"/>
      <c r="H5" s="1124">
        <f>Score_Initial</f>
        <v>0</v>
      </c>
      <c r="K5" s="1528" t="s">
        <v>1434</v>
      </c>
      <c r="L5" s="1529"/>
      <c r="M5" s="1529"/>
      <c r="N5" s="1529"/>
      <c r="O5" s="1529"/>
      <c r="P5" s="1529"/>
    </row>
    <row r="6" spans="1:37" ht="15.75" thickBot="1" x14ac:dyDescent="0.3">
      <c r="D6" s="1123" t="str">
        <f>"Assessor’s report tool: "&amp;TVC_current_version</f>
        <v>Assessor’s report tool: 1.2</v>
      </c>
      <c r="E6" s="1122"/>
      <c r="F6" s="96" t="s">
        <v>75</v>
      </c>
      <c r="G6" s="97"/>
      <c r="H6" s="1121" t="str">
        <f>Poeng!BE259</f>
        <v>Unclassified &lt;30%</v>
      </c>
      <c r="K6" s="993"/>
      <c r="S6" s="1120" t="s">
        <v>1014</v>
      </c>
    </row>
    <row r="7" spans="1:37" ht="15.75" thickBot="1" x14ac:dyDescent="0.3">
      <c r="A7" s="1119"/>
      <c r="B7" s="1118"/>
      <c r="C7" s="1118"/>
      <c r="D7" s="1118"/>
      <c r="E7" s="1117"/>
      <c r="F7" s="1424" t="s">
        <v>948</v>
      </c>
      <c r="G7" s="1425"/>
      <c r="H7" s="1121" t="str">
        <f>'Pre-Assessment Estimator'!L7</f>
        <v>No</v>
      </c>
      <c r="I7" s="323"/>
      <c r="J7" s="323"/>
      <c r="K7" s="993"/>
      <c r="L7" s="375" t="s">
        <v>1704</v>
      </c>
      <c r="M7" s="1263"/>
      <c r="S7" s="189" t="s">
        <v>1249</v>
      </c>
      <c r="T7" s="1115"/>
      <c r="U7" s="1116"/>
      <c r="V7" s="189" t="s">
        <v>1248</v>
      </c>
      <c r="W7" s="1115"/>
      <c r="X7" s="1114"/>
      <c r="Z7" s="966" t="s">
        <v>1247</v>
      </c>
      <c r="AA7" s="1026"/>
      <c r="AB7" s="961"/>
      <c r="AC7" s="208" t="s">
        <v>1246</v>
      </c>
      <c r="AD7" s="210"/>
      <c r="AE7" s="210"/>
      <c r="AF7" s="210"/>
      <c r="AG7" s="211"/>
    </row>
    <row r="8" spans="1:37" ht="15.75" thickBot="1" x14ac:dyDescent="0.3">
      <c r="A8" s="1113"/>
      <c r="B8" s="1091"/>
      <c r="C8" s="1091"/>
      <c r="E8" s="1091"/>
      <c r="F8" s="1091"/>
      <c r="G8" s="1091"/>
      <c r="H8" s="1091"/>
      <c r="K8" s="128" t="s">
        <v>1245</v>
      </c>
      <c r="L8" s="1110"/>
      <c r="M8" s="1110"/>
      <c r="N8" s="1110"/>
      <c r="O8" s="1110"/>
      <c r="P8" s="1110"/>
      <c r="Q8" s="1110"/>
      <c r="R8" s="1110"/>
      <c r="S8" s="139" t="s">
        <v>1244</v>
      </c>
      <c r="T8" s="140" t="s">
        <v>1243</v>
      </c>
      <c r="U8" s="1112" t="s">
        <v>1242</v>
      </c>
      <c r="V8" s="139" t="s">
        <v>1244</v>
      </c>
      <c r="W8" s="140" t="s">
        <v>1243</v>
      </c>
      <c r="X8" s="143" t="s">
        <v>1242</v>
      </c>
      <c r="Y8" s="1111" t="s">
        <v>1241</v>
      </c>
      <c r="Z8" s="128"/>
      <c r="AA8" s="1110"/>
      <c r="AB8" s="1110"/>
      <c r="AC8" s="128"/>
      <c r="AD8" s="1110"/>
      <c r="AE8" s="1110"/>
      <c r="AF8" s="1110"/>
      <c r="AG8" s="1095"/>
      <c r="AH8" t="s">
        <v>1240</v>
      </c>
      <c r="AI8" t="s">
        <v>1239</v>
      </c>
      <c r="AK8" t="s">
        <v>1238</v>
      </c>
    </row>
    <row r="9" spans="1:37" ht="15.75" thickBot="1" x14ac:dyDescent="0.3">
      <c r="A9" s="1109" t="s">
        <v>207</v>
      </c>
      <c r="B9" s="917"/>
      <c r="C9" s="917"/>
      <c r="D9" s="1108"/>
      <c r="E9" s="917"/>
      <c r="F9" s="917"/>
      <c r="G9" s="917"/>
      <c r="H9" s="917"/>
      <c r="I9" s="917"/>
      <c r="K9" s="993"/>
      <c r="S9" s="45" t="s">
        <v>945</v>
      </c>
      <c r="T9" s="484" t="str">
        <f>ADPT</f>
        <v>New Construction (fully fitted)</v>
      </c>
      <c r="U9" s="484"/>
      <c r="V9" s="484" t="str">
        <f>ADPT02</f>
        <v>New Construction (shell only)</v>
      </c>
      <c r="W9" s="484" t="str">
        <f>ADPT04</f>
        <v>Major Refurbishment (shell only)</v>
      </c>
    </row>
    <row r="10" spans="1:37" ht="18.75" x14ac:dyDescent="0.3">
      <c r="A10" s="1107">
        <v>1</v>
      </c>
      <c r="B10" s="957" t="s">
        <v>11</v>
      </c>
      <c r="C10" s="956"/>
      <c r="D10" s="956"/>
      <c r="E10" s="956"/>
      <c r="F10" s="956"/>
      <c r="G10" s="956"/>
      <c r="H10" s="1106"/>
      <c r="I10" s="917"/>
      <c r="J10" s="375" t="s">
        <v>1893</v>
      </c>
      <c r="K10" s="1173"/>
      <c r="L10" s="1115"/>
      <c r="M10" s="1114"/>
      <c r="S10" s="215" t="s">
        <v>1904</v>
      </c>
    </row>
    <row r="11" spans="1:37" x14ac:dyDescent="0.25">
      <c r="A11" s="1138">
        <v>2</v>
      </c>
      <c r="B11" s="1138" t="s">
        <v>11</v>
      </c>
      <c r="C11" s="1037"/>
      <c r="D11" s="917"/>
      <c r="E11" s="917"/>
      <c r="F11" s="917"/>
      <c r="G11" s="917"/>
      <c r="H11" s="917"/>
      <c r="I11" s="917"/>
      <c r="K11" s="1174"/>
      <c r="L11" s="1022"/>
      <c r="M11" s="1175"/>
    </row>
    <row r="12" spans="1:37" x14ac:dyDescent="0.25">
      <c r="A12" s="1139">
        <v>3</v>
      </c>
      <c r="B12" s="1139" t="s">
        <v>11</v>
      </c>
      <c r="C12" s="950" t="s">
        <v>87</v>
      </c>
      <c r="D12" s="1015" t="s">
        <v>1237</v>
      </c>
      <c r="E12" s="1014"/>
      <c r="F12" s="1014"/>
      <c r="G12" s="1013"/>
      <c r="H12" s="1066"/>
      <c r="I12" s="917"/>
      <c r="K12" s="1174"/>
      <c r="L12" s="1022"/>
      <c r="M12" s="1175"/>
      <c r="S12"/>
      <c r="T12"/>
      <c r="U12"/>
    </row>
    <row r="13" spans="1:37" x14ac:dyDescent="0.25">
      <c r="A13" s="1138">
        <v>4</v>
      </c>
      <c r="B13" s="1138" t="s">
        <v>11</v>
      </c>
      <c r="C13" s="1037" t="s">
        <v>87</v>
      </c>
      <c r="D13" s="946" t="s">
        <v>15</v>
      </c>
      <c r="E13" s="1264">
        <f>Man01_credits</f>
        <v>5</v>
      </c>
      <c r="F13" s="945"/>
      <c r="G13" s="944" t="s">
        <v>76</v>
      </c>
      <c r="H13" s="1266">
        <f>Man01_38</f>
        <v>3.0952380952380953E-2</v>
      </c>
      <c r="I13" s="917"/>
      <c r="K13" s="1174"/>
      <c r="L13" s="1022"/>
      <c r="M13" s="1175"/>
      <c r="S13"/>
      <c r="T13"/>
      <c r="U13"/>
    </row>
    <row r="14" spans="1:37" x14ac:dyDescent="0.25">
      <c r="A14" s="1138">
        <v>5</v>
      </c>
      <c r="B14" s="1138" t="s">
        <v>11</v>
      </c>
      <c r="C14" s="1037" t="s">
        <v>87</v>
      </c>
      <c r="D14" s="972" t="s">
        <v>1011</v>
      </c>
      <c r="E14" s="1265">
        <v>0</v>
      </c>
      <c r="F14" s="941"/>
      <c r="G14" s="940" t="s">
        <v>1010</v>
      </c>
      <c r="H14" s="1267" t="s">
        <v>12</v>
      </c>
      <c r="I14" s="917"/>
      <c r="K14" s="1174"/>
      <c r="L14" s="1022"/>
      <c r="M14" s="1175"/>
      <c r="S14"/>
      <c r="T14"/>
      <c r="U14"/>
    </row>
    <row r="15" spans="1:37" x14ac:dyDescent="0.25">
      <c r="A15" s="1138">
        <v>6</v>
      </c>
      <c r="B15" s="1138" t="s">
        <v>11</v>
      </c>
      <c r="C15" s="1037" t="s">
        <v>87</v>
      </c>
      <c r="I15" s="917"/>
      <c r="K15" s="1174"/>
      <c r="L15" s="1022"/>
      <c r="M15" s="1175"/>
      <c r="S15"/>
      <c r="T15"/>
      <c r="U15"/>
    </row>
    <row r="16" spans="1:37" ht="15.75" thickBot="1" x14ac:dyDescent="0.3">
      <c r="A16" s="1138">
        <v>7</v>
      </c>
      <c r="B16" s="1138" t="s">
        <v>11</v>
      </c>
      <c r="C16" s="1037" t="s">
        <v>87</v>
      </c>
      <c r="D16" s="938" t="s">
        <v>1009</v>
      </c>
      <c r="E16" s="937" t="s">
        <v>1008</v>
      </c>
      <c r="F16" s="937" t="s">
        <v>1007</v>
      </c>
      <c r="G16" s="937" t="s">
        <v>1006</v>
      </c>
      <c r="H16" s="937" t="s">
        <v>1014</v>
      </c>
      <c r="I16" s="917"/>
      <c r="K16" s="1174"/>
      <c r="L16" s="1022"/>
      <c r="M16" s="1175"/>
      <c r="S16"/>
      <c r="T16"/>
      <c r="U16"/>
      <c r="V16"/>
      <c r="W16"/>
      <c r="X16"/>
      <c r="Y16"/>
      <c r="Z16"/>
      <c r="AA16"/>
      <c r="AB16"/>
      <c r="AC16"/>
      <c r="AD16"/>
      <c r="AE16"/>
      <c r="AF16"/>
      <c r="AG16"/>
      <c r="AH16"/>
      <c r="AI16"/>
    </row>
    <row r="17" spans="1:35" x14ac:dyDescent="0.25">
      <c r="A17" s="1138">
        <v>8</v>
      </c>
      <c r="B17" s="1138" t="s">
        <v>11</v>
      </c>
      <c r="C17" s="1037" t="s">
        <v>87</v>
      </c>
      <c r="D17" s="1168" t="str">
        <f>Poeng!E11</f>
        <v>Planning project delivery</v>
      </c>
      <c r="E17" s="1268" t="s">
        <v>316</v>
      </c>
      <c r="F17" s="1223">
        <f>Poeng!AB11</f>
        <v>1</v>
      </c>
      <c r="G17" s="1223">
        <f>IF(E17=AIS_Yes,F17,0)</f>
        <v>0</v>
      </c>
      <c r="H17" s="1057" t="s">
        <v>14</v>
      </c>
      <c r="I17" s="917"/>
      <c r="K17" s="1174"/>
      <c r="L17" s="1022"/>
      <c r="M17" s="1175"/>
      <c r="S17" s="62" t="s">
        <v>1015</v>
      </c>
      <c r="T17"/>
      <c r="U17"/>
      <c r="V17"/>
      <c r="W17"/>
      <c r="X17"/>
      <c r="Y17" t="str">
        <f>$X$4</f>
        <v>No</v>
      </c>
      <c r="Z17"/>
      <c r="AA17"/>
      <c r="AB17"/>
      <c r="AC17"/>
      <c r="AD17"/>
      <c r="AE17"/>
      <c r="AF17"/>
      <c r="AG17"/>
      <c r="AH17"/>
      <c r="AI17"/>
    </row>
    <row r="18" spans="1:35" x14ac:dyDescent="0.25">
      <c r="A18" s="1138">
        <v>9</v>
      </c>
      <c r="B18" s="1138" t="s">
        <v>11</v>
      </c>
      <c r="C18" s="1037" t="s">
        <v>87</v>
      </c>
      <c r="D18" s="1169" t="str">
        <f>Poeng!E12</f>
        <v>Climate gas calculation for whole building life cycle</v>
      </c>
      <c r="E18" s="1269" t="s">
        <v>316</v>
      </c>
      <c r="F18" s="1270">
        <f>Poeng!AB12</f>
        <v>1</v>
      </c>
      <c r="G18" s="1270">
        <f>IF(E18=AIS_Yes,F18,0)</f>
        <v>0</v>
      </c>
      <c r="H18" s="987" t="s">
        <v>14</v>
      </c>
      <c r="I18" s="917"/>
      <c r="K18" s="1174"/>
      <c r="L18" s="1022"/>
      <c r="M18" s="1175"/>
      <c r="S18" s="62" t="s">
        <v>1015</v>
      </c>
      <c r="T18"/>
      <c r="U18"/>
      <c r="V18"/>
      <c r="W18"/>
      <c r="X18"/>
      <c r="Y18" t="str">
        <f>$X$4</f>
        <v>No</v>
      </c>
      <c r="Z18"/>
      <c r="AA18"/>
      <c r="AB18"/>
      <c r="AC18"/>
      <c r="AD18"/>
      <c r="AE18"/>
      <c r="AF18"/>
      <c r="AG18"/>
      <c r="AH18"/>
      <c r="AI18"/>
    </row>
    <row r="19" spans="1:35" x14ac:dyDescent="0.25">
      <c r="A19" s="1138">
        <v>10</v>
      </c>
      <c r="B19" s="1138" t="s">
        <v>11</v>
      </c>
      <c r="C19" s="1037" t="s">
        <v>87</v>
      </c>
      <c r="D19" s="1169" t="str">
        <f>Poeng!E256</f>
        <v>EU taxonomy requirements: criterion 3</v>
      </c>
      <c r="E19" s="1269" t="s">
        <v>316</v>
      </c>
      <c r="F19" s="1270"/>
      <c r="G19" s="1270"/>
      <c r="H19" s="987" t="s">
        <v>14</v>
      </c>
      <c r="I19" s="917"/>
      <c r="K19" s="1174"/>
      <c r="L19" s="1022"/>
      <c r="M19" s="1175"/>
      <c r="S19" s="62"/>
      <c r="T19"/>
      <c r="U19"/>
      <c r="V19"/>
      <c r="W19"/>
      <c r="X19"/>
      <c r="Y19"/>
      <c r="Z19"/>
      <c r="AA19"/>
      <c r="AB19"/>
      <c r="AC19"/>
      <c r="AD19"/>
      <c r="AE19"/>
      <c r="AF19"/>
      <c r="AG19"/>
      <c r="AH19"/>
      <c r="AI19"/>
    </row>
    <row r="20" spans="1:35" x14ac:dyDescent="0.25">
      <c r="A20" s="1138">
        <v>11</v>
      </c>
      <c r="B20" s="1138" t="s">
        <v>11</v>
      </c>
      <c r="C20" s="1037" t="s">
        <v>87</v>
      </c>
      <c r="D20" s="1169" t="str">
        <f>Poeng!E13</f>
        <v>Third party stakeholder consultation</v>
      </c>
      <c r="E20" s="1269" t="s">
        <v>316</v>
      </c>
      <c r="F20" s="1270">
        <f>Poeng!AB13</f>
        <v>1</v>
      </c>
      <c r="G20" s="1270">
        <f>IF(E20=AIS_Yes,F20,0)</f>
        <v>0</v>
      </c>
      <c r="H20" s="987" t="s">
        <v>14</v>
      </c>
      <c r="I20" s="917"/>
      <c r="K20" s="1174"/>
      <c r="L20" s="1022"/>
      <c r="M20" s="1175"/>
      <c r="S20" s="62"/>
      <c r="T20"/>
      <c r="U20"/>
      <c r="V20"/>
      <c r="W20"/>
      <c r="X20"/>
      <c r="Y20"/>
      <c r="Z20"/>
      <c r="AA20"/>
      <c r="AB20"/>
      <c r="AC20"/>
      <c r="AD20"/>
      <c r="AE20"/>
      <c r="AF20"/>
      <c r="AG20"/>
      <c r="AH20"/>
      <c r="AI20"/>
    </row>
    <row r="21" spans="1:35" x14ac:dyDescent="0.25">
      <c r="A21" s="1138">
        <v>12</v>
      </c>
      <c r="B21" s="1138" t="s">
        <v>11</v>
      </c>
      <c r="C21" s="1037" t="s">
        <v>87</v>
      </c>
      <c r="D21" s="1169" t="str">
        <f>Poeng!E14</f>
        <v>BREEAM-NOR AP (stage 2 and 3)</v>
      </c>
      <c r="E21" s="1269" t="s">
        <v>316</v>
      </c>
      <c r="F21" s="1270">
        <f>Poeng!AB14</f>
        <v>1</v>
      </c>
      <c r="G21" s="1270">
        <f>IF(E21=AIS_Yes,F21,0)</f>
        <v>0</v>
      </c>
      <c r="H21" s="987" t="s">
        <v>14</v>
      </c>
      <c r="I21" s="917"/>
      <c r="K21" s="1174"/>
      <c r="L21" s="1022"/>
      <c r="M21" s="1175"/>
      <c r="S21" s="62" t="s">
        <v>1015</v>
      </c>
      <c r="T21"/>
      <c r="U21"/>
      <c r="V21"/>
      <c r="W21"/>
      <c r="X21"/>
      <c r="Y21" t="str">
        <f>$X$4</f>
        <v>No</v>
      </c>
      <c r="Z21"/>
      <c r="AA21"/>
      <c r="AB21"/>
      <c r="AC21"/>
      <c r="AD21"/>
      <c r="AE21"/>
      <c r="AF21"/>
      <c r="AG21"/>
      <c r="AH21"/>
      <c r="AI21"/>
    </row>
    <row r="22" spans="1:35" ht="15.75" thickBot="1" x14ac:dyDescent="0.3">
      <c r="A22" s="1138">
        <v>13</v>
      </c>
      <c r="B22" s="1138" t="s">
        <v>11</v>
      </c>
      <c r="C22" s="1037" t="s">
        <v>87</v>
      </c>
      <c r="D22" s="1170" t="str">
        <f>Poeng!E15</f>
        <v>BREEAM-NOR AP (stage 4)</v>
      </c>
      <c r="E22" s="1271" t="s">
        <v>316</v>
      </c>
      <c r="F22" s="1227">
        <f>Poeng!AB15</f>
        <v>1</v>
      </c>
      <c r="G22" s="1227">
        <f>IF(E22=AIS_Yes,F22,0)</f>
        <v>0</v>
      </c>
      <c r="H22" s="986" t="s">
        <v>14</v>
      </c>
      <c r="I22" s="917"/>
      <c r="K22" s="1174" t="s">
        <v>1573</v>
      </c>
      <c r="L22" s="1022"/>
      <c r="M22" s="1175"/>
      <c r="S22" s="62" t="s">
        <v>1015</v>
      </c>
      <c r="T22"/>
      <c r="U22"/>
      <c r="V22"/>
      <c r="W22"/>
      <c r="X22"/>
      <c r="Y22" t="str">
        <f>$X$4</f>
        <v>No</v>
      </c>
      <c r="Z22"/>
      <c r="AA22"/>
      <c r="AB22"/>
      <c r="AC22"/>
      <c r="AD22"/>
      <c r="AE22"/>
      <c r="AF22"/>
      <c r="AG22"/>
      <c r="AH22"/>
      <c r="AI22"/>
    </row>
    <row r="23" spans="1:35" x14ac:dyDescent="0.25">
      <c r="A23" s="1138">
        <v>14</v>
      </c>
      <c r="B23" s="1138" t="s">
        <v>11</v>
      </c>
      <c r="C23" s="1037" t="s">
        <v>87</v>
      </c>
      <c r="E23" s="1091"/>
      <c r="I23" s="917"/>
      <c r="K23" s="992" t="s">
        <v>316</v>
      </c>
      <c r="L23" s="1022"/>
      <c r="M23" s="1175"/>
      <c r="S23" s="504"/>
      <c r="T23" s="504"/>
      <c r="U23" s="504"/>
      <c r="V23" s="504"/>
      <c r="W23" s="504"/>
      <c r="X23" s="504"/>
      <c r="Y23" s="504"/>
      <c r="Z23" s="504"/>
      <c r="AA23" s="504"/>
      <c r="AB23" s="504"/>
    </row>
    <row r="24" spans="1:35" ht="15.75" thickBot="1" x14ac:dyDescent="0.3">
      <c r="A24" s="1138">
        <v>15</v>
      </c>
      <c r="B24" s="1138" t="s">
        <v>11</v>
      </c>
      <c r="C24" s="1037" t="s">
        <v>87</v>
      </c>
      <c r="D24" s="938" t="s">
        <v>1572</v>
      </c>
      <c r="E24" s="937"/>
      <c r="I24" s="917"/>
      <c r="K24" s="1174" t="s">
        <v>1579</v>
      </c>
      <c r="L24" s="375" t="s">
        <v>1574</v>
      </c>
      <c r="M24" s="1175"/>
      <c r="S24" s="504"/>
      <c r="T24" s="504"/>
      <c r="U24" s="504"/>
      <c r="V24" s="504"/>
      <c r="W24" s="504"/>
      <c r="X24" s="504"/>
      <c r="Y24" s="504"/>
      <c r="Z24" s="504"/>
      <c r="AA24" s="504"/>
      <c r="AB24" s="504"/>
    </row>
    <row r="25" spans="1:35" x14ac:dyDescent="0.25">
      <c r="A25" s="1138">
        <v>16</v>
      </c>
      <c r="B25" s="1138" t="s">
        <v>11</v>
      </c>
      <c r="C25" s="1037" t="s">
        <v>87</v>
      </c>
      <c r="D25" s="1168" t="s">
        <v>1894</v>
      </c>
      <c r="E25" s="1083" t="s">
        <v>316</v>
      </c>
      <c r="G25" s="994"/>
      <c r="I25" s="917"/>
      <c r="K25" s="1174" t="s">
        <v>1580</v>
      </c>
      <c r="L25" s="375" t="s">
        <v>1575</v>
      </c>
      <c r="M25" s="1175"/>
      <c r="S25" s="504"/>
      <c r="T25" s="504"/>
      <c r="U25" s="504"/>
      <c r="V25" s="504"/>
      <c r="W25" s="504"/>
      <c r="X25" s="504"/>
      <c r="Y25" s="504"/>
      <c r="Z25" s="504"/>
      <c r="AA25" s="504"/>
      <c r="AB25" s="504"/>
    </row>
    <row r="26" spans="1:35" x14ac:dyDescent="0.25">
      <c r="A26" s="1138">
        <v>17</v>
      </c>
      <c r="B26" s="1138" t="s">
        <v>11</v>
      </c>
      <c r="C26" s="1037" t="s">
        <v>87</v>
      </c>
      <c r="D26" s="1169" t="s">
        <v>1983</v>
      </c>
      <c r="E26" s="970"/>
      <c r="F26" s="375" t="s">
        <v>1583</v>
      </c>
      <c r="I26" s="917"/>
      <c r="K26" s="1174" t="s">
        <v>1581</v>
      </c>
      <c r="L26" s="375" t="s">
        <v>1576</v>
      </c>
      <c r="M26" s="1175"/>
      <c r="S26" s="504"/>
      <c r="T26" s="504"/>
      <c r="U26" s="504"/>
      <c r="V26" s="504"/>
      <c r="W26" s="504"/>
      <c r="X26" s="504"/>
      <c r="Y26" s="504"/>
      <c r="Z26" s="504"/>
      <c r="AA26" s="504"/>
      <c r="AB26" s="504"/>
    </row>
    <row r="27" spans="1:35" x14ac:dyDescent="0.25">
      <c r="A27" s="1138">
        <v>18</v>
      </c>
      <c r="B27" s="1138" t="s">
        <v>11</v>
      </c>
      <c r="C27" s="1037" t="s">
        <v>87</v>
      </c>
      <c r="D27" s="1169" t="s">
        <v>2012</v>
      </c>
      <c r="E27" s="970"/>
      <c r="F27" s="375" t="s">
        <v>1583</v>
      </c>
      <c r="I27" s="917"/>
      <c r="K27" s="1174" t="s">
        <v>1577</v>
      </c>
      <c r="L27" s="375" t="s">
        <v>1577</v>
      </c>
      <c r="M27" s="1175"/>
      <c r="S27" s="504"/>
      <c r="T27" s="504"/>
      <c r="U27" s="504"/>
      <c r="V27" s="504"/>
      <c r="W27" s="504"/>
      <c r="X27" s="504"/>
      <c r="Y27" s="504"/>
      <c r="Z27" s="504"/>
      <c r="AA27" s="504"/>
      <c r="AB27" s="504"/>
    </row>
    <row r="28" spans="1:35" x14ac:dyDescent="0.25">
      <c r="A28" s="1138">
        <v>19</v>
      </c>
      <c r="B28" s="1138" t="s">
        <v>11</v>
      </c>
      <c r="C28" s="1037" t="s">
        <v>87</v>
      </c>
      <c r="D28" s="1169" t="s">
        <v>1584</v>
      </c>
      <c r="E28" s="970" t="s">
        <v>316</v>
      </c>
      <c r="I28" s="917"/>
      <c r="K28" s="1174" t="s">
        <v>1582</v>
      </c>
      <c r="L28" s="375" t="s">
        <v>1578</v>
      </c>
      <c r="M28" s="1175"/>
      <c r="S28" s="504"/>
      <c r="T28" s="504"/>
      <c r="U28" s="504"/>
      <c r="V28" s="504"/>
      <c r="W28" s="504"/>
      <c r="X28" s="504"/>
      <c r="Y28" s="504"/>
      <c r="Z28" s="504"/>
      <c r="AA28" s="504"/>
      <c r="AB28" s="504"/>
    </row>
    <row r="29" spans="1:35" ht="15.75" thickBot="1" x14ac:dyDescent="0.3">
      <c r="A29" s="1138">
        <v>20</v>
      </c>
      <c r="B29" s="1138" t="s">
        <v>11</v>
      </c>
      <c r="C29" s="1037" t="s">
        <v>87</v>
      </c>
      <c r="D29" s="1170" t="s">
        <v>1585</v>
      </c>
      <c r="E29" s="928" t="s">
        <v>316</v>
      </c>
      <c r="I29" s="917"/>
      <c r="K29" s="1174"/>
      <c r="L29" s="1022"/>
      <c r="M29" s="1175"/>
      <c r="Q29"/>
      <c r="S29" s="504"/>
      <c r="T29" s="504"/>
      <c r="U29" s="504"/>
      <c r="V29" s="504"/>
      <c r="W29" s="504"/>
      <c r="X29" s="504"/>
      <c r="Y29" s="504"/>
      <c r="Z29" s="504"/>
      <c r="AA29" s="504"/>
      <c r="AB29" s="504"/>
    </row>
    <row r="30" spans="1:35" x14ac:dyDescent="0.25">
      <c r="A30" s="1138">
        <v>21</v>
      </c>
      <c r="B30" s="1138" t="s">
        <v>11</v>
      </c>
      <c r="C30" s="1037" t="s">
        <v>87</v>
      </c>
      <c r="I30" s="917"/>
      <c r="K30" s="992" t="s">
        <v>316</v>
      </c>
      <c r="L30" s="1022"/>
      <c r="M30" s="1175"/>
      <c r="Q30"/>
      <c r="S30" s="504"/>
      <c r="T30" s="504"/>
      <c r="U30" s="504"/>
      <c r="V30" s="504"/>
      <c r="W30" s="504"/>
      <c r="X30" s="504"/>
      <c r="Y30" s="504"/>
      <c r="Z30" s="504"/>
      <c r="AA30" s="504"/>
      <c r="AB30" s="504"/>
    </row>
    <row r="31" spans="1:35" ht="15.75" thickBot="1" x14ac:dyDescent="0.3">
      <c r="A31" s="1138">
        <v>22</v>
      </c>
      <c r="B31" s="1138" t="s">
        <v>11</v>
      </c>
      <c r="C31" s="1037" t="s">
        <v>87</v>
      </c>
      <c r="D31" s="938" t="s">
        <v>1770</v>
      </c>
      <c r="E31" s="937" t="s">
        <v>1745</v>
      </c>
      <c r="I31" s="917"/>
      <c r="K31" s="1174" t="s">
        <v>68</v>
      </c>
      <c r="L31" s="1022"/>
      <c r="M31" s="1175"/>
      <c r="Q31"/>
      <c r="S31" s="504"/>
      <c r="T31" s="504"/>
      <c r="U31" s="504"/>
      <c r="V31" s="504"/>
      <c r="W31" s="504"/>
      <c r="X31" s="504"/>
      <c r="Y31" s="504"/>
      <c r="Z31" s="504"/>
      <c r="AA31" s="504"/>
      <c r="AB31" s="504"/>
    </row>
    <row r="32" spans="1:35" x14ac:dyDescent="0.25">
      <c r="A32" s="1138">
        <v>23</v>
      </c>
      <c r="B32" s="1138" t="s">
        <v>11</v>
      </c>
      <c r="C32" s="1037" t="s">
        <v>87</v>
      </c>
      <c r="D32" s="1168" t="s">
        <v>1586</v>
      </c>
      <c r="E32" s="1378"/>
      <c r="I32" s="917"/>
      <c r="K32" s="1174" t="s">
        <v>70</v>
      </c>
      <c r="L32" s="1022"/>
      <c r="M32" s="1175"/>
      <c r="Q32"/>
      <c r="S32" s="504"/>
      <c r="T32" s="504"/>
      <c r="U32" s="504"/>
      <c r="V32" s="504"/>
      <c r="W32" s="504"/>
      <c r="X32" s="504"/>
      <c r="Y32" s="504"/>
      <c r="Z32" s="504"/>
      <c r="AA32" s="504"/>
      <c r="AB32" s="504"/>
    </row>
    <row r="33" spans="1:28" x14ac:dyDescent="0.25">
      <c r="A33" s="1138">
        <v>24</v>
      </c>
      <c r="B33" s="1138" t="s">
        <v>11</v>
      </c>
      <c r="C33" s="1037" t="s">
        <v>87</v>
      </c>
      <c r="D33" s="1169" t="s">
        <v>1587</v>
      </c>
      <c r="E33" s="1379"/>
      <c r="I33" s="917"/>
      <c r="K33" s="1174" t="s">
        <v>71</v>
      </c>
      <c r="L33" s="1022"/>
      <c r="M33" s="1175"/>
      <c r="Q33"/>
      <c r="S33" s="504"/>
      <c r="T33" s="504"/>
      <c r="U33" s="504"/>
      <c r="V33" s="504"/>
      <c r="W33" s="504"/>
      <c r="X33" s="504"/>
      <c r="Y33" s="504"/>
      <c r="Z33" s="504"/>
      <c r="AA33" s="504"/>
      <c r="AB33" s="504"/>
    </row>
    <row r="34" spans="1:28" x14ac:dyDescent="0.25">
      <c r="A34" s="1138">
        <v>25</v>
      </c>
      <c r="B34" s="1138" t="s">
        <v>11</v>
      </c>
      <c r="C34" s="1037" t="s">
        <v>87</v>
      </c>
      <c r="D34" s="1169" t="s">
        <v>1588</v>
      </c>
      <c r="E34" s="1379"/>
      <c r="I34" s="917"/>
      <c r="K34" s="1174" t="s">
        <v>72</v>
      </c>
      <c r="L34" s="1022"/>
      <c r="M34" s="1175"/>
      <c r="Q34"/>
      <c r="S34" s="504"/>
      <c r="T34" s="504"/>
      <c r="U34" s="504"/>
      <c r="V34" s="504"/>
      <c r="W34" s="504"/>
      <c r="X34" s="504"/>
      <c r="Y34" s="504"/>
      <c r="Z34" s="504"/>
      <c r="AA34" s="504"/>
      <c r="AB34" s="504"/>
    </row>
    <row r="35" spans="1:28" x14ac:dyDescent="0.25">
      <c r="A35" s="1138">
        <v>26</v>
      </c>
      <c r="B35" s="1138" t="s">
        <v>11</v>
      </c>
      <c r="C35" s="1037" t="s">
        <v>87</v>
      </c>
      <c r="D35" s="1169" t="s">
        <v>1589</v>
      </c>
      <c r="E35" s="1379"/>
      <c r="I35" s="917"/>
      <c r="K35" s="1174" t="s">
        <v>73</v>
      </c>
      <c r="L35" s="1022"/>
      <c r="M35" s="1175"/>
      <c r="Q35"/>
      <c r="S35" s="504"/>
      <c r="T35" s="504"/>
      <c r="U35" s="504"/>
      <c r="V35" s="504"/>
      <c r="W35" s="504"/>
      <c r="X35" s="504"/>
      <c r="Y35" s="504"/>
      <c r="Z35" s="504"/>
      <c r="AA35" s="504"/>
      <c r="AB35" s="504"/>
    </row>
    <row r="36" spans="1:28" ht="15.75" thickBot="1" x14ac:dyDescent="0.3">
      <c r="A36" s="1138">
        <v>27</v>
      </c>
      <c r="B36" s="1138" t="s">
        <v>11</v>
      </c>
      <c r="C36" s="1037" t="s">
        <v>87</v>
      </c>
      <c r="D36" s="1170" t="s">
        <v>1590</v>
      </c>
      <c r="E36" s="1380"/>
      <c r="I36" s="917"/>
      <c r="K36" s="1174" t="s">
        <v>74</v>
      </c>
      <c r="L36" s="1022"/>
      <c r="M36" s="1175"/>
      <c r="Q36"/>
      <c r="S36" s="504"/>
      <c r="T36" s="504"/>
      <c r="U36" s="504"/>
      <c r="V36" s="504"/>
      <c r="W36" s="504"/>
      <c r="X36" s="504"/>
      <c r="Y36" s="504"/>
      <c r="Z36" s="504"/>
      <c r="AA36" s="504"/>
      <c r="AB36" s="504"/>
    </row>
    <row r="37" spans="1:28" x14ac:dyDescent="0.25">
      <c r="A37" s="1138">
        <v>28</v>
      </c>
      <c r="B37" s="1138" t="s">
        <v>11</v>
      </c>
      <c r="C37" s="1037" t="s">
        <v>87</v>
      </c>
      <c r="I37" s="917"/>
      <c r="K37" s="1174"/>
      <c r="L37" s="1022"/>
      <c r="M37" s="1175"/>
      <c r="Q37"/>
      <c r="S37" s="504"/>
      <c r="T37" s="504"/>
      <c r="U37" s="504"/>
      <c r="V37" s="504"/>
      <c r="W37" s="504"/>
      <c r="X37" s="504"/>
      <c r="Y37" s="504"/>
      <c r="Z37" s="504"/>
      <c r="AA37" s="504"/>
      <c r="AB37" s="504"/>
    </row>
    <row r="38" spans="1:28" x14ac:dyDescent="0.25">
      <c r="A38" s="1138">
        <v>29</v>
      </c>
      <c r="B38" s="1138" t="s">
        <v>11</v>
      </c>
      <c r="C38" s="1037" t="s">
        <v>87</v>
      </c>
      <c r="D38" s="958" t="s">
        <v>1012</v>
      </c>
      <c r="E38" s="1272">
        <f>IF(SUM(G17:G22)&gt;E13,E13,SUM(G17:G22))</f>
        <v>0</v>
      </c>
      <c r="I38" s="917"/>
      <c r="K38" s="1174"/>
      <c r="L38" s="1022"/>
      <c r="M38" s="1175"/>
      <c r="S38" s="504"/>
      <c r="T38" s="504"/>
      <c r="U38" s="504"/>
      <c r="V38" s="504"/>
      <c r="W38" s="504"/>
      <c r="X38" s="504"/>
      <c r="Y38" s="504"/>
      <c r="Z38" s="504"/>
      <c r="AA38" s="504"/>
      <c r="AB38" s="504"/>
    </row>
    <row r="39" spans="1:28" x14ac:dyDescent="0.25">
      <c r="A39" s="1138">
        <v>30</v>
      </c>
      <c r="B39" s="1138" t="s">
        <v>11</v>
      </c>
      <c r="C39" s="1037" t="s">
        <v>87</v>
      </c>
      <c r="D39" s="924" t="s">
        <v>77</v>
      </c>
      <c r="E39" s="1273">
        <f>Man01_39</f>
        <v>0</v>
      </c>
      <c r="I39" s="917"/>
      <c r="K39" s="1174"/>
      <c r="L39" s="1022"/>
      <c r="M39" s="1175"/>
      <c r="S39" s="504"/>
      <c r="T39" s="504"/>
      <c r="U39" s="504"/>
      <c r="V39" s="504"/>
      <c r="W39" s="504"/>
      <c r="X39" s="504"/>
      <c r="Y39" s="504"/>
      <c r="Z39" s="504"/>
      <c r="AA39" s="504"/>
      <c r="AB39" s="504"/>
    </row>
    <row r="40" spans="1:28" x14ac:dyDescent="0.25">
      <c r="A40" s="1138">
        <v>31</v>
      </c>
      <c r="B40" s="1138" t="s">
        <v>11</v>
      </c>
      <c r="C40" s="1037" t="s">
        <v>87</v>
      </c>
      <c r="D40" s="926" t="s">
        <v>1005</v>
      </c>
      <c r="E40" s="1272" t="s">
        <v>14</v>
      </c>
      <c r="I40" s="917"/>
      <c r="K40" s="1174"/>
      <c r="L40" s="1022"/>
      <c r="M40" s="1175"/>
      <c r="S40" s="504"/>
      <c r="T40" s="504"/>
      <c r="U40" s="504"/>
      <c r="V40" s="504"/>
      <c r="W40" s="504"/>
      <c r="X40" s="504"/>
      <c r="Y40" s="504"/>
      <c r="Z40" s="504"/>
      <c r="AA40" s="504"/>
      <c r="AB40" s="504"/>
    </row>
    <row r="41" spans="1:28" x14ac:dyDescent="0.25">
      <c r="A41" s="1138">
        <v>32</v>
      </c>
      <c r="B41" s="1138" t="s">
        <v>11</v>
      </c>
      <c r="C41" s="1037" t="s">
        <v>87</v>
      </c>
      <c r="D41" s="923" t="s">
        <v>46</v>
      </c>
      <c r="E41" s="1272" t="str">
        <f>VLOOKUP(MIN(Poeng!BD10:BD15),Poeng!$BO$285:$BP$291,2,FALSE)</f>
        <v>Very Good</v>
      </c>
      <c r="I41" s="917"/>
      <c r="K41" s="1174"/>
      <c r="L41" s="1022"/>
      <c r="M41" s="1175"/>
      <c r="S41" s="504"/>
      <c r="T41" s="504"/>
      <c r="U41" s="504"/>
      <c r="V41" s="504"/>
      <c r="W41" s="504"/>
      <c r="X41" s="504"/>
      <c r="Y41" s="504"/>
      <c r="Z41" s="504"/>
      <c r="AA41" s="504"/>
      <c r="AB41" s="504"/>
    </row>
    <row r="42" spans="1:28" x14ac:dyDescent="0.25">
      <c r="A42" s="1138">
        <v>33</v>
      </c>
      <c r="B42" s="1138" t="s">
        <v>11</v>
      </c>
      <c r="C42" s="1037" t="s">
        <v>87</v>
      </c>
      <c r="I42" s="917"/>
      <c r="K42" s="1174"/>
      <c r="L42" s="1022"/>
      <c r="M42" s="1175"/>
      <c r="S42" s="504"/>
      <c r="T42" s="504"/>
      <c r="U42" s="504"/>
      <c r="V42" s="504"/>
      <c r="W42" s="504"/>
      <c r="X42" s="504"/>
      <c r="Y42" s="504"/>
      <c r="Z42" s="504"/>
      <c r="AA42" s="504"/>
      <c r="AB42" s="504"/>
    </row>
    <row r="43" spans="1:28" x14ac:dyDescent="0.25">
      <c r="A43" s="1138">
        <v>34</v>
      </c>
      <c r="B43" s="1138" t="s">
        <v>11</v>
      </c>
      <c r="C43" s="1037" t="s">
        <v>87</v>
      </c>
      <c r="D43" s="920" t="s">
        <v>1004</v>
      </c>
      <c r="E43" s="920" t="s">
        <v>1003</v>
      </c>
      <c r="F43" s="920" t="str">
        <f>HLOOKUP(C43,'Assessment References'!$H$512:$BG$513,2,FALSE)</f>
        <v xml:space="preserve">1, </v>
      </c>
      <c r="G43" s="919"/>
      <c r="H43" s="918"/>
      <c r="I43" s="917"/>
      <c r="K43" s="1174"/>
      <c r="L43" s="1022"/>
      <c r="M43" s="1175"/>
      <c r="S43" s="504"/>
      <c r="T43" s="504"/>
      <c r="U43" s="504"/>
      <c r="V43" s="504"/>
      <c r="W43" s="504"/>
      <c r="X43" s="504"/>
      <c r="Y43" s="504"/>
      <c r="Z43" s="504"/>
      <c r="AA43" s="504"/>
      <c r="AB43" s="504"/>
    </row>
    <row r="44" spans="1:28" x14ac:dyDescent="0.25">
      <c r="A44" s="1138">
        <v>35</v>
      </c>
      <c r="B44" s="1138" t="s">
        <v>11</v>
      </c>
      <c r="C44" s="1037" t="s">
        <v>87</v>
      </c>
      <c r="D44" s="1539"/>
      <c r="E44" s="1540"/>
      <c r="F44" s="1540"/>
      <c r="G44" s="1540"/>
      <c r="H44" s="1541"/>
      <c r="I44" s="917"/>
      <c r="K44" s="1174"/>
      <c r="L44" s="1022"/>
      <c r="M44" s="1175"/>
      <c r="S44" s="504"/>
      <c r="T44" s="504"/>
      <c r="U44" s="504"/>
      <c r="V44" s="504"/>
      <c r="W44" s="504"/>
      <c r="X44" s="504"/>
      <c r="Y44" s="504"/>
      <c r="Z44" s="504"/>
      <c r="AA44" s="504"/>
      <c r="AB44" s="504"/>
    </row>
    <row r="45" spans="1:28" x14ac:dyDescent="0.25">
      <c r="A45" s="1138">
        <v>36</v>
      </c>
      <c r="B45" s="1138" t="s">
        <v>11</v>
      </c>
      <c r="C45" s="1037" t="s">
        <v>87</v>
      </c>
      <c r="D45" s="1530"/>
      <c r="E45" s="1531"/>
      <c r="F45" s="1531"/>
      <c r="G45" s="1531"/>
      <c r="H45" s="1532"/>
      <c r="I45" s="917"/>
      <c r="J45" s="1036"/>
      <c r="K45" s="1174"/>
      <c r="L45" s="1022"/>
      <c r="M45" s="1175"/>
      <c r="S45" s="504"/>
      <c r="T45" s="504"/>
      <c r="U45" s="504"/>
      <c r="V45" s="504"/>
      <c r="W45" s="504"/>
      <c r="X45" s="504"/>
      <c r="Y45" s="504"/>
      <c r="Z45" s="504"/>
      <c r="AA45" s="504"/>
      <c r="AB45" s="504"/>
    </row>
    <row r="46" spans="1:28" x14ac:dyDescent="0.25">
      <c r="A46" s="1138">
        <v>37</v>
      </c>
      <c r="B46" s="1138" t="s">
        <v>11</v>
      </c>
      <c r="C46" s="1037" t="s">
        <v>87</v>
      </c>
      <c r="D46" s="1530"/>
      <c r="E46" s="1531"/>
      <c r="F46" s="1531"/>
      <c r="G46" s="1531"/>
      <c r="H46" s="1532"/>
      <c r="I46" s="917"/>
      <c r="J46" s="1036"/>
      <c r="K46" s="1174"/>
      <c r="L46" s="1022"/>
      <c r="M46" s="1175"/>
      <c r="S46" s="504"/>
      <c r="T46" s="504"/>
      <c r="U46" s="504"/>
      <c r="V46" s="504"/>
      <c r="W46" s="504"/>
      <c r="X46" s="504"/>
      <c r="Y46" s="504"/>
      <c r="Z46" s="504"/>
      <c r="AA46" s="504"/>
      <c r="AB46" s="504"/>
    </row>
    <row r="47" spans="1:28" x14ac:dyDescent="0.25">
      <c r="A47" s="1138">
        <v>38</v>
      </c>
      <c r="B47" s="1138" t="s">
        <v>11</v>
      </c>
      <c r="C47" s="1037" t="s">
        <v>87</v>
      </c>
      <c r="D47" s="1533"/>
      <c r="E47" s="1534"/>
      <c r="F47" s="1534"/>
      <c r="G47" s="1534"/>
      <c r="H47" s="1535"/>
      <c r="I47" s="917"/>
      <c r="J47" s="1036"/>
      <c r="K47" s="1174"/>
      <c r="L47" s="1022"/>
      <c r="M47" s="1175"/>
      <c r="S47" s="504"/>
      <c r="T47" s="504"/>
      <c r="U47" s="504"/>
      <c r="V47" s="504"/>
      <c r="W47" s="504"/>
      <c r="X47" s="504"/>
      <c r="Y47" s="504"/>
      <c r="Z47" s="504"/>
      <c r="AA47" s="504"/>
      <c r="AB47" s="504"/>
    </row>
    <row r="48" spans="1:28" x14ac:dyDescent="0.25">
      <c r="A48" s="1138">
        <v>39</v>
      </c>
      <c r="B48" s="1138" t="s">
        <v>11</v>
      </c>
      <c r="C48" s="1037" t="s">
        <v>87</v>
      </c>
      <c r="D48" s="1533"/>
      <c r="E48" s="1534"/>
      <c r="F48" s="1534"/>
      <c r="G48" s="1534"/>
      <c r="H48" s="1535"/>
      <c r="I48" s="917"/>
      <c r="J48" s="1036"/>
      <c r="K48" s="1174"/>
      <c r="L48" s="1022"/>
      <c r="M48" s="1175"/>
      <c r="S48" s="504"/>
      <c r="T48" s="504"/>
      <c r="U48" s="504"/>
      <c r="V48" s="504"/>
      <c r="W48" s="504"/>
      <c r="X48" s="504"/>
      <c r="Y48" s="504"/>
      <c r="Z48" s="504"/>
      <c r="AA48" s="504"/>
      <c r="AB48" s="504"/>
    </row>
    <row r="49" spans="1:28" x14ac:dyDescent="0.25">
      <c r="A49" s="1138">
        <v>40</v>
      </c>
      <c r="B49" s="1138" t="s">
        <v>11</v>
      </c>
      <c r="C49" s="1037" t="s">
        <v>87</v>
      </c>
      <c r="D49" s="1536"/>
      <c r="E49" s="1537"/>
      <c r="F49" s="1537"/>
      <c r="G49" s="1537"/>
      <c r="H49" s="1538"/>
      <c r="I49" s="917"/>
      <c r="J49" s="1036"/>
      <c r="K49" s="1174"/>
      <c r="L49" s="1022"/>
      <c r="M49" s="1175"/>
      <c r="S49" s="504"/>
      <c r="T49" s="504"/>
      <c r="U49" s="504"/>
      <c r="V49" s="504"/>
      <c r="W49" s="504"/>
      <c r="X49" s="504"/>
      <c r="Y49" s="504"/>
      <c r="Z49" s="504"/>
      <c r="AA49" s="504"/>
      <c r="AB49" s="504"/>
    </row>
    <row r="50" spans="1:28" x14ac:dyDescent="0.25">
      <c r="A50" s="1138">
        <v>41</v>
      </c>
      <c r="B50" s="1138" t="s">
        <v>11</v>
      </c>
      <c r="C50" s="1037" t="s">
        <v>87</v>
      </c>
      <c r="I50" s="917"/>
      <c r="J50" s="1036"/>
      <c r="K50" s="1174"/>
      <c r="L50" s="1022"/>
      <c r="M50" s="1175"/>
      <c r="S50" s="504"/>
      <c r="T50" s="504"/>
      <c r="U50" s="504"/>
      <c r="V50" s="504"/>
      <c r="W50" s="504"/>
      <c r="X50" s="504"/>
      <c r="Y50" s="504"/>
      <c r="Z50" s="504"/>
      <c r="AA50" s="504"/>
      <c r="AB50" s="504"/>
    </row>
    <row r="51" spans="1:28" x14ac:dyDescent="0.25">
      <c r="A51" s="1138">
        <v>42</v>
      </c>
      <c r="B51" s="1140" t="s">
        <v>11</v>
      </c>
      <c r="C51" s="950" t="s">
        <v>88</v>
      </c>
      <c r="D51" s="1015" t="s">
        <v>1226</v>
      </c>
      <c r="E51" s="1014"/>
      <c r="F51" s="1014"/>
      <c r="G51" s="1013"/>
      <c r="H51" s="1066"/>
      <c r="I51" s="917"/>
      <c r="J51" s="1036"/>
      <c r="K51" s="1174"/>
      <c r="L51" s="1022"/>
      <c r="M51" s="1175"/>
      <c r="S51" s="504"/>
      <c r="T51" s="504"/>
      <c r="U51" s="504"/>
      <c r="V51" s="504"/>
      <c r="W51" s="504"/>
      <c r="X51" s="504"/>
      <c r="Y51" s="504"/>
      <c r="Z51" s="504"/>
      <c r="AA51" s="504"/>
      <c r="AB51" s="504"/>
    </row>
    <row r="52" spans="1:28" x14ac:dyDescent="0.25">
      <c r="A52" s="1138">
        <v>43</v>
      </c>
      <c r="B52" s="1138" t="s">
        <v>11</v>
      </c>
      <c r="C52" s="1037" t="s">
        <v>88</v>
      </c>
      <c r="D52" s="946" t="s">
        <v>15</v>
      </c>
      <c r="E52" s="1264">
        <f>Man02_credits</f>
        <v>3</v>
      </c>
      <c r="F52" s="945"/>
      <c r="G52" s="944" t="s">
        <v>76</v>
      </c>
      <c r="H52" s="1266">
        <f>Man02_11</f>
        <v>1.8571428571428572E-2</v>
      </c>
      <c r="I52" s="917"/>
      <c r="J52" s="1036"/>
      <c r="K52" s="1174"/>
      <c r="L52" s="1022"/>
      <c r="M52" s="1175"/>
      <c r="S52" s="504"/>
      <c r="T52" s="504"/>
      <c r="U52" s="504"/>
      <c r="V52" s="504"/>
      <c r="W52" s="504"/>
      <c r="X52" s="504"/>
      <c r="Y52" s="504"/>
      <c r="Z52" s="504"/>
      <c r="AA52" s="504"/>
      <c r="AB52" s="504"/>
    </row>
    <row r="53" spans="1:28" x14ac:dyDescent="0.25">
      <c r="A53" s="1138">
        <v>44</v>
      </c>
      <c r="B53" s="1138" t="s">
        <v>11</v>
      </c>
      <c r="C53" s="1037" t="s">
        <v>88</v>
      </c>
      <c r="D53" s="972" t="s">
        <v>1011</v>
      </c>
      <c r="E53" s="1265">
        <v>0</v>
      </c>
      <c r="F53" s="941"/>
      <c r="G53" s="940" t="s">
        <v>1010</v>
      </c>
      <c r="H53" s="1267" t="s">
        <v>13</v>
      </c>
      <c r="I53" s="917"/>
      <c r="K53" s="1174"/>
      <c r="L53" s="1022"/>
      <c r="M53" s="1175"/>
      <c r="S53" s="504"/>
      <c r="T53" s="504"/>
      <c r="U53" s="504"/>
      <c r="V53" s="504"/>
      <c r="W53" s="504"/>
      <c r="X53" s="504"/>
      <c r="Y53" s="504"/>
      <c r="Z53" s="504"/>
      <c r="AA53" s="504"/>
      <c r="AB53" s="504"/>
    </row>
    <row r="54" spans="1:28" x14ac:dyDescent="0.25">
      <c r="A54" s="1138">
        <v>45</v>
      </c>
      <c r="B54" s="1138" t="s">
        <v>11</v>
      </c>
      <c r="C54" s="1037" t="s">
        <v>88</v>
      </c>
      <c r="I54" s="917"/>
      <c r="K54" s="1174"/>
      <c r="L54" s="1022"/>
      <c r="M54" s="1175"/>
      <c r="S54" s="504"/>
      <c r="T54" s="504"/>
      <c r="U54" s="504"/>
      <c r="V54" s="504"/>
      <c r="W54" s="504"/>
      <c r="X54" s="504"/>
      <c r="Y54" s="504"/>
      <c r="Z54" s="504"/>
      <c r="AA54" s="504"/>
      <c r="AB54" s="504"/>
    </row>
    <row r="55" spans="1:28" ht="15.75" thickBot="1" x14ac:dyDescent="0.3">
      <c r="A55" s="1138">
        <v>46</v>
      </c>
      <c r="B55" s="1138" t="s">
        <v>11</v>
      </c>
      <c r="C55" s="1037" t="s">
        <v>88</v>
      </c>
      <c r="D55" s="938" t="s">
        <v>1411</v>
      </c>
      <c r="E55" s="937" t="s">
        <v>1008</v>
      </c>
      <c r="F55" s="937" t="s">
        <v>1007</v>
      </c>
      <c r="G55" s="937" t="s">
        <v>1006</v>
      </c>
      <c r="H55" s="937" t="s">
        <v>1014</v>
      </c>
      <c r="I55" s="917"/>
      <c r="K55" s="1174"/>
      <c r="L55" s="1022"/>
      <c r="M55" s="1175"/>
      <c r="S55" s="504"/>
      <c r="T55" s="504"/>
      <c r="U55" s="504"/>
      <c r="V55" s="504"/>
      <c r="W55" s="504"/>
      <c r="X55" s="504"/>
      <c r="Y55" s="504"/>
      <c r="Z55" s="504"/>
      <c r="AA55" s="504"/>
      <c r="AB55" s="504"/>
    </row>
    <row r="56" spans="1:28" x14ac:dyDescent="0.25">
      <c r="A56" s="1138">
        <v>47</v>
      </c>
      <c r="B56" s="1138" t="s">
        <v>11</v>
      </c>
      <c r="C56" s="1037" t="s">
        <v>88</v>
      </c>
      <c r="D56" s="1168" t="s">
        <v>1225</v>
      </c>
      <c r="E56" s="1268" t="s">
        <v>316</v>
      </c>
      <c r="F56" s="1497"/>
      <c r="G56" s="1497"/>
      <c r="H56" s="1056"/>
      <c r="I56" s="917"/>
      <c r="K56" s="1174"/>
      <c r="L56" s="1022"/>
      <c r="M56" s="1175"/>
      <c r="S56" s="62" t="s">
        <v>1015</v>
      </c>
      <c r="T56"/>
      <c r="U56"/>
      <c r="V56"/>
      <c r="W56"/>
      <c r="X56"/>
      <c r="Y56" t="str">
        <f>$X$4</f>
        <v>No</v>
      </c>
      <c r="Z56" s="504"/>
      <c r="AA56" s="504"/>
      <c r="AB56" s="504"/>
    </row>
    <row r="57" spans="1:28" ht="15.75" thickBot="1" x14ac:dyDescent="0.3">
      <c r="A57" s="1138">
        <v>48</v>
      </c>
      <c r="B57" s="1138" t="s">
        <v>11</v>
      </c>
      <c r="C57" s="1037" t="s">
        <v>88</v>
      </c>
      <c r="D57" s="1170" t="s">
        <v>1224</v>
      </c>
      <c r="E57" s="1275" t="s">
        <v>316</v>
      </c>
      <c r="F57" s="1498">
        <f>Poeng!AB17</f>
        <v>2</v>
      </c>
      <c r="G57" s="1498">
        <f>IF(AND(E56=AIS_Yes,E57=AIS_Yes),F57,0)</f>
        <v>0</v>
      </c>
      <c r="H57" s="1007" t="s">
        <v>14</v>
      </c>
      <c r="I57" s="917"/>
      <c r="K57" s="1174"/>
      <c r="L57" s="1022"/>
      <c r="M57" s="1175"/>
      <c r="S57" s="62" t="s">
        <v>1015</v>
      </c>
      <c r="T57"/>
      <c r="U57"/>
      <c r="V57"/>
      <c r="W57"/>
      <c r="X57"/>
      <c r="Y57" t="str">
        <f>$X$4</f>
        <v>No</v>
      </c>
      <c r="Z57" s="504"/>
      <c r="AA57" s="504"/>
      <c r="AB57" s="504"/>
    </row>
    <row r="58" spans="1:28" x14ac:dyDescent="0.25">
      <c r="A58" s="1138">
        <v>49</v>
      </c>
      <c r="B58" s="1138" t="s">
        <v>11</v>
      </c>
      <c r="C58" s="1037" t="s">
        <v>88</v>
      </c>
      <c r="I58" s="917"/>
      <c r="K58" s="1174"/>
      <c r="L58" s="1022"/>
      <c r="M58" s="1175"/>
      <c r="S58" s="504"/>
      <c r="T58" s="504"/>
      <c r="U58" s="504"/>
      <c r="V58" s="504"/>
      <c r="W58" s="504"/>
      <c r="X58" s="504"/>
      <c r="Y58" s="504"/>
      <c r="Z58" s="504"/>
      <c r="AA58" s="504"/>
      <c r="AB58" s="504"/>
    </row>
    <row r="59" spans="1:28" ht="15.75" thickBot="1" x14ac:dyDescent="0.3">
      <c r="A59" s="1138">
        <v>50</v>
      </c>
      <c r="B59" s="1138" t="s">
        <v>11</v>
      </c>
      <c r="C59" s="1037" t="s">
        <v>88</v>
      </c>
      <c r="D59" s="938" t="s">
        <v>1412</v>
      </c>
      <c r="E59" s="937" t="s">
        <v>1008</v>
      </c>
      <c r="F59" s="937" t="s">
        <v>1007</v>
      </c>
      <c r="G59" s="937" t="s">
        <v>1006</v>
      </c>
      <c r="H59" s="937" t="s">
        <v>1014</v>
      </c>
      <c r="I59" s="917"/>
      <c r="K59" s="1174"/>
      <c r="L59" s="1022"/>
      <c r="M59" s="1175"/>
      <c r="S59" s="504"/>
      <c r="T59" s="504"/>
      <c r="U59" s="504"/>
      <c r="V59" s="504"/>
      <c r="W59" s="504"/>
      <c r="X59" s="504"/>
      <c r="Y59" s="504"/>
      <c r="Z59" s="504"/>
      <c r="AA59" s="504"/>
      <c r="AB59" s="504"/>
    </row>
    <row r="60" spans="1:28" x14ac:dyDescent="0.25">
      <c r="A60" s="1138">
        <v>51</v>
      </c>
      <c r="B60" s="1138" t="s">
        <v>11</v>
      </c>
      <c r="C60" s="1037" t="s">
        <v>88</v>
      </c>
      <c r="D60" s="1168" t="s">
        <v>1223</v>
      </c>
      <c r="E60" s="1268" t="s">
        <v>316</v>
      </c>
      <c r="F60" s="1232">
        <f>Poeng!AB18</f>
        <v>1</v>
      </c>
      <c r="G60" s="1232">
        <f>IF(AND(E60=AIS_Yes,E61=AIS_Yes),F60,0)</f>
        <v>0</v>
      </c>
      <c r="H60" s="1056" t="s">
        <v>14</v>
      </c>
      <c r="I60" s="917"/>
      <c r="K60" s="1174"/>
      <c r="L60" s="1022"/>
      <c r="M60" s="1175"/>
      <c r="S60" s="62" t="s">
        <v>1015</v>
      </c>
      <c r="T60"/>
      <c r="U60"/>
      <c r="V60"/>
      <c r="W60"/>
      <c r="X60"/>
      <c r="Y60" t="str">
        <f>$X$4</f>
        <v>No</v>
      </c>
      <c r="Z60" s="504"/>
      <c r="AA60" s="504"/>
      <c r="AB60" s="504"/>
    </row>
    <row r="61" spans="1:28" ht="15.75" thickBot="1" x14ac:dyDescent="0.3">
      <c r="A61" s="1138">
        <v>52</v>
      </c>
      <c r="B61" s="1138" t="s">
        <v>11</v>
      </c>
      <c r="C61" s="1037" t="s">
        <v>88</v>
      </c>
      <c r="D61" s="1170" t="s">
        <v>1222</v>
      </c>
      <c r="E61" s="1271" t="s">
        <v>316</v>
      </c>
      <c r="F61" s="1226"/>
      <c r="G61" s="1226"/>
      <c r="H61" s="1007"/>
      <c r="I61" s="917"/>
      <c r="K61" s="1174"/>
      <c r="L61" s="1022"/>
      <c r="M61" s="1175"/>
      <c r="S61" s="62" t="s">
        <v>1015</v>
      </c>
      <c r="T61"/>
      <c r="U61"/>
      <c r="V61"/>
      <c r="W61"/>
      <c r="X61"/>
      <c r="Y61" t="str">
        <f>$X$4</f>
        <v>No</v>
      </c>
      <c r="Z61" s="504"/>
      <c r="AA61" s="504"/>
      <c r="AB61" s="504"/>
    </row>
    <row r="62" spans="1:28" x14ac:dyDescent="0.25">
      <c r="A62" s="1138">
        <v>53</v>
      </c>
      <c r="B62" s="1138" t="s">
        <v>11</v>
      </c>
      <c r="C62" s="1037" t="s">
        <v>88</v>
      </c>
      <c r="E62" s="1091"/>
      <c r="I62" s="917"/>
      <c r="K62" s="1174"/>
      <c r="L62" s="1022"/>
      <c r="M62" s="1175"/>
      <c r="S62" s="504"/>
      <c r="T62" s="504"/>
      <c r="U62" s="504"/>
      <c r="V62" s="504"/>
      <c r="W62" s="504"/>
      <c r="X62" s="504"/>
      <c r="Y62" s="504"/>
      <c r="Z62" s="504"/>
      <c r="AA62" s="504"/>
      <c r="AB62" s="504"/>
    </row>
    <row r="63" spans="1:28" ht="15.75" thickBot="1" x14ac:dyDescent="0.3">
      <c r="A63" s="1138">
        <v>54</v>
      </c>
      <c r="B63" s="1138" t="s">
        <v>11</v>
      </c>
      <c r="C63" s="1037" t="s">
        <v>88</v>
      </c>
      <c r="D63" s="938" t="s">
        <v>1572</v>
      </c>
      <c r="E63" s="937"/>
      <c r="I63" s="917"/>
      <c r="K63" s="1174"/>
      <c r="L63" s="1022"/>
      <c r="M63" s="1175"/>
      <c r="S63" s="504"/>
      <c r="T63" s="504"/>
      <c r="U63" s="504"/>
      <c r="V63" s="504"/>
      <c r="W63" s="504"/>
      <c r="X63" s="504"/>
      <c r="Y63" s="504"/>
      <c r="Z63" s="504"/>
      <c r="AA63" s="504"/>
      <c r="AB63" s="504"/>
    </row>
    <row r="64" spans="1:28" x14ac:dyDescent="0.25">
      <c r="A64" s="1138">
        <v>55</v>
      </c>
      <c r="B64" s="1138" t="s">
        <v>11</v>
      </c>
      <c r="C64" s="1037" t="s">
        <v>88</v>
      </c>
      <c r="D64" s="1168" t="s">
        <v>1764</v>
      </c>
      <c r="E64" s="1269"/>
      <c r="F64" s="375" t="s">
        <v>1149</v>
      </c>
      <c r="I64" s="917"/>
      <c r="K64" s="1174"/>
      <c r="L64" s="1022"/>
      <c r="M64" s="1175"/>
      <c r="S64" s="504"/>
      <c r="T64" s="504"/>
      <c r="U64" s="504"/>
      <c r="V64" s="504"/>
      <c r="W64" s="504"/>
      <c r="X64" s="504"/>
      <c r="Y64" s="504"/>
      <c r="Z64" s="504"/>
      <c r="AA64" s="504"/>
      <c r="AB64" s="504"/>
    </row>
    <row r="65" spans="1:28" ht="15.75" thickBot="1" x14ac:dyDescent="0.3">
      <c r="A65" s="1138">
        <v>56</v>
      </c>
      <c r="B65" s="1138" t="s">
        <v>11</v>
      </c>
      <c r="C65" s="1037" t="s">
        <v>88</v>
      </c>
      <c r="D65" s="1170" t="s">
        <v>1765</v>
      </c>
      <c r="E65" s="1275"/>
      <c r="F65" s="375" t="s">
        <v>1591</v>
      </c>
      <c r="I65" s="917"/>
      <c r="K65" s="1174"/>
      <c r="L65" s="1022"/>
      <c r="M65" s="1175"/>
      <c r="S65" s="504"/>
      <c r="T65" s="504"/>
      <c r="U65" s="504"/>
      <c r="V65" s="504"/>
      <c r="W65" s="504"/>
      <c r="X65" s="504"/>
      <c r="Y65" s="504"/>
      <c r="Z65" s="504"/>
      <c r="AA65" s="504"/>
      <c r="AB65" s="504"/>
    </row>
    <row r="66" spans="1:28" x14ac:dyDescent="0.25">
      <c r="A66" s="1138">
        <v>57</v>
      </c>
      <c r="B66" s="1138" t="s">
        <v>11</v>
      </c>
      <c r="C66" s="1037" t="s">
        <v>88</v>
      </c>
      <c r="I66" s="917"/>
      <c r="K66" s="1174"/>
      <c r="L66" s="1022"/>
      <c r="M66" s="1175"/>
      <c r="S66" s="504"/>
      <c r="T66" s="504"/>
      <c r="U66" s="504"/>
      <c r="V66" s="504"/>
      <c r="W66" s="504"/>
      <c r="X66" s="504"/>
      <c r="Y66" s="504"/>
      <c r="Z66" s="504"/>
      <c r="AA66" s="504"/>
      <c r="AB66" s="504"/>
    </row>
    <row r="67" spans="1:28" x14ac:dyDescent="0.25">
      <c r="A67" s="1138">
        <v>58</v>
      </c>
      <c r="B67" s="1138" t="s">
        <v>11</v>
      </c>
      <c r="C67" s="1037" t="s">
        <v>88</v>
      </c>
      <c r="D67" s="958" t="s">
        <v>1012</v>
      </c>
      <c r="E67" s="1272">
        <f>IF((G57+G60)&gt;E52,E52,G57+G60)</f>
        <v>0</v>
      </c>
      <c r="I67" s="917"/>
      <c r="K67" s="1174"/>
      <c r="L67" s="1022"/>
      <c r="M67" s="1175"/>
      <c r="S67" s="504"/>
      <c r="T67" s="504"/>
      <c r="U67" s="504"/>
      <c r="V67" s="504"/>
      <c r="W67" s="504"/>
      <c r="X67" s="504"/>
      <c r="Y67" s="504"/>
      <c r="Z67" s="504"/>
      <c r="AA67" s="504"/>
      <c r="AB67" s="504"/>
    </row>
    <row r="68" spans="1:28" x14ac:dyDescent="0.25">
      <c r="A68" s="1138">
        <v>59</v>
      </c>
      <c r="B68" s="1138" t="s">
        <v>11</v>
      </c>
      <c r="C68" s="1037" t="s">
        <v>88</v>
      </c>
      <c r="D68" s="924" t="s">
        <v>77</v>
      </c>
      <c r="E68" s="1273">
        <f>Man02_12</f>
        <v>0</v>
      </c>
      <c r="I68" s="917"/>
      <c r="K68" s="1174"/>
      <c r="L68" s="1022"/>
      <c r="M68" s="1175"/>
      <c r="S68" s="504"/>
      <c r="T68" s="504"/>
      <c r="U68" s="504"/>
      <c r="V68" s="504"/>
      <c r="W68" s="504"/>
      <c r="X68" s="504"/>
      <c r="Y68" s="504"/>
      <c r="Z68" s="504"/>
      <c r="AA68" s="504"/>
      <c r="AB68" s="504"/>
    </row>
    <row r="69" spans="1:28" x14ac:dyDescent="0.25">
      <c r="A69" s="1138">
        <v>60</v>
      </c>
      <c r="B69" s="1138" t="s">
        <v>11</v>
      </c>
      <c r="C69" s="1037" t="s">
        <v>88</v>
      </c>
      <c r="D69" s="926" t="s">
        <v>1005</v>
      </c>
      <c r="E69" s="1272" t="s">
        <v>14</v>
      </c>
      <c r="I69" s="917"/>
      <c r="K69" s="1174"/>
      <c r="L69" s="1022"/>
      <c r="M69" s="1175"/>
      <c r="S69" s="504"/>
      <c r="T69" s="504"/>
      <c r="U69" s="504"/>
      <c r="V69" s="504"/>
      <c r="W69" s="504"/>
      <c r="X69" s="504"/>
      <c r="Y69" s="504"/>
      <c r="Z69" s="504"/>
      <c r="AA69" s="504"/>
      <c r="AB69" s="504"/>
    </row>
    <row r="70" spans="1:28" x14ac:dyDescent="0.25">
      <c r="A70" s="1138">
        <v>61</v>
      </c>
      <c r="B70" s="1138" t="s">
        <v>11</v>
      </c>
      <c r="C70" s="1037" t="s">
        <v>88</v>
      </c>
      <c r="D70" s="923" t="s">
        <v>46</v>
      </c>
      <c r="E70" s="1290" t="s">
        <v>14</v>
      </c>
      <c r="I70" s="917"/>
      <c r="K70" s="1174"/>
      <c r="L70" s="1022"/>
      <c r="M70" s="1175"/>
      <c r="S70" s="504"/>
      <c r="T70" s="504"/>
      <c r="U70" s="504"/>
      <c r="V70" s="504"/>
      <c r="W70" s="504"/>
      <c r="X70" s="504"/>
      <c r="Y70" s="504"/>
      <c r="Z70" s="504"/>
      <c r="AA70" s="504"/>
      <c r="AB70" s="504"/>
    </row>
    <row r="71" spans="1:28" x14ac:dyDescent="0.25">
      <c r="A71" s="1138">
        <v>62</v>
      </c>
      <c r="B71" s="1138" t="s">
        <v>11</v>
      </c>
      <c r="C71" s="1037" t="s">
        <v>88</v>
      </c>
      <c r="I71" s="917"/>
      <c r="K71" s="1174"/>
      <c r="L71" s="1022"/>
      <c r="M71" s="1175"/>
      <c r="S71" s="504"/>
      <c r="T71" s="504"/>
      <c r="U71" s="504"/>
      <c r="V71" s="504"/>
      <c r="W71" s="504"/>
      <c r="X71" s="504"/>
      <c r="Y71" s="504"/>
      <c r="Z71" s="504"/>
      <c r="AA71" s="504"/>
      <c r="AB71" s="504"/>
    </row>
    <row r="72" spans="1:28" x14ac:dyDescent="0.25">
      <c r="A72" s="1138">
        <v>63</v>
      </c>
      <c r="B72" s="1138" t="s">
        <v>11</v>
      </c>
      <c r="C72" s="1037" t="s">
        <v>88</v>
      </c>
      <c r="D72" s="920" t="s">
        <v>1004</v>
      </c>
      <c r="E72" s="920" t="s">
        <v>1003</v>
      </c>
      <c r="F72" s="920" t="str">
        <f>HLOOKUP(C72,'Assessment References'!$H$512:$BG$513,2,FALSE)</f>
        <v xml:space="preserve">2, </v>
      </c>
      <c r="G72" s="919"/>
      <c r="H72" s="918"/>
      <c r="I72" s="917"/>
      <c r="K72" s="1174"/>
      <c r="L72" s="1022"/>
      <c r="M72" s="1175"/>
      <c r="S72" s="504"/>
      <c r="T72" s="504"/>
      <c r="U72" s="504"/>
      <c r="V72" s="504"/>
      <c r="W72" s="504"/>
      <c r="X72" s="504"/>
      <c r="Y72" s="504"/>
      <c r="Z72" s="504"/>
      <c r="AA72" s="504"/>
      <c r="AB72" s="504"/>
    </row>
    <row r="73" spans="1:28" x14ac:dyDescent="0.25">
      <c r="A73" s="1138">
        <v>64</v>
      </c>
      <c r="B73" s="1138" t="s">
        <v>11</v>
      </c>
      <c r="C73" s="1037" t="s">
        <v>88</v>
      </c>
      <c r="D73" s="1539"/>
      <c r="E73" s="1540"/>
      <c r="F73" s="1540"/>
      <c r="G73" s="1540"/>
      <c r="H73" s="1541"/>
      <c r="I73" s="917"/>
      <c r="K73" s="1174"/>
      <c r="L73" s="1022"/>
      <c r="M73" s="1175"/>
      <c r="S73" s="504"/>
      <c r="T73" s="504"/>
      <c r="U73" s="504"/>
      <c r="V73" s="504"/>
      <c r="W73" s="504"/>
      <c r="X73" s="504"/>
      <c r="Y73" s="504"/>
      <c r="Z73" s="504"/>
      <c r="AA73" s="504"/>
      <c r="AB73" s="504"/>
    </row>
    <row r="74" spans="1:28" x14ac:dyDescent="0.25">
      <c r="A74" s="1138">
        <v>65</v>
      </c>
      <c r="B74" s="1138" t="s">
        <v>11</v>
      </c>
      <c r="C74" s="1037" t="s">
        <v>88</v>
      </c>
      <c r="D74" s="1530"/>
      <c r="E74" s="1531"/>
      <c r="F74" s="1531"/>
      <c r="G74" s="1531"/>
      <c r="H74" s="1532"/>
      <c r="I74" s="917"/>
      <c r="K74" s="1174"/>
      <c r="L74" s="1022"/>
      <c r="M74" s="1175"/>
      <c r="S74" s="504"/>
      <c r="T74" s="504"/>
      <c r="U74" s="504"/>
      <c r="V74" s="504"/>
      <c r="W74" s="504"/>
      <c r="X74" s="504"/>
      <c r="Y74" s="504"/>
      <c r="Z74" s="504"/>
      <c r="AA74" s="504"/>
      <c r="AB74" s="504"/>
    </row>
    <row r="75" spans="1:28" x14ac:dyDescent="0.25">
      <c r="A75" s="1138">
        <v>66</v>
      </c>
      <c r="B75" s="1138" t="s">
        <v>11</v>
      </c>
      <c r="C75" s="1037" t="s">
        <v>88</v>
      </c>
      <c r="D75" s="1530"/>
      <c r="E75" s="1531"/>
      <c r="F75" s="1531"/>
      <c r="G75" s="1531"/>
      <c r="H75" s="1532"/>
      <c r="I75" s="917"/>
      <c r="K75" s="1174"/>
      <c r="L75" s="1022"/>
      <c r="M75" s="1175"/>
      <c r="S75" s="504"/>
      <c r="T75" s="504"/>
      <c r="U75" s="504"/>
      <c r="V75" s="504"/>
      <c r="W75" s="504"/>
      <c r="X75" s="504"/>
      <c r="Y75" s="504"/>
      <c r="Z75" s="504"/>
      <c r="AA75" s="504"/>
      <c r="AB75" s="504"/>
    </row>
    <row r="76" spans="1:28" x14ac:dyDescent="0.25">
      <c r="A76" s="1138">
        <v>67</v>
      </c>
      <c r="B76" s="1138" t="s">
        <v>11</v>
      </c>
      <c r="C76" s="1037" t="s">
        <v>88</v>
      </c>
      <c r="D76" s="1533"/>
      <c r="E76" s="1534"/>
      <c r="F76" s="1534"/>
      <c r="G76" s="1534"/>
      <c r="H76" s="1535"/>
      <c r="I76" s="917"/>
      <c r="K76" s="1174"/>
      <c r="L76" s="1022"/>
      <c r="M76" s="1175"/>
      <c r="S76" s="504"/>
      <c r="T76" s="504"/>
      <c r="U76" s="504"/>
      <c r="V76" s="504"/>
      <c r="W76" s="504"/>
      <c r="X76" s="504"/>
      <c r="Y76" s="504"/>
      <c r="Z76" s="504"/>
      <c r="AA76" s="504"/>
      <c r="AB76" s="504"/>
    </row>
    <row r="77" spans="1:28" x14ac:dyDescent="0.25">
      <c r="A77" s="1138">
        <v>68</v>
      </c>
      <c r="B77" s="1138" t="s">
        <v>11</v>
      </c>
      <c r="C77" s="1037" t="s">
        <v>88</v>
      </c>
      <c r="D77" s="1533"/>
      <c r="E77" s="1534"/>
      <c r="F77" s="1534"/>
      <c r="G77" s="1534"/>
      <c r="H77" s="1535"/>
      <c r="I77" s="917"/>
      <c r="K77" s="1174"/>
      <c r="L77" s="1022"/>
      <c r="M77" s="1175"/>
      <c r="S77" s="504"/>
      <c r="T77" s="504"/>
      <c r="U77" s="504"/>
      <c r="V77" s="504"/>
      <c r="W77" s="504"/>
      <c r="X77" s="504"/>
      <c r="Y77" s="504"/>
      <c r="Z77" s="504"/>
      <c r="AA77" s="504"/>
      <c r="AB77" s="504"/>
    </row>
    <row r="78" spans="1:28" x14ac:dyDescent="0.25">
      <c r="A78" s="1138">
        <v>69</v>
      </c>
      <c r="B78" s="1138" t="s">
        <v>11</v>
      </c>
      <c r="C78" s="1037" t="s">
        <v>88</v>
      </c>
      <c r="D78" s="1536"/>
      <c r="E78" s="1537"/>
      <c r="F78" s="1537"/>
      <c r="G78" s="1537"/>
      <c r="H78" s="1538"/>
      <c r="I78" s="917"/>
      <c r="K78" s="1174"/>
      <c r="L78" s="1022"/>
      <c r="M78" s="1175"/>
      <c r="S78" s="504"/>
      <c r="T78" s="504"/>
      <c r="U78" s="504"/>
      <c r="V78" s="504"/>
      <c r="W78" s="504"/>
      <c r="X78" s="504"/>
      <c r="Y78" s="504"/>
      <c r="Z78" s="504"/>
      <c r="AA78" s="504"/>
      <c r="AB78" s="504"/>
    </row>
    <row r="79" spans="1:28" x14ac:dyDescent="0.25">
      <c r="A79" s="1138">
        <v>70</v>
      </c>
      <c r="B79" s="1138" t="s">
        <v>11</v>
      </c>
      <c r="C79" s="1037" t="s">
        <v>88</v>
      </c>
      <c r="D79" s="920"/>
      <c r="E79" s="919"/>
      <c r="F79" s="919"/>
      <c r="G79" s="919"/>
      <c r="H79" s="918"/>
      <c r="I79" s="917"/>
      <c r="K79" s="1174"/>
      <c r="L79" s="1022"/>
      <c r="M79" s="1175"/>
      <c r="S79" s="504"/>
      <c r="T79" s="504"/>
      <c r="U79" s="504"/>
      <c r="V79" s="504"/>
      <c r="W79" s="504"/>
      <c r="X79" s="504"/>
      <c r="Y79" s="504"/>
      <c r="Z79" s="504"/>
      <c r="AA79" s="504"/>
      <c r="AB79" s="504"/>
    </row>
    <row r="80" spans="1:28" x14ac:dyDescent="0.25">
      <c r="A80" s="1138">
        <v>71</v>
      </c>
      <c r="B80" s="1139" t="s">
        <v>11</v>
      </c>
      <c r="C80" s="950" t="s">
        <v>89</v>
      </c>
      <c r="D80" s="1015" t="s">
        <v>329</v>
      </c>
      <c r="E80" s="1014"/>
      <c r="F80" s="1014"/>
      <c r="G80" s="1013"/>
      <c r="H80" s="1066"/>
      <c r="I80" s="917"/>
      <c r="K80" s="1174"/>
      <c r="L80" s="1022"/>
      <c r="M80" s="1175"/>
      <c r="V80" s="504"/>
      <c r="W80" s="504"/>
      <c r="X80" s="504"/>
      <c r="Y80" s="504"/>
      <c r="Z80" s="504"/>
      <c r="AA80" s="504"/>
      <c r="AB80" s="504"/>
    </row>
    <row r="81" spans="1:33" x14ac:dyDescent="0.25">
      <c r="A81" s="1138">
        <v>72</v>
      </c>
      <c r="B81" s="1138" t="s">
        <v>11</v>
      </c>
      <c r="C81" s="1037" t="s">
        <v>89</v>
      </c>
      <c r="D81" s="946" t="s">
        <v>15</v>
      </c>
      <c r="E81" s="1264">
        <f>Man03_credits</f>
        <v>7</v>
      </c>
      <c r="F81" s="945"/>
      <c r="G81" s="944" t="s">
        <v>76</v>
      </c>
      <c r="H81" s="1266">
        <f>Man03_12</f>
        <v>4.3333333333333335E-2</v>
      </c>
      <c r="I81" s="917"/>
      <c r="K81" s="1174"/>
      <c r="L81" s="1022"/>
      <c r="M81" s="1175"/>
      <c r="S81" s="504"/>
      <c r="T81" s="504"/>
      <c r="U81" s="504"/>
      <c r="V81" s="504"/>
      <c r="W81" s="504"/>
      <c r="X81" s="504"/>
      <c r="Y81" s="504"/>
      <c r="Z81" s="504"/>
      <c r="AA81" s="504"/>
      <c r="AB81" s="504"/>
    </row>
    <row r="82" spans="1:33" x14ac:dyDescent="0.25">
      <c r="A82" s="1138">
        <v>73</v>
      </c>
      <c r="B82" s="1138" t="s">
        <v>11</v>
      </c>
      <c r="C82" s="1037" t="s">
        <v>89</v>
      </c>
      <c r="D82" s="972" t="s">
        <v>1011</v>
      </c>
      <c r="E82" s="1265">
        <f>Inn01_credits</f>
        <v>1</v>
      </c>
      <c r="F82" s="941"/>
      <c r="G82" s="940" t="s">
        <v>1010</v>
      </c>
      <c r="H82" s="1267" t="s">
        <v>12</v>
      </c>
      <c r="I82" s="917"/>
      <c r="K82" s="1174"/>
      <c r="L82" s="1022"/>
      <c r="M82" s="1175"/>
      <c r="S82" s="504"/>
      <c r="T82" s="504"/>
      <c r="U82" s="504"/>
      <c r="V82" s="504"/>
      <c r="W82" s="504"/>
      <c r="X82" s="504"/>
      <c r="Y82" s="504"/>
      <c r="Z82" s="504"/>
      <c r="AA82" s="504"/>
      <c r="AB82" s="504"/>
    </row>
    <row r="83" spans="1:33" x14ac:dyDescent="0.25">
      <c r="A83" s="1138">
        <v>74</v>
      </c>
      <c r="B83" s="1138" t="s">
        <v>11</v>
      </c>
      <c r="C83" s="1037" t="s">
        <v>89</v>
      </c>
      <c r="I83" s="917"/>
      <c r="K83" s="1174"/>
      <c r="L83" s="1022"/>
      <c r="M83" s="1175"/>
      <c r="S83" s="504"/>
      <c r="T83" s="504"/>
      <c r="U83" s="504"/>
      <c r="V83" s="504"/>
      <c r="W83" s="504"/>
      <c r="X83" s="504"/>
      <c r="Y83" s="504"/>
      <c r="Z83" s="504"/>
      <c r="AA83" s="504"/>
      <c r="AB83" s="504"/>
    </row>
    <row r="84" spans="1:33" ht="15.75" thickBot="1" x14ac:dyDescent="0.3">
      <c r="A84" s="1138">
        <v>75</v>
      </c>
      <c r="B84" s="1138" t="s">
        <v>11</v>
      </c>
      <c r="C84" s="1037" t="s">
        <v>89</v>
      </c>
      <c r="D84" s="938" t="s">
        <v>1210</v>
      </c>
      <c r="E84" s="937" t="s">
        <v>1008</v>
      </c>
      <c r="F84" s="937" t="s">
        <v>1007</v>
      </c>
      <c r="G84" s="937" t="s">
        <v>1006</v>
      </c>
      <c r="H84" s="937" t="s">
        <v>1014</v>
      </c>
      <c r="I84" s="917"/>
      <c r="K84" s="1174"/>
      <c r="L84" s="1022"/>
      <c r="M84" s="1175"/>
      <c r="S84" s="504"/>
      <c r="T84" s="504"/>
      <c r="U84" s="504"/>
      <c r="V84" s="504"/>
      <c r="W84" s="504"/>
      <c r="X84" s="504"/>
      <c r="Y84" s="504"/>
      <c r="Z84" s="504"/>
      <c r="AA84" s="504"/>
      <c r="AB84" s="504"/>
    </row>
    <row r="85" spans="1:33" ht="15.75" thickBot="1" x14ac:dyDescent="0.3">
      <c r="A85" s="1138">
        <v>76</v>
      </c>
      <c r="B85" s="1138" t="s">
        <v>11</v>
      </c>
      <c r="C85" s="1037" t="s">
        <v>89</v>
      </c>
      <c r="D85" s="982" t="s">
        <v>1413</v>
      </c>
      <c r="E85" s="1276" t="s">
        <v>316</v>
      </c>
      <c r="F85" s="1288">
        <f>Poeng!AB20</f>
        <v>1</v>
      </c>
      <c r="G85" s="1288">
        <f>IF(E85=AIS_Yes,F85,0)</f>
        <v>0</v>
      </c>
      <c r="H85" s="1025" t="s">
        <v>14</v>
      </c>
      <c r="I85" s="917"/>
      <c r="K85" s="1174"/>
      <c r="L85" s="1022"/>
      <c r="M85" s="1175"/>
      <c r="S85" s="62" t="s">
        <v>1015</v>
      </c>
      <c r="T85"/>
      <c r="U85"/>
      <c r="V85"/>
      <c r="W85"/>
      <c r="X85"/>
      <c r="Y85" t="str">
        <f>$X$4</f>
        <v>No</v>
      </c>
      <c r="Z85"/>
      <c r="AA85"/>
      <c r="AB85"/>
      <c r="AC85"/>
      <c r="AD85"/>
      <c r="AE85"/>
      <c r="AF85"/>
      <c r="AG85"/>
    </row>
    <row r="86" spans="1:33" x14ac:dyDescent="0.25">
      <c r="A86" s="1138">
        <v>77</v>
      </c>
      <c r="B86" s="1138" t="s">
        <v>11</v>
      </c>
      <c r="C86" s="1037" t="s">
        <v>89</v>
      </c>
      <c r="I86" s="917"/>
      <c r="K86" s="1174"/>
      <c r="L86" s="1022"/>
      <c r="M86" s="1175"/>
      <c r="S86"/>
      <c r="T86"/>
      <c r="U86"/>
      <c r="V86"/>
      <c r="W86"/>
      <c r="X86"/>
      <c r="Y86"/>
      <c r="Z86"/>
      <c r="AA86"/>
      <c r="AB86"/>
      <c r="AC86"/>
      <c r="AD86"/>
      <c r="AE86"/>
      <c r="AF86"/>
    </row>
    <row r="87" spans="1:33" ht="15.75" thickBot="1" x14ac:dyDescent="0.3">
      <c r="A87" s="1138">
        <v>78</v>
      </c>
      <c r="B87" s="1138" t="s">
        <v>11</v>
      </c>
      <c r="C87" s="1037" t="s">
        <v>89</v>
      </c>
      <c r="D87" s="938" t="s">
        <v>1414</v>
      </c>
      <c r="E87" s="937" t="s">
        <v>1008</v>
      </c>
      <c r="F87" s="937" t="s">
        <v>1007</v>
      </c>
      <c r="G87" s="937" t="s">
        <v>1006</v>
      </c>
      <c r="H87" s="937" t="s">
        <v>1014</v>
      </c>
      <c r="I87" s="917"/>
      <c r="K87" s="1174"/>
      <c r="L87" s="1022"/>
      <c r="M87" s="1175"/>
      <c r="S87"/>
      <c r="T87"/>
      <c r="U87"/>
      <c r="V87"/>
      <c r="W87"/>
      <c r="X87"/>
      <c r="Y87"/>
      <c r="Z87"/>
      <c r="AA87"/>
      <c r="AB87"/>
      <c r="AC87"/>
      <c r="AD87"/>
      <c r="AE87"/>
      <c r="AF87"/>
    </row>
    <row r="88" spans="1:33" ht="15.75" thickBot="1" x14ac:dyDescent="0.3">
      <c r="A88" s="1138">
        <v>79</v>
      </c>
      <c r="B88" s="1138" t="s">
        <v>11</v>
      </c>
      <c r="C88" s="1037" t="s">
        <v>89</v>
      </c>
      <c r="D88" s="1239" t="s">
        <v>1201</v>
      </c>
      <c r="E88" s="1276" t="s">
        <v>316</v>
      </c>
      <c r="F88" s="1288">
        <f>Poeng!AB21</f>
        <v>1</v>
      </c>
      <c r="G88" s="1288">
        <f>IF(E88=AIS_Yes,F88,0)</f>
        <v>0</v>
      </c>
      <c r="H88" s="1025" t="s">
        <v>14</v>
      </c>
      <c r="I88" s="917"/>
      <c r="K88" s="1174"/>
      <c r="L88" s="1022"/>
      <c r="M88" s="1175"/>
      <c r="S88" s="62" t="s">
        <v>1015</v>
      </c>
      <c r="T88"/>
      <c r="U88"/>
      <c r="V88"/>
      <c r="W88"/>
      <c r="X88"/>
      <c r="Y88" t="str">
        <f>$X$4</f>
        <v>No</v>
      </c>
      <c r="Z88"/>
      <c r="AA88"/>
      <c r="AB88"/>
      <c r="AC88"/>
      <c r="AD88"/>
      <c r="AE88"/>
      <c r="AF88"/>
      <c r="AG88"/>
    </row>
    <row r="89" spans="1:33" x14ac:dyDescent="0.25">
      <c r="A89" s="1138">
        <v>80</v>
      </c>
      <c r="B89" s="1138" t="s">
        <v>11</v>
      </c>
      <c r="C89" s="1037" t="s">
        <v>89</v>
      </c>
      <c r="I89" s="917"/>
      <c r="K89" s="1174"/>
      <c r="L89" s="1022"/>
      <c r="M89" s="1175"/>
      <c r="S89"/>
      <c r="T89"/>
      <c r="U89"/>
      <c r="V89"/>
      <c r="W89"/>
      <c r="X89"/>
      <c r="Y89"/>
      <c r="Z89"/>
      <c r="AA89"/>
      <c r="AB89"/>
      <c r="AC89"/>
      <c r="AD89"/>
      <c r="AE89"/>
      <c r="AF89"/>
    </row>
    <row r="90" spans="1:33" ht="15.75" customHeight="1" thickBot="1" x14ac:dyDescent="0.3">
      <c r="A90" s="1138">
        <v>81</v>
      </c>
      <c r="B90" s="1138" t="s">
        <v>11</v>
      </c>
      <c r="C90" s="1037" t="s">
        <v>89</v>
      </c>
      <c r="D90" s="938" t="s">
        <v>1415</v>
      </c>
      <c r="E90" s="937" t="s">
        <v>1008</v>
      </c>
      <c r="F90" s="937" t="s">
        <v>1007</v>
      </c>
      <c r="G90" s="937" t="s">
        <v>1006</v>
      </c>
      <c r="H90" s="937" t="s">
        <v>1014</v>
      </c>
      <c r="I90" s="917"/>
      <c r="K90" s="1174"/>
      <c r="L90" s="1022"/>
      <c r="M90" s="1175"/>
      <c r="S90"/>
      <c r="T90"/>
      <c r="U90"/>
      <c r="V90"/>
      <c r="W90"/>
      <c r="X90"/>
      <c r="Y90"/>
      <c r="Z90"/>
      <c r="AA90"/>
      <c r="AB90"/>
      <c r="AC90"/>
      <c r="AD90"/>
      <c r="AE90"/>
      <c r="AF90"/>
    </row>
    <row r="91" spans="1:33" ht="15.75" customHeight="1" x14ac:dyDescent="0.25">
      <c r="A91" s="1138">
        <v>82</v>
      </c>
      <c r="B91" s="1138" t="s">
        <v>11</v>
      </c>
      <c r="C91" s="1037" t="s">
        <v>89</v>
      </c>
      <c r="D91" s="1168" t="str">
        <f>Poeng!E22</f>
        <v>Considerate contruction: clean and tidy building process and checklist A1 (EU taxonomy requirement: criterion 5-6)</v>
      </c>
      <c r="E91" s="1277" t="s">
        <v>316</v>
      </c>
      <c r="F91" s="1286">
        <f>Poeng!AB22</f>
        <v>1</v>
      </c>
      <c r="G91" s="1286">
        <f>IF(E91=AIS_Yes,F91,0)</f>
        <v>0</v>
      </c>
      <c r="H91" s="1286" t="s">
        <v>14</v>
      </c>
      <c r="I91" s="917"/>
      <c r="K91" s="1174"/>
      <c r="L91" s="1022"/>
      <c r="M91" s="1175"/>
      <c r="S91" s="62" t="s">
        <v>1015</v>
      </c>
      <c r="T91"/>
      <c r="U91"/>
      <c r="V91"/>
      <c r="W91"/>
      <c r="X91"/>
      <c r="Y91" t="str">
        <f>$X$4</f>
        <v>No</v>
      </c>
      <c r="Z91"/>
      <c r="AA91"/>
      <c r="AB91"/>
      <c r="AC91"/>
      <c r="AD91"/>
      <c r="AE91"/>
      <c r="AF91"/>
      <c r="AG91"/>
    </row>
    <row r="92" spans="1:33" ht="15.75" customHeight="1" thickBot="1" x14ac:dyDescent="0.3">
      <c r="A92" s="1138">
        <v>83</v>
      </c>
      <c r="B92" s="1138" t="s">
        <v>11</v>
      </c>
      <c r="C92" s="1037" t="s">
        <v>89</v>
      </c>
      <c r="D92" s="1170" t="str">
        <f>Poeng!E23</f>
        <v>Considerate contruction: INSTA 800 and checklist A1 (EU taxonomy requirement: criterion 7-9)</v>
      </c>
      <c r="E92" s="1278" t="s">
        <v>316</v>
      </c>
      <c r="F92" s="1287">
        <f>Poeng!AB23</f>
        <v>1</v>
      </c>
      <c r="G92" s="1287">
        <f>IF(E92=AIS_Yes,F92,0)</f>
        <v>0</v>
      </c>
      <c r="H92" s="1287" t="s">
        <v>14</v>
      </c>
      <c r="I92" s="917"/>
      <c r="K92" s="1174"/>
      <c r="L92" s="1022"/>
      <c r="M92" s="1175"/>
      <c r="S92" s="62" t="s">
        <v>1015</v>
      </c>
      <c r="T92"/>
      <c r="U92"/>
      <c r="V92"/>
      <c r="W92"/>
      <c r="X92"/>
      <c r="Y92" t="str">
        <f>$X$4</f>
        <v>No</v>
      </c>
      <c r="Z92"/>
      <c r="AA92"/>
      <c r="AB92"/>
      <c r="AC92"/>
      <c r="AD92"/>
      <c r="AE92"/>
      <c r="AF92"/>
      <c r="AG92"/>
    </row>
    <row r="93" spans="1:33" ht="15.75" customHeight="1" x14ac:dyDescent="0.25">
      <c r="A93" s="1138">
        <v>84</v>
      </c>
      <c r="B93" s="1138" t="s">
        <v>11</v>
      </c>
      <c r="C93" s="1037" t="s">
        <v>89</v>
      </c>
      <c r="I93" s="917"/>
      <c r="K93" s="1174"/>
      <c r="L93" s="1022"/>
      <c r="M93" s="1175"/>
      <c r="S93"/>
      <c r="T93"/>
      <c r="U93"/>
      <c r="V93"/>
      <c r="W93"/>
      <c r="X93"/>
      <c r="Y93"/>
      <c r="Z93"/>
      <c r="AA93"/>
      <c r="AB93"/>
      <c r="AC93"/>
      <c r="AD93"/>
      <c r="AE93"/>
      <c r="AF93"/>
    </row>
    <row r="94" spans="1:33" ht="15.75" customHeight="1" thickBot="1" x14ac:dyDescent="0.3">
      <c r="A94" s="1138">
        <v>85</v>
      </c>
      <c r="B94" s="1138" t="s">
        <v>11</v>
      </c>
      <c r="C94" s="1037" t="s">
        <v>89</v>
      </c>
      <c r="D94" s="938" t="s">
        <v>1416</v>
      </c>
      <c r="E94" s="937" t="s">
        <v>1008</v>
      </c>
      <c r="F94" s="937" t="s">
        <v>1007</v>
      </c>
      <c r="G94" s="937" t="s">
        <v>1006</v>
      </c>
      <c r="H94" s="937" t="s">
        <v>1014</v>
      </c>
      <c r="I94" s="917"/>
      <c r="K94" s="1174"/>
      <c r="L94" s="1022"/>
      <c r="M94" s="1175"/>
      <c r="S94"/>
      <c r="T94"/>
      <c r="U94"/>
      <c r="V94"/>
      <c r="W94"/>
      <c r="X94"/>
      <c r="Y94"/>
      <c r="Z94"/>
      <c r="AA94"/>
      <c r="AB94"/>
      <c r="AC94"/>
      <c r="AD94"/>
      <c r="AE94"/>
      <c r="AF94"/>
    </row>
    <row r="95" spans="1:33" ht="15.75" customHeight="1" x14ac:dyDescent="0.25">
      <c r="A95" s="1138">
        <v>86</v>
      </c>
      <c r="B95" s="1138" t="s">
        <v>11</v>
      </c>
      <c r="C95" s="1037" t="s">
        <v>89</v>
      </c>
      <c r="D95" s="936" t="s">
        <v>1417</v>
      </c>
      <c r="E95" s="1277" t="s">
        <v>316</v>
      </c>
      <c r="F95" s="1280">
        <f>Poeng!AB24</f>
        <v>1</v>
      </c>
      <c r="G95" s="1280">
        <f>IF(AND(E95=AIS_Yes,E96=AIS_Yes),F95,0)</f>
        <v>0</v>
      </c>
      <c r="H95" s="1056" t="s">
        <v>14</v>
      </c>
      <c r="I95" s="917"/>
      <c r="K95" s="1174" t="s">
        <v>1421</v>
      </c>
      <c r="L95" s="1022"/>
      <c r="M95" s="1175"/>
      <c r="S95" s="62" t="s">
        <v>1015</v>
      </c>
      <c r="T95"/>
      <c r="U95"/>
      <c r="V95"/>
      <c r="W95"/>
      <c r="X95"/>
      <c r="Y95" t="str">
        <f>$X$4</f>
        <v>No</v>
      </c>
      <c r="Z95"/>
      <c r="AA95"/>
      <c r="AB95"/>
      <c r="AC95"/>
      <c r="AD95"/>
      <c r="AE95"/>
      <c r="AF95"/>
      <c r="AG95"/>
    </row>
    <row r="96" spans="1:33" ht="15.75" customHeight="1" x14ac:dyDescent="0.25">
      <c r="A96" s="1138">
        <v>87</v>
      </c>
      <c r="B96" s="1138" t="s">
        <v>11</v>
      </c>
      <c r="C96" s="1037" t="s">
        <v>89</v>
      </c>
      <c r="D96" s="1167" t="s">
        <v>1419</v>
      </c>
      <c r="E96" s="1279" t="s">
        <v>316</v>
      </c>
      <c r="F96" s="1281"/>
      <c r="G96" s="1281"/>
      <c r="H96" s="1282"/>
      <c r="I96" s="917"/>
      <c r="K96" s="1174" t="str">
        <f>IF(AND(E95=AIS_Yes,E96=AIS_Yes,KPI_02=""),"If data not available then insert INA (i.e. Indicator not assessed)","")</f>
        <v/>
      </c>
      <c r="L96" s="1022"/>
      <c r="M96" s="1175"/>
      <c r="S96" s="62" t="s">
        <v>1015</v>
      </c>
      <c r="T96"/>
      <c r="U96"/>
      <c r="V96"/>
      <c r="W96"/>
      <c r="X96"/>
      <c r="Y96" t="str">
        <f>$X$4</f>
        <v>No</v>
      </c>
      <c r="Z96"/>
      <c r="AA96"/>
      <c r="AB96"/>
      <c r="AC96"/>
      <c r="AD96"/>
      <c r="AE96"/>
      <c r="AF96"/>
      <c r="AG96"/>
    </row>
    <row r="97" spans="1:33" ht="15.75" customHeight="1" x14ac:dyDescent="0.25">
      <c r="A97" s="1138">
        <v>88</v>
      </c>
      <c r="B97" s="1138" t="s">
        <v>11</v>
      </c>
      <c r="C97" s="1037" t="s">
        <v>89</v>
      </c>
      <c r="D97" s="988" t="s">
        <v>1418</v>
      </c>
      <c r="E97" s="1279" t="s">
        <v>316</v>
      </c>
      <c r="F97" s="1283">
        <f>Poeng!AB25</f>
        <v>2</v>
      </c>
      <c r="G97" s="1283">
        <f>IF(AND(E97=AIS_Yes,E98=AIS_Yes),F97,0)</f>
        <v>0</v>
      </c>
      <c r="H97" s="1283" t="s">
        <v>14</v>
      </c>
      <c r="I97" s="917"/>
      <c r="K97" s="1174"/>
      <c r="L97" s="1022"/>
      <c r="M97" s="1175"/>
      <c r="S97" s="62" t="s">
        <v>1015</v>
      </c>
      <c r="T97"/>
      <c r="U97"/>
      <c r="V97"/>
      <c r="W97"/>
      <c r="X97"/>
      <c r="Y97" t="str">
        <f>$X$4</f>
        <v>No</v>
      </c>
      <c r="Z97"/>
      <c r="AA97"/>
      <c r="AB97"/>
      <c r="AC97"/>
      <c r="AD97"/>
      <c r="AE97"/>
      <c r="AF97"/>
      <c r="AG97"/>
    </row>
    <row r="98" spans="1:33" ht="15.75" customHeight="1" thickBot="1" x14ac:dyDescent="0.3">
      <c r="A98" s="1138">
        <v>89</v>
      </c>
      <c r="B98" s="1138" t="s">
        <v>11</v>
      </c>
      <c r="C98" s="1037" t="s">
        <v>89</v>
      </c>
      <c r="D98" s="929" t="s">
        <v>1420</v>
      </c>
      <c r="E98" s="1278" t="s">
        <v>316</v>
      </c>
      <c r="F98" s="1284"/>
      <c r="G98" s="1284"/>
      <c r="H98" s="1285"/>
      <c r="I98" s="917"/>
      <c r="K98" s="1174"/>
      <c r="L98" s="1022"/>
      <c r="M98" s="1175"/>
      <c r="S98" s="62" t="s">
        <v>1015</v>
      </c>
      <c r="T98"/>
      <c r="U98"/>
      <c r="V98"/>
      <c r="W98"/>
      <c r="X98"/>
      <c r="Y98" t="str">
        <f>$X$4</f>
        <v>No</v>
      </c>
      <c r="Z98"/>
      <c r="AA98"/>
      <c r="AB98"/>
      <c r="AC98"/>
      <c r="AD98"/>
      <c r="AE98"/>
      <c r="AF98"/>
      <c r="AG98"/>
    </row>
    <row r="99" spans="1:33" ht="15.75" customHeight="1" x14ac:dyDescent="0.25">
      <c r="A99" s="1138">
        <v>90</v>
      </c>
      <c r="B99" s="1138" t="s">
        <v>11</v>
      </c>
      <c r="C99" s="1037" t="s">
        <v>89</v>
      </c>
      <c r="I99" s="917"/>
      <c r="K99" s="1174"/>
      <c r="L99" s="1022"/>
      <c r="M99" s="1175"/>
      <c r="S99" s="504"/>
      <c r="T99" s="504"/>
      <c r="U99" s="504"/>
      <c r="V99" s="504"/>
      <c r="W99" s="504"/>
      <c r="X99" s="504"/>
      <c r="Y99" s="504"/>
      <c r="Z99" s="504"/>
      <c r="AA99" s="504"/>
      <c r="AB99" s="504"/>
    </row>
    <row r="100" spans="1:33" ht="15.75" customHeight="1" thickBot="1" x14ac:dyDescent="0.3">
      <c r="A100" s="1138">
        <v>91</v>
      </c>
      <c r="B100" s="1138" t="s">
        <v>11</v>
      </c>
      <c r="C100" s="1037" t="s">
        <v>89</v>
      </c>
      <c r="D100" s="938" t="s">
        <v>1848</v>
      </c>
      <c r="E100" s="937"/>
      <c r="I100" s="917"/>
      <c r="K100" s="1174"/>
      <c r="L100" s="1022"/>
      <c r="M100" s="1175"/>
      <c r="S100" s="504"/>
      <c r="T100" s="504"/>
      <c r="U100" s="504"/>
      <c r="V100" s="504"/>
      <c r="W100" s="504"/>
      <c r="X100" s="504"/>
      <c r="Y100" s="504"/>
      <c r="Z100" s="504"/>
      <c r="AA100" s="504"/>
      <c r="AB100" s="504"/>
    </row>
    <row r="101" spans="1:33" ht="15.75" customHeight="1" thickBot="1" x14ac:dyDescent="0.3">
      <c r="A101" s="1138">
        <v>92</v>
      </c>
      <c r="B101" s="1138" t="s">
        <v>11</v>
      </c>
      <c r="C101" s="1037" t="s">
        <v>89</v>
      </c>
      <c r="D101" s="1239" t="s">
        <v>1849</v>
      </c>
      <c r="E101" s="1420"/>
      <c r="F101" s="375" t="s">
        <v>1111</v>
      </c>
      <c r="I101" s="917"/>
      <c r="K101" s="1174"/>
      <c r="L101" s="1022"/>
      <c r="M101" s="1175"/>
      <c r="S101" s="504"/>
      <c r="T101" s="504"/>
      <c r="U101" s="504"/>
      <c r="V101" s="504"/>
      <c r="W101" s="504"/>
      <c r="X101" s="504"/>
      <c r="Y101" s="504"/>
      <c r="Z101" s="504"/>
      <c r="AA101" s="504"/>
      <c r="AB101" s="504"/>
    </row>
    <row r="102" spans="1:33" ht="15.75" customHeight="1" x14ac:dyDescent="0.25">
      <c r="A102" s="1138">
        <v>93</v>
      </c>
      <c r="B102" s="1138" t="s">
        <v>11</v>
      </c>
      <c r="C102" s="1037" t="s">
        <v>89</v>
      </c>
      <c r="I102" s="917"/>
      <c r="K102" s="1174"/>
      <c r="L102" s="1022"/>
      <c r="M102" s="1175"/>
      <c r="S102" s="504"/>
      <c r="T102" s="504"/>
      <c r="U102" s="504"/>
      <c r="V102" s="504"/>
      <c r="W102" s="504"/>
      <c r="X102" s="504"/>
      <c r="Y102" s="504"/>
      <c r="Z102" s="504"/>
      <c r="AA102" s="504"/>
      <c r="AB102" s="504"/>
    </row>
    <row r="103" spans="1:33" ht="15.75" customHeight="1" thickBot="1" x14ac:dyDescent="0.3">
      <c r="A103" s="1138">
        <v>94</v>
      </c>
      <c r="B103" s="1138" t="s">
        <v>11</v>
      </c>
      <c r="C103" s="1037" t="s">
        <v>89</v>
      </c>
      <c r="D103" s="938" t="s">
        <v>1030</v>
      </c>
      <c r="E103" s="937"/>
      <c r="I103" s="917"/>
      <c r="K103" s="1174"/>
      <c r="L103" s="1022"/>
      <c r="M103" s="1175"/>
    </row>
    <row r="104" spans="1:33" ht="15.75" customHeight="1" thickBot="1" x14ac:dyDescent="0.3">
      <c r="A104" s="1138">
        <v>95</v>
      </c>
      <c r="B104" s="1138" t="s">
        <v>11</v>
      </c>
      <c r="C104" s="1037" t="s">
        <v>89</v>
      </c>
      <c r="D104" s="1239" t="s">
        <v>1842</v>
      </c>
      <c r="E104" s="1240" t="s">
        <v>316</v>
      </c>
      <c r="I104" s="917"/>
      <c r="K104" s="1174"/>
      <c r="L104" s="1022"/>
      <c r="M104" s="1175"/>
    </row>
    <row r="105" spans="1:33" ht="15.75" customHeight="1" x14ac:dyDescent="0.25">
      <c r="A105" s="1138">
        <v>96</v>
      </c>
      <c r="B105" s="1138" t="s">
        <v>11</v>
      </c>
      <c r="C105" s="1037" t="s">
        <v>89</v>
      </c>
      <c r="D105" s="985"/>
      <c r="E105" s="1289"/>
      <c r="I105" s="917"/>
      <c r="K105" s="1174"/>
      <c r="L105" s="1022"/>
      <c r="M105" s="1175"/>
    </row>
    <row r="106" spans="1:33" ht="15.75" customHeight="1" thickBot="1" x14ac:dyDescent="0.3">
      <c r="A106" s="1138">
        <v>97</v>
      </c>
      <c r="B106" s="1138" t="s">
        <v>11</v>
      </c>
      <c r="C106" s="1037" t="s">
        <v>89</v>
      </c>
      <c r="D106" s="938" t="s">
        <v>1771</v>
      </c>
      <c r="E106" s="937"/>
      <c r="I106" s="917"/>
      <c r="K106" s="1174"/>
      <c r="L106" s="1022"/>
      <c r="M106" s="1175"/>
    </row>
    <row r="107" spans="1:33" ht="15.75" customHeight="1" x14ac:dyDescent="0.25">
      <c r="A107" s="1138">
        <v>98</v>
      </c>
      <c r="B107" s="1138" t="s">
        <v>11</v>
      </c>
      <c r="C107" s="1037" t="s">
        <v>89</v>
      </c>
      <c r="D107" s="1168" t="s">
        <v>1902</v>
      </c>
      <c r="E107" s="1083"/>
      <c r="F107" s="375" t="s">
        <v>1191</v>
      </c>
      <c r="G107" s="994"/>
      <c r="I107" s="917"/>
      <c r="K107" s="1174"/>
      <c r="L107" s="1022"/>
      <c r="M107" s="1175"/>
    </row>
    <row r="108" spans="1:33" ht="15.75" customHeight="1" x14ac:dyDescent="0.25">
      <c r="A108" s="1138">
        <v>99</v>
      </c>
      <c r="B108" s="1138" t="s">
        <v>11</v>
      </c>
      <c r="C108" s="1037" t="s">
        <v>89</v>
      </c>
      <c r="D108" s="1169" t="s">
        <v>1422</v>
      </c>
      <c r="E108" s="970"/>
      <c r="F108" s="375" t="s">
        <v>1181</v>
      </c>
      <c r="I108" s="917"/>
      <c r="K108" s="1174"/>
      <c r="L108" s="1022"/>
      <c r="M108" s="1175"/>
    </row>
    <row r="109" spans="1:33" ht="15.75" customHeight="1" x14ac:dyDescent="0.25">
      <c r="A109" s="1138">
        <v>100</v>
      </c>
      <c r="B109" s="1138" t="s">
        <v>11</v>
      </c>
      <c r="C109" s="1037" t="s">
        <v>89</v>
      </c>
      <c r="D109" s="1169" t="s">
        <v>1903</v>
      </c>
      <c r="E109" s="970"/>
      <c r="F109" s="375" t="s">
        <v>1191</v>
      </c>
      <c r="I109" s="917"/>
      <c r="K109" s="1174"/>
      <c r="L109" s="1022"/>
      <c r="M109" s="1175"/>
    </row>
    <row r="110" spans="1:33" ht="15.75" customHeight="1" x14ac:dyDescent="0.25">
      <c r="A110" s="1138">
        <v>101</v>
      </c>
      <c r="B110" s="1138" t="s">
        <v>11</v>
      </c>
      <c r="C110" s="1037" t="s">
        <v>89</v>
      </c>
      <c r="D110" s="1169" t="s">
        <v>1423</v>
      </c>
      <c r="E110" s="970"/>
      <c r="F110" s="375" t="s">
        <v>1181</v>
      </c>
      <c r="I110" s="917"/>
      <c r="K110" s="1174"/>
      <c r="L110" s="1022"/>
      <c r="M110" s="1175"/>
    </row>
    <row r="111" spans="1:33" ht="15.75" customHeight="1" x14ac:dyDescent="0.25">
      <c r="A111" s="1138">
        <v>102</v>
      </c>
      <c r="B111" s="1138" t="s">
        <v>11</v>
      </c>
      <c r="C111" s="1037" t="s">
        <v>89</v>
      </c>
      <c r="D111" s="1169" t="s">
        <v>1424</v>
      </c>
      <c r="E111" s="970"/>
      <c r="F111" s="375" t="s">
        <v>1167</v>
      </c>
      <c r="I111" s="917"/>
      <c r="K111" s="1174"/>
      <c r="L111" s="1022"/>
      <c r="M111" s="1175"/>
    </row>
    <row r="112" spans="1:33" ht="15.75" customHeight="1" x14ac:dyDescent="0.25">
      <c r="A112" s="1138">
        <v>103</v>
      </c>
      <c r="B112" s="1138" t="s">
        <v>11</v>
      </c>
      <c r="C112" s="1037" t="s">
        <v>89</v>
      </c>
      <c r="D112" s="1169" t="s">
        <v>1425</v>
      </c>
      <c r="E112" s="970"/>
      <c r="F112" s="375" t="s">
        <v>1167</v>
      </c>
      <c r="I112" s="917"/>
      <c r="K112" s="1174"/>
      <c r="L112" s="1022"/>
      <c r="M112" s="1175"/>
    </row>
    <row r="113" spans="1:28" ht="15.75" customHeight="1" thickBot="1" x14ac:dyDescent="0.3">
      <c r="A113" s="1138">
        <v>104</v>
      </c>
      <c r="B113" s="1138" t="s">
        <v>11</v>
      </c>
      <c r="C113" s="1037" t="s">
        <v>89</v>
      </c>
      <c r="D113" s="1170" t="s">
        <v>1426</v>
      </c>
      <c r="E113" s="1499">
        <f>IFERROR(1-(E112/E111),0)</f>
        <v>0</v>
      </c>
      <c r="F113" s="375" t="s">
        <v>1111</v>
      </c>
      <c r="I113" s="917"/>
      <c r="K113" s="1174"/>
      <c r="L113" s="1022"/>
      <c r="M113" s="1175"/>
    </row>
    <row r="114" spans="1:28" ht="15.75" customHeight="1" x14ac:dyDescent="0.25">
      <c r="A114" s="1138">
        <v>105</v>
      </c>
      <c r="B114" s="1138" t="s">
        <v>11</v>
      </c>
      <c r="C114" s="1037" t="s">
        <v>89</v>
      </c>
      <c r="I114" s="917"/>
      <c r="K114" s="1174"/>
      <c r="L114" s="1022"/>
      <c r="M114" s="1175"/>
    </row>
    <row r="115" spans="1:28" ht="15.75" customHeight="1" thickBot="1" x14ac:dyDescent="0.3">
      <c r="A115" s="1138">
        <v>106</v>
      </c>
      <c r="B115" s="1138" t="s">
        <v>11</v>
      </c>
      <c r="C115" s="1037" t="s">
        <v>89</v>
      </c>
      <c r="D115" s="938" t="s">
        <v>1772</v>
      </c>
      <c r="E115" s="937"/>
      <c r="I115" s="917"/>
      <c r="K115" s="1174"/>
      <c r="L115" s="1022"/>
      <c r="M115" s="1175"/>
    </row>
    <row r="116" spans="1:28" ht="15.75" customHeight="1" x14ac:dyDescent="0.25">
      <c r="A116" s="1138">
        <v>107</v>
      </c>
      <c r="B116" s="1138" t="s">
        <v>11</v>
      </c>
      <c r="C116" s="1037" t="s">
        <v>89</v>
      </c>
      <c r="D116" s="1168" t="s">
        <v>1427</v>
      </c>
      <c r="E116" s="990"/>
      <c r="F116" s="375" t="s">
        <v>1167</v>
      </c>
      <c r="G116" s="994" t="str">
        <f>IF(AND(E1412=AIS_Yes,E95=AIS_Yes,E96=AIS_Yes,KPI_10=""),"If data not available then insert INA (i.e. Indicator not assessed)","")</f>
        <v/>
      </c>
      <c r="I116" s="917"/>
      <c r="K116" s="1174"/>
      <c r="L116" s="1022"/>
      <c r="M116" s="1175"/>
    </row>
    <row r="117" spans="1:28" ht="15.75" customHeight="1" x14ac:dyDescent="0.25">
      <c r="A117" s="1138">
        <v>108</v>
      </c>
      <c r="B117" s="1138" t="s">
        <v>11</v>
      </c>
      <c r="C117" s="1037" t="s">
        <v>89</v>
      </c>
      <c r="D117" s="1169" t="s">
        <v>1428</v>
      </c>
      <c r="E117" s="970"/>
      <c r="F117" s="375" t="s">
        <v>1167</v>
      </c>
      <c r="G117" s="994"/>
      <c r="I117" s="917"/>
      <c r="K117" s="1174"/>
      <c r="L117" s="1022"/>
      <c r="M117" s="1175"/>
    </row>
    <row r="118" spans="1:28" ht="15.75" customHeight="1" x14ac:dyDescent="0.25">
      <c r="A118" s="1138">
        <v>109</v>
      </c>
      <c r="B118" s="1138" t="s">
        <v>11</v>
      </c>
      <c r="C118" s="1037" t="s">
        <v>89</v>
      </c>
      <c r="D118" s="1169" t="s">
        <v>1429</v>
      </c>
      <c r="E118" s="970"/>
      <c r="F118" s="375" t="s">
        <v>1167</v>
      </c>
      <c r="G118" s="994"/>
      <c r="I118" s="917"/>
      <c r="K118" s="1174"/>
      <c r="L118" s="1022"/>
      <c r="M118" s="1175"/>
    </row>
    <row r="119" spans="1:28" ht="15.75" customHeight="1" x14ac:dyDescent="0.25">
      <c r="A119" s="1138">
        <v>110</v>
      </c>
      <c r="B119" s="1138" t="s">
        <v>11</v>
      </c>
      <c r="C119" s="1037" t="s">
        <v>89</v>
      </c>
      <c r="D119" s="1169" t="s">
        <v>1430</v>
      </c>
      <c r="E119" s="970"/>
      <c r="F119" s="375" t="s">
        <v>1167</v>
      </c>
      <c r="G119" s="994"/>
      <c r="I119" s="917"/>
      <c r="K119" s="1174"/>
      <c r="L119" s="1022"/>
      <c r="M119" s="1175"/>
    </row>
    <row r="120" spans="1:28" ht="15.75" customHeight="1" thickBot="1" x14ac:dyDescent="0.3">
      <c r="A120" s="1138">
        <v>111</v>
      </c>
      <c r="B120" s="1138" t="s">
        <v>11</v>
      </c>
      <c r="C120" s="1037" t="s">
        <v>89</v>
      </c>
      <c r="D120" s="1170" t="s">
        <v>1431</v>
      </c>
      <c r="E120" s="1499">
        <f>IFERROR(1-((KPI_12+KPI_13)/(KPI_10+E117)),0)</f>
        <v>0</v>
      </c>
      <c r="F120" s="375" t="s">
        <v>1111</v>
      </c>
      <c r="G120" s="994"/>
      <c r="I120" s="917"/>
      <c r="K120" s="1174"/>
      <c r="L120" s="1022"/>
      <c r="M120" s="1175"/>
    </row>
    <row r="121" spans="1:28" ht="15.75" customHeight="1" x14ac:dyDescent="0.25">
      <c r="A121" s="1138">
        <v>112</v>
      </c>
      <c r="B121" s="1138" t="s">
        <v>11</v>
      </c>
      <c r="C121" s="1037" t="s">
        <v>89</v>
      </c>
      <c r="I121" s="917"/>
      <c r="K121" s="1174"/>
      <c r="L121" s="1022"/>
      <c r="M121" s="1175"/>
    </row>
    <row r="122" spans="1:28" ht="15.75" customHeight="1" x14ac:dyDescent="0.25">
      <c r="A122" s="1138">
        <v>113</v>
      </c>
      <c r="B122" s="1138" t="s">
        <v>11</v>
      </c>
      <c r="C122" s="1037" t="s">
        <v>89</v>
      </c>
      <c r="D122" s="958" t="s">
        <v>1012</v>
      </c>
      <c r="E122" s="1272">
        <f>G85+G88+G91+G92+G95+G97</f>
        <v>0</v>
      </c>
      <c r="F122" s="192"/>
      <c r="I122" s="917"/>
      <c r="K122" s="1174"/>
      <c r="L122" s="1022"/>
      <c r="M122" s="1175"/>
      <c r="S122" s="504"/>
      <c r="T122" s="504"/>
      <c r="U122" s="504"/>
      <c r="V122" s="504"/>
      <c r="W122" s="504"/>
      <c r="X122" s="504"/>
      <c r="Y122" s="504"/>
      <c r="Z122" s="504"/>
      <c r="AA122" s="504"/>
      <c r="AB122" s="504"/>
    </row>
    <row r="123" spans="1:28" x14ac:dyDescent="0.25">
      <c r="A123" s="1138">
        <v>114</v>
      </c>
      <c r="B123" s="1138" t="s">
        <v>11</v>
      </c>
      <c r="C123" s="1037" t="s">
        <v>89</v>
      </c>
      <c r="D123" s="924" t="s">
        <v>77</v>
      </c>
      <c r="E123" s="1273">
        <f>Man03_18</f>
        <v>0</v>
      </c>
      <c r="I123" s="917"/>
      <c r="K123" s="1174"/>
      <c r="L123" s="1022"/>
      <c r="M123" s="1175"/>
      <c r="S123" s="504"/>
      <c r="T123" s="504"/>
      <c r="U123" s="504"/>
      <c r="V123" s="504"/>
      <c r="W123" s="504"/>
      <c r="X123" s="504"/>
      <c r="Y123" s="504"/>
      <c r="Z123" s="504"/>
      <c r="AA123" s="504"/>
      <c r="AB123" s="504"/>
    </row>
    <row r="124" spans="1:28" x14ac:dyDescent="0.25">
      <c r="A124" s="1138">
        <v>115</v>
      </c>
      <c r="B124" s="1138" t="s">
        <v>11</v>
      </c>
      <c r="C124" s="1037" t="s">
        <v>89</v>
      </c>
      <c r="D124" s="926" t="s">
        <v>1005</v>
      </c>
      <c r="E124" s="1272">
        <f>IF(E101="",0,IF(E101&lt;=0.1,E82,0))</f>
        <v>0</v>
      </c>
      <c r="I124" s="917"/>
      <c r="K124" s="1174"/>
      <c r="L124" s="1022"/>
      <c r="M124" s="1175"/>
      <c r="S124" s="504"/>
      <c r="T124" s="504"/>
      <c r="U124" s="504"/>
      <c r="V124" s="504"/>
      <c r="W124" s="504"/>
      <c r="X124" s="504"/>
      <c r="Y124" s="504"/>
      <c r="Z124" s="504"/>
      <c r="AA124" s="504"/>
      <c r="AB124" s="504"/>
    </row>
    <row r="125" spans="1:28" x14ac:dyDescent="0.25">
      <c r="A125" s="1138">
        <v>116</v>
      </c>
      <c r="B125" s="1138" t="s">
        <v>11</v>
      </c>
      <c r="C125" s="1037" t="s">
        <v>89</v>
      </c>
      <c r="D125" s="923" t="s">
        <v>46</v>
      </c>
      <c r="E125" s="1290" t="str">
        <f>VLOOKUP(MIN(Poeng!BD19:BD25),Poeng!$BO$285:$BP$291,2,FALSE)</f>
        <v>Unclassified</v>
      </c>
      <c r="I125" s="917"/>
      <c r="K125" s="1174"/>
      <c r="L125" s="1022"/>
      <c r="M125" s="1175"/>
      <c r="S125" s="504"/>
      <c r="T125" s="504"/>
      <c r="U125" s="504"/>
      <c r="V125" s="504"/>
      <c r="W125" s="504"/>
      <c r="X125" s="504"/>
      <c r="Y125" s="504"/>
      <c r="Z125" s="504"/>
      <c r="AA125" s="504"/>
      <c r="AB125" s="504"/>
    </row>
    <row r="126" spans="1:28" x14ac:dyDescent="0.25">
      <c r="A126" s="1138">
        <v>117</v>
      </c>
      <c r="B126" s="1138" t="s">
        <v>11</v>
      </c>
      <c r="C126" s="1037" t="s">
        <v>89</v>
      </c>
      <c r="I126" s="917"/>
      <c r="K126" s="1174"/>
      <c r="L126" s="1022"/>
      <c r="M126" s="1175"/>
      <c r="S126" s="504"/>
      <c r="T126" s="504"/>
      <c r="U126" s="504"/>
      <c r="V126" s="504"/>
      <c r="W126" s="504"/>
      <c r="X126" s="504"/>
      <c r="Y126" s="504"/>
      <c r="Z126" s="504"/>
      <c r="AA126" s="504"/>
      <c r="AB126" s="504"/>
    </row>
    <row r="127" spans="1:28" x14ac:dyDescent="0.25">
      <c r="A127" s="1138">
        <v>118</v>
      </c>
      <c r="B127" s="1138" t="s">
        <v>11</v>
      </c>
      <c r="C127" s="1037" t="s">
        <v>89</v>
      </c>
      <c r="D127" s="920" t="s">
        <v>1004</v>
      </c>
      <c r="E127" s="920" t="s">
        <v>1003</v>
      </c>
      <c r="F127" s="920" t="str">
        <f>HLOOKUP(C127,'Assessment References'!$H$512:$BG$513,2,FALSE)</f>
        <v/>
      </c>
      <c r="G127" s="919"/>
      <c r="H127" s="918"/>
      <c r="I127" s="917"/>
      <c r="K127" s="1174"/>
      <c r="L127" s="1022"/>
      <c r="M127" s="1175"/>
      <c r="S127" s="504"/>
      <c r="T127" s="504"/>
      <c r="U127" s="504"/>
      <c r="V127" s="504"/>
      <c r="W127" s="504"/>
      <c r="X127" s="504"/>
      <c r="Y127" s="504"/>
      <c r="Z127" s="504"/>
      <c r="AA127" s="504"/>
      <c r="AB127" s="504"/>
    </row>
    <row r="128" spans="1:28" x14ac:dyDescent="0.25">
      <c r="A128" s="1138">
        <v>119</v>
      </c>
      <c r="B128" s="1138" t="s">
        <v>11</v>
      </c>
      <c r="C128" s="1037" t="s">
        <v>89</v>
      </c>
      <c r="D128" s="1539"/>
      <c r="E128" s="1540"/>
      <c r="F128" s="1540"/>
      <c r="G128" s="1540"/>
      <c r="H128" s="1541"/>
      <c r="I128" s="917"/>
      <c r="K128" s="1174"/>
      <c r="L128" s="1022"/>
      <c r="M128" s="1175"/>
      <c r="S128" s="504"/>
      <c r="T128" s="504"/>
      <c r="U128" s="504"/>
      <c r="V128" s="504"/>
      <c r="W128" s="504"/>
      <c r="X128" s="504"/>
      <c r="Y128" s="504"/>
      <c r="Z128" s="504"/>
      <c r="AA128" s="504"/>
      <c r="AB128" s="504"/>
    </row>
    <row r="129" spans="1:28" x14ac:dyDescent="0.25">
      <c r="A129" s="1138">
        <v>120</v>
      </c>
      <c r="B129" s="1138" t="s">
        <v>11</v>
      </c>
      <c r="C129" s="1037" t="s">
        <v>89</v>
      </c>
      <c r="D129" s="1530"/>
      <c r="E129" s="1531"/>
      <c r="F129" s="1531"/>
      <c r="G129" s="1531"/>
      <c r="H129" s="1532"/>
      <c r="I129" s="917"/>
      <c r="K129" s="1174"/>
      <c r="L129" s="1022"/>
      <c r="M129" s="1175"/>
      <c r="S129" s="504"/>
      <c r="T129" s="504"/>
      <c r="U129" s="504"/>
      <c r="V129" s="504"/>
      <c r="W129" s="504"/>
      <c r="X129" s="504"/>
      <c r="Y129" s="504"/>
      <c r="Z129" s="504"/>
      <c r="AA129" s="504"/>
      <c r="AB129" s="504"/>
    </row>
    <row r="130" spans="1:28" x14ac:dyDescent="0.25">
      <c r="A130" s="1138">
        <v>121</v>
      </c>
      <c r="B130" s="1138" t="s">
        <v>11</v>
      </c>
      <c r="C130" s="1037" t="s">
        <v>89</v>
      </c>
      <c r="D130" s="1530"/>
      <c r="E130" s="1531"/>
      <c r="F130" s="1531"/>
      <c r="G130" s="1531"/>
      <c r="H130" s="1532"/>
      <c r="I130" s="917"/>
      <c r="K130" s="1174"/>
      <c r="L130" s="1022"/>
      <c r="M130" s="1175"/>
      <c r="S130" s="504"/>
      <c r="T130" s="504"/>
      <c r="U130" s="504"/>
      <c r="V130" s="504"/>
      <c r="W130" s="504"/>
      <c r="X130" s="504"/>
      <c r="Y130" s="504"/>
      <c r="Z130" s="504"/>
      <c r="AA130" s="504"/>
      <c r="AB130" s="504"/>
    </row>
    <row r="131" spans="1:28" x14ac:dyDescent="0.25">
      <c r="A131" s="1138">
        <v>122</v>
      </c>
      <c r="B131" s="1138" t="s">
        <v>11</v>
      </c>
      <c r="C131" s="1037" t="s">
        <v>89</v>
      </c>
      <c r="D131" s="1533"/>
      <c r="E131" s="1534"/>
      <c r="F131" s="1534"/>
      <c r="G131" s="1534"/>
      <c r="H131" s="1535"/>
      <c r="I131" s="917"/>
      <c r="K131" s="1174"/>
      <c r="L131" s="1022"/>
      <c r="M131" s="1175"/>
      <c r="S131" s="504"/>
      <c r="T131" s="504"/>
      <c r="U131" s="504"/>
      <c r="V131" s="504"/>
      <c r="W131" s="504"/>
      <c r="X131" s="504"/>
      <c r="Y131" s="504"/>
      <c r="Z131" s="504"/>
      <c r="AA131" s="504"/>
      <c r="AB131" s="504"/>
    </row>
    <row r="132" spans="1:28" x14ac:dyDescent="0.25">
      <c r="A132" s="1138">
        <v>123</v>
      </c>
      <c r="B132" s="1138" t="s">
        <v>11</v>
      </c>
      <c r="C132" s="1037" t="s">
        <v>89</v>
      </c>
      <c r="D132" s="1533"/>
      <c r="E132" s="1534"/>
      <c r="F132" s="1534"/>
      <c r="G132" s="1534"/>
      <c r="H132" s="1535"/>
      <c r="I132" s="917"/>
      <c r="K132" s="1174"/>
      <c r="L132" s="1022"/>
      <c r="M132" s="1175"/>
      <c r="S132" s="504"/>
      <c r="T132" s="504"/>
      <c r="U132" s="504"/>
      <c r="V132" s="504"/>
      <c r="W132" s="504"/>
      <c r="X132" s="504"/>
      <c r="Y132" s="504"/>
      <c r="Z132" s="504"/>
      <c r="AA132" s="504"/>
      <c r="AB132" s="504"/>
    </row>
    <row r="133" spans="1:28" x14ac:dyDescent="0.25">
      <c r="A133" s="1138">
        <v>124</v>
      </c>
      <c r="B133" s="1138" t="s">
        <v>11</v>
      </c>
      <c r="C133" s="1037" t="s">
        <v>89</v>
      </c>
      <c r="D133" s="1536"/>
      <c r="E133" s="1537"/>
      <c r="F133" s="1537"/>
      <c r="G133" s="1537"/>
      <c r="H133" s="1538"/>
      <c r="I133" s="917"/>
      <c r="K133" s="1174"/>
      <c r="L133" s="1022"/>
      <c r="M133" s="1175"/>
      <c r="S133" s="504"/>
      <c r="T133" s="504"/>
      <c r="U133" s="504"/>
      <c r="V133" s="504"/>
      <c r="W133" s="504"/>
      <c r="X133" s="504"/>
      <c r="Y133" s="504"/>
      <c r="Z133" s="504"/>
      <c r="AA133" s="504"/>
      <c r="AB133" s="504"/>
    </row>
    <row r="134" spans="1:28" x14ac:dyDescent="0.25">
      <c r="A134" s="1138">
        <v>125</v>
      </c>
      <c r="B134" s="1138" t="s">
        <v>11</v>
      </c>
      <c r="C134" s="1037" t="s">
        <v>89</v>
      </c>
      <c r="I134" s="917"/>
      <c r="K134" s="1174"/>
      <c r="L134" s="1022"/>
      <c r="M134" s="1175"/>
      <c r="S134" s="504"/>
      <c r="T134" s="504"/>
      <c r="U134" s="504"/>
      <c r="V134" s="504"/>
      <c r="W134" s="504"/>
      <c r="X134" s="504"/>
      <c r="Y134" s="504"/>
      <c r="Z134" s="504"/>
      <c r="AA134" s="504"/>
      <c r="AB134" s="504"/>
    </row>
    <row r="135" spans="1:28" x14ac:dyDescent="0.25">
      <c r="A135" s="1138">
        <v>126</v>
      </c>
      <c r="B135" s="1139" t="s">
        <v>11</v>
      </c>
      <c r="C135" s="950" t="s">
        <v>90</v>
      </c>
      <c r="D135" s="1015" t="s">
        <v>330</v>
      </c>
      <c r="E135" s="1014"/>
      <c r="F135" s="1014"/>
      <c r="G135" s="1013"/>
      <c r="H135" s="1066"/>
      <c r="I135" s="917"/>
      <c r="K135" s="1174"/>
      <c r="L135" s="1022"/>
      <c r="M135" s="1175"/>
      <c r="S135" s="504"/>
      <c r="T135" s="504"/>
      <c r="U135" s="504"/>
      <c r="V135" s="504"/>
      <c r="W135" s="504"/>
      <c r="X135" s="504"/>
      <c r="Y135" s="504"/>
      <c r="Z135" s="504"/>
      <c r="AA135" s="504"/>
      <c r="AB135" s="504"/>
    </row>
    <row r="136" spans="1:28" x14ac:dyDescent="0.25">
      <c r="A136" s="1138">
        <v>127</v>
      </c>
      <c r="B136" s="1138" t="s">
        <v>11</v>
      </c>
      <c r="C136" s="1037" t="s">
        <v>90</v>
      </c>
      <c r="D136" s="946" t="s">
        <v>15</v>
      </c>
      <c r="E136" s="1264">
        <f>Man04_credits</f>
        <v>3</v>
      </c>
      <c r="F136" s="945"/>
      <c r="G136" s="944" t="s">
        <v>76</v>
      </c>
      <c r="H136" s="1266">
        <f>Man04_17</f>
        <v>1.8571428571428572E-2</v>
      </c>
      <c r="I136" s="917"/>
      <c r="K136" s="1174"/>
      <c r="L136" s="1022"/>
      <c r="M136" s="1175"/>
      <c r="S136" s="504"/>
      <c r="T136" s="504"/>
      <c r="U136" s="504"/>
      <c r="V136" s="504"/>
      <c r="W136" s="504"/>
      <c r="X136" s="504"/>
      <c r="Y136" s="504"/>
      <c r="Z136" s="504"/>
      <c r="AA136" s="504"/>
      <c r="AB136" s="504"/>
    </row>
    <row r="137" spans="1:28" x14ac:dyDescent="0.25">
      <c r="A137" s="1138">
        <v>128</v>
      </c>
      <c r="B137" s="1138" t="s">
        <v>11</v>
      </c>
      <c r="C137" s="1037" t="s">
        <v>90</v>
      </c>
      <c r="D137" s="972" t="s">
        <v>1011</v>
      </c>
      <c r="E137" s="1265">
        <v>0</v>
      </c>
      <c r="F137" s="941"/>
      <c r="G137" s="940" t="s">
        <v>1010</v>
      </c>
      <c r="H137" s="1267" t="s">
        <v>12</v>
      </c>
      <c r="I137" s="917"/>
      <c r="K137" s="1174"/>
      <c r="L137" s="1022"/>
      <c r="M137" s="1175"/>
      <c r="S137" s="504"/>
      <c r="T137" s="504"/>
      <c r="U137" s="504"/>
      <c r="V137" s="504"/>
      <c r="W137" s="504"/>
      <c r="X137" s="504"/>
      <c r="Y137" s="504"/>
      <c r="Z137" s="504"/>
      <c r="AA137" s="504"/>
      <c r="AB137" s="504"/>
    </row>
    <row r="138" spans="1:28" x14ac:dyDescent="0.25">
      <c r="A138" s="1138">
        <v>129</v>
      </c>
      <c r="B138" s="1138" t="s">
        <v>11</v>
      </c>
      <c r="C138" s="1037" t="s">
        <v>90</v>
      </c>
      <c r="I138" s="917"/>
      <c r="K138" s="1174"/>
      <c r="L138" s="1022"/>
      <c r="M138" s="1175"/>
      <c r="S138" s="504"/>
      <c r="T138" s="504"/>
      <c r="U138" s="504"/>
      <c r="V138" s="504"/>
      <c r="W138" s="504"/>
      <c r="X138" s="504"/>
      <c r="Y138" s="504"/>
      <c r="Z138" s="504"/>
      <c r="AA138" s="504"/>
      <c r="AB138" s="504"/>
    </row>
    <row r="139" spans="1:28" ht="15.75" thickBot="1" x14ac:dyDescent="0.3">
      <c r="A139" s="1138">
        <v>130</v>
      </c>
      <c r="B139" s="1138" t="s">
        <v>11</v>
      </c>
      <c r="C139" s="1037" t="s">
        <v>90</v>
      </c>
      <c r="D139" s="938" t="s">
        <v>1009</v>
      </c>
      <c r="E139" s="937" t="s">
        <v>1008</v>
      </c>
      <c r="F139" s="937" t="s">
        <v>1007</v>
      </c>
      <c r="G139" s="937" t="s">
        <v>1006</v>
      </c>
      <c r="H139" s="937" t="s">
        <v>1014</v>
      </c>
      <c r="I139" s="917"/>
      <c r="K139" s="1174"/>
      <c r="L139" s="1022"/>
      <c r="M139" s="1175"/>
      <c r="S139" s="504"/>
      <c r="T139" s="504"/>
      <c r="U139" s="504"/>
      <c r="V139" s="504"/>
      <c r="W139" s="504"/>
      <c r="X139" s="504"/>
      <c r="Y139" s="504"/>
      <c r="Z139" s="504"/>
      <c r="AA139" s="504"/>
      <c r="AB139" s="504"/>
    </row>
    <row r="140" spans="1:28" x14ac:dyDescent="0.25">
      <c r="A140" s="1138">
        <v>131</v>
      </c>
      <c r="B140" s="1138" t="s">
        <v>11</v>
      </c>
      <c r="C140" s="1037" t="s">
        <v>90</v>
      </c>
      <c r="D140" s="936" t="str">
        <f>Poeng!E27</f>
        <v xml:space="preserve">Commissioning - testing schedule and responsibilities </v>
      </c>
      <c r="E140" s="1268" t="s">
        <v>316</v>
      </c>
      <c r="F140" s="1223">
        <f>Poeng!AB27</f>
        <v>1</v>
      </c>
      <c r="G140" s="1223">
        <f>IF(E140=AIS_Yes,F140,0)</f>
        <v>0</v>
      </c>
      <c r="H140" s="1057" t="s">
        <v>14</v>
      </c>
      <c r="I140" s="917"/>
      <c r="K140" s="1174"/>
      <c r="L140" s="1022"/>
      <c r="M140" s="1175"/>
      <c r="S140" s="62" t="s">
        <v>1015</v>
      </c>
      <c r="T140"/>
      <c r="U140"/>
      <c r="V140"/>
      <c r="W140"/>
      <c r="X140"/>
      <c r="Y140" t="str">
        <f>$X$4</f>
        <v>No</v>
      </c>
      <c r="Z140" s="504"/>
      <c r="AA140" s="504"/>
      <c r="AB140" s="504"/>
    </row>
    <row r="141" spans="1:28" x14ac:dyDescent="0.25">
      <c r="A141" s="1138">
        <v>132</v>
      </c>
      <c r="B141" s="1138" t="s">
        <v>11</v>
      </c>
      <c r="C141" s="1037" t="s">
        <v>90</v>
      </c>
      <c r="D141" s="988" t="str">
        <f>Poeng!E28</f>
        <v>Commissioning - design, preperation and implementation</v>
      </c>
      <c r="E141" s="1269" t="s">
        <v>316</v>
      </c>
      <c r="F141" s="1270">
        <f>Poeng!AB28</f>
        <v>1</v>
      </c>
      <c r="G141" s="1270">
        <f>IF(E141=AIS_Yes,F141,0)</f>
        <v>0</v>
      </c>
      <c r="H141" s="987" t="s">
        <v>14</v>
      </c>
      <c r="I141" s="917"/>
      <c r="K141" s="1174"/>
      <c r="L141" s="1022"/>
      <c r="M141" s="1175"/>
      <c r="S141" s="62" t="s">
        <v>1015</v>
      </c>
      <c r="T141"/>
      <c r="U141"/>
      <c r="V141"/>
      <c r="W141"/>
      <c r="X141"/>
      <c r="Y141" t="str">
        <f>$X$4</f>
        <v>No</v>
      </c>
      <c r="Z141" s="504"/>
      <c r="AA141" s="504"/>
      <c r="AB141" s="504"/>
    </row>
    <row r="142" spans="1:28" ht="15.75" thickBot="1" x14ac:dyDescent="0.3">
      <c r="A142" s="1138">
        <v>133</v>
      </c>
      <c r="B142" s="1138" t="s">
        <v>11</v>
      </c>
      <c r="C142" s="1037" t="s">
        <v>90</v>
      </c>
      <c r="D142" s="929" t="str">
        <f>Poeng!E29</f>
        <v>Prepare for good handover</v>
      </c>
      <c r="E142" s="1275" t="s">
        <v>316</v>
      </c>
      <c r="F142" s="1227">
        <f>Poeng!AB29</f>
        <v>1</v>
      </c>
      <c r="G142" s="1227">
        <f>IF(E142=AIS_Yes,F142,0)</f>
        <v>0</v>
      </c>
      <c r="H142" s="986" t="s">
        <v>14</v>
      </c>
      <c r="I142" s="917"/>
      <c r="K142" s="1174"/>
      <c r="L142" s="1022"/>
      <c r="M142" s="1175"/>
      <c r="S142" s="62" t="s">
        <v>1015</v>
      </c>
      <c r="T142"/>
      <c r="U142"/>
      <c r="V142"/>
      <c r="W142"/>
      <c r="X142"/>
      <c r="Y142" t="str">
        <f>$X$4</f>
        <v>No</v>
      </c>
      <c r="Z142" s="504"/>
      <c r="AA142" s="504"/>
      <c r="AB142" s="504"/>
    </row>
    <row r="143" spans="1:28" x14ac:dyDescent="0.25">
      <c r="A143" s="1138">
        <v>134</v>
      </c>
      <c r="B143" s="1138" t="s">
        <v>11</v>
      </c>
      <c r="C143" s="1037" t="s">
        <v>90</v>
      </c>
      <c r="I143" s="917"/>
      <c r="K143" s="1174"/>
      <c r="L143" s="1022"/>
      <c r="M143" s="1175"/>
      <c r="S143" s="504"/>
      <c r="T143" s="504"/>
      <c r="U143" s="504"/>
      <c r="V143" s="504"/>
      <c r="W143" s="504"/>
      <c r="X143" s="504"/>
      <c r="Y143" s="504"/>
      <c r="Z143" s="504"/>
      <c r="AA143" s="504"/>
      <c r="AB143" s="504"/>
    </row>
    <row r="144" spans="1:28" ht="15.75" thickBot="1" x14ac:dyDescent="0.3">
      <c r="A144" s="1138">
        <v>135</v>
      </c>
      <c r="B144" s="1138" t="s">
        <v>11</v>
      </c>
      <c r="C144" s="1037" t="s">
        <v>90</v>
      </c>
      <c r="D144" s="938" t="s">
        <v>1572</v>
      </c>
      <c r="E144" s="937"/>
      <c r="I144" s="917"/>
      <c r="K144" s="1174"/>
      <c r="L144" s="1022"/>
      <c r="M144" s="1175"/>
      <c r="S144" s="504"/>
      <c r="T144" s="504"/>
      <c r="U144" s="504"/>
      <c r="V144" s="504"/>
      <c r="W144" s="504"/>
      <c r="X144" s="504"/>
      <c r="Y144" s="504"/>
      <c r="Z144" s="504"/>
      <c r="AA144" s="504"/>
      <c r="AB144" s="504"/>
    </row>
    <row r="145" spans="1:28" ht="15.75" thickBot="1" x14ac:dyDescent="0.3">
      <c r="A145" s="1138">
        <v>136</v>
      </c>
      <c r="B145" s="1138" t="s">
        <v>11</v>
      </c>
      <c r="C145" s="1037" t="s">
        <v>90</v>
      </c>
      <c r="D145" s="1239" t="s">
        <v>1592</v>
      </c>
      <c r="E145" s="1240" t="s">
        <v>316</v>
      </c>
      <c r="I145" s="917"/>
      <c r="K145" s="1174"/>
      <c r="L145" s="1022"/>
      <c r="M145" s="1175"/>
      <c r="S145" s="504"/>
      <c r="T145" s="504"/>
      <c r="U145" s="504"/>
      <c r="V145" s="504"/>
      <c r="W145" s="504"/>
      <c r="X145" s="504"/>
      <c r="Y145" s="504"/>
      <c r="Z145" s="504"/>
      <c r="AA145" s="504"/>
      <c r="AB145" s="504"/>
    </row>
    <row r="146" spans="1:28" x14ac:dyDescent="0.25">
      <c r="A146" s="1138">
        <v>137</v>
      </c>
      <c r="B146" s="1138" t="s">
        <v>11</v>
      </c>
      <c r="C146" s="1037" t="s">
        <v>90</v>
      </c>
      <c r="I146" s="917"/>
      <c r="K146" s="1174"/>
      <c r="L146" s="1022"/>
      <c r="M146" s="1175"/>
      <c r="S146" s="504"/>
      <c r="T146" s="504"/>
      <c r="U146" s="504"/>
      <c r="V146" s="504"/>
      <c r="W146" s="504"/>
      <c r="X146" s="504"/>
      <c r="Y146" s="504"/>
      <c r="Z146" s="504"/>
      <c r="AA146" s="504"/>
      <c r="AB146" s="504"/>
    </row>
    <row r="147" spans="1:28" x14ac:dyDescent="0.25">
      <c r="A147" s="1138">
        <v>138</v>
      </c>
      <c r="B147" s="1138" t="s">
        <v>11</v>
      </c>
      <c r="C147" s="1037" t="s">
        <v>90</v>
      </c>
      <c r="D147" s="958" t="s">
        <v>1012</v>
      </c>
      <c r="E147" s="1272">
        <f>IF((G140+G141+G142)&gt;E136,E136,G140+G141+G142)</f>
        <v>0</v>
      </c>
      <c r="I147" s="917"/>
      <c r="K147" s="1174"/>
      <c r="L147" s="1022"/>
      <c r="M147" s="1175"/>
      <c r="S147" s="504"/>
      <c r="T147" s="504"/>
      <c r="U147" s="504"/>
      <c r="V147" s="504"/>
      <c r="W147" s="504"/>
      <c r="X147" s="504"/>
      <c r="Y147" s="504"/>
      <c r="Z147" s="504"/>
      <c r="AA147" s="504"/>
      <c r="AB147" s="504"/>
    </row>
    <row r="148" spans="1:28" x14ac:dyDescent="0.25">
      <c r="A148" s="1138">
        <v>139</v>
      </c>
      <c r="B148" s="1138" t="s">
        <v>11</v>
      </c>
      <c r="C148" s="1037" t="s">
        <v>90</v>
      </c>
      <c r="D148" s="924" t="s">
        <v>77</v>
      </c>
      <c r="E148" s="1273">
        <f>Man04_cont</f>
        <v>0</v>
      </c>
      <c r="I148" s="917"/>
      <c r="K148" s="1174"/>
      <c r="L148" s="1022"/>
      <c r="M148" s="1175"/>
      <c r="S148" s="504"/>
      <c r="T148" s="504"/>
      <c r="U148" s="504"/>
      <c r="V148" s="504"/>
      <c r="W148" s="504"/>
      <c r="X148" s="504"/>
      <c r="Y148" s="504"/>
      <c r="Z148" s="504"/>
      <c r="AA148" s="504"/>
      <c r="AB148" s="504"/>
    </row>
    <row r="149" spans="1:28" x14ac:dyDescent="0.25">
      <c r="A149" s="1138">
        <v>140</v>
      </c>
      <c r="B149" s="1138" t="s">
        <v>11</v>
      </c>
      <c r="C149" s="1037" t="s">
        <v>90</v>
      </c>
      <c r="D149" s="926" t="s">
        <v>1005</v>
      </c>
      <c r="E149" s="1272" t="s">
        <v>14</v>
      </c>
      <c r="I149" s="917"/>
      <c r="K149" s="1174"/>
      <c r="L149" s="1022"/>
      <c r="M149" s="1175"/>
      <c r="S149" s="504"/>
      <c r="T149" s="504"/>
      <c r="U149" s="504"/>
      <c r="V149" s="504"/>
      <c r="W149" s="504"/>
      <c r="X149" s="504"/>
      <c r="Y149" s="504"/>
      <c r="Z149" s="504"/>
      <c r="AA149" s="504"/>
      <c r="AB149" s="504"/>
    </row>
    <row r="150" spans="1:28" x14ac:dyDescent="0.25">
      <c r="A150" s="1138">
        <v>141</v>
      </c>
      <c r="B150" s="1138" t="s">
        <v>11</v>
      </c>
      <c r="C150" s="1037" t="s">
        <v>90</v>
      </c>
      <c r="D150" s="923" t="s">
        <v>46</v>
      </c>
      <c r="E150" s="1290" t="str">
        <f>VLOOKUP(MIN(Poeng!BD26:BD29),Poeng!$BO$285:$BP$291,2,FALSE)</f>
        <v>Unclassified</v>
      </c>
      <c r="I150" s="917"/>
      <c r="K150" s="1174"/>
      <c r="L150" s="1022"/>
      <c r="M150" s="1175"/>
      <c r="S150" s="504"/>
      <c r="T150" s="504"/>
      <c r="U150" s="504"/>
      <c r="V150" s="504"/>
      <c r="W150" s="504"/>
      <c r="X150" s="504"/>
      <c r="Y150" s="504"/>
      <c r="Z150" s="504"/>
      <c r="AA150" s="504"/>
      <c r="AB150" s="504"/>
    </row>
    <row r="151" spans="1:28" x14ac:dyDescent="0.25">
      <c r="A151" s="1138">
        <v>142</v>
      </c>
      <c r="B151" s="1138" t="s">
        <v>11</v>
      </c>
      <c r="C151" s="1037" t="s">
        <v>90</v>
      </c>
      <c r="I151" s="917"/>
      <c r="K151" s="1174"/>
      <c r="L151" s="1022"/>
      <c r="M151" s="1175"/>
      <c r="S151" s="504"/>
      <c r="T151" s="504"/>
      <c r="U151" s="504"/>
      <c r="V151" s="504"/>
      <c r="W151" s="504"/>
      <c r="X151" s="504"/>
      <c r="Y151" s="504"/>
      <c r="Z151" s="504"/>
      <c r="AA151" s="504"/>
      <c r="AB151" s="504"/>
    </row>
    <row r="152" spans="1:28" x14ac:dyDescent="0.25">
      <c r="A152" s="1138">
        <v>143</v>
      </c>
      <c r="B152" s="1138" t="s">
        <v>11</v>
      </c>
      <c r="C152" s="1037" t="s">
        <v>90</v>
      </c>
      <c r="D152" s="920" t="s">
        <v>1004</v>
      </c>
      <c r="E152" s="920" t="s">
        <v>1003</v>
      </c>
      <c r="F152" s="920" t="str">
        <f>HLOOKUP(C152,'Assessment References'!$H$512:$BG$513,2,FALSE)</f>
        <v/>
      </c>
      <c r="G152" s="919"/>
      <c r="H152" s="918"/>
      <c r="I152" s="917"/>
      <c r="K152" s="1174"/>
      <c r="L152" s="1022"/>
      <c r="M152" s="1175"/>
      <c r="S152" s="504"/>
      <c r="T152" s="504"/>
      <c r="U152" s="504"/>
      <c r="V152" s="504"/>
      <c r="W152" s="504"/>
      <c r="X152" s="504"/>
      <c r="Y152" s="504"/>
      <c r="Z152" s="504"/>
      <c r="AA152" s="504"/>
      <c r="AB152" s="504"/>
    </row>
    <row r="153" spans="1:28" x14ac:dyDescent="0.25">
      <c r="A153" s="1138">
        <v>144</v>
      </c>
      <c r="B153" s="1138" t="s">
        <v>11</v>
      </c>
      <c r="C153" s="1037" t="s">
        <v>90</v>
      </c>
      <c r="D153" s="1539"/>
      <c r="E153" s="1540"/>
      <c r="F153" s="1540"/>
      <c r="G153" s="1540"/>
      <c r="H153" s="1541"/>
      <c r="I153" s="917"/>
      <c r="K153" s="1174"/>
      <c r="L153" s="1022"/>
      <c r="M153" s="1175"/>
      <c r="S153" s="504"/>
      <c r="T153" s="504"/>
      <c r="U153" s="504"/>
      <c r="V153" s="504"/>
      <c r="W153" s="504"/>
      <c r="X153" s="504"/>
      <c r="Y153" s="504"/>
      <c r="Z153" s="504"/>
      <c r="AA153" s="504"/>
      <c r="AB153" s="504"/>
    </row>
    <row r="154" spans="1:28" x14ac:dyDescent="0.25">
      <c r="A154" s="1138">
        <v>145</v>
      </c>
      <c r="B154" s="1138" t="s">
        <v>11</v>
      </c>
      <c r="C154" s="1037" t="s">
        <v>90</v>
      </c>
      <c r="D154" s="1530"/>
      <c r="E154" s="1531"/>
      <c r="F154" s="1531"/>
      <c r="G154" s="1531"/>
      <c r="H154" s="1532"/>
      <c r="I154" s="917"/>
      <c r="K154" s="1174"/>
      <c r="L154" s="1022"/>
      <c r="M154" s="1175"/>
      <c r="S154" s="504"/>
      <c r="T154" s="504"/>
      <c r="U154" s="504"/>
      <c r="V154" s="504"/>
      <c r="W154" s="504"/>
      <c r="X154" s="504"/>
      <c r="Y154" s="504"/>
      <c r="Z154" s="504"/>
      <c r="AA154" s="504"/>
      <c r="AB154" s="504"/>
    </row>
    <row r="155" spans="1:28" x14ac:dyDescent="0.25">
      <c r="A155" s="1138">
        <v>146</v>
      </c>
      <c r="B155" s="1138" t="s">
        <v>11</v>
      </c>
      <c r="C155" s="1037" t="s">
        <v>90</v>
      </c>
      <c r="D155" s="1530"/>
      <c r="E155" s="1531"/>
      <c r="F155" s="1531"/>
      <c r="G155" s="1531"/>
      <c r="H155" s="1532"/>
      <c r="I155" s="917"/>
      <c r="K155" s="1174"/>
      <c r="L155" s="1022"/>
      <c r="M155" s="1175"/>
      <c r="S155" s="504"/>
      <c r="T155" s="504"/>
      <c r="U155" s="504"/>
      <c r="V155" s="504"/>
      <c r="W155" s="504"/>
      <c r="X155" s="504"/>
      <c r="Y155" s="504"/>
      <c r="Z155" s="504"/>
      <c r="AA155" s="504"/>
      <c r="AB155" s="504"/>
    </row>
    <row r="156" spans="1:28" x14ac:dyDescent="0.25">
      <c r="A156" s="1138">
        <v>147</v>
      </c>
      <c r="B156" s="1138" t="s">
        <v>11</v>
      </c>
      <c r="C156" s="1037" t="s">
        <v>90</v>
      </c>
      <c r="D156" s="1533"/>
      <c r="E156" s="1534"/>
      <c r="F156" s="1534"/>
      <c r="G156" s="1534"/>
      <c r="H156" s="1535"/>
      <c r="I156" s="917"/>
      <c r="K156" s="1174"/>
      <c r="L156" s="1022"/>
      <c r="M156" s="1175"/>
      <c r="S156" s="504"/>
      <c r="T156" s="504"/>
      <c r="U156" s="504"/>
      <c r="V156" s="504"/>
      <c r="W156" s="504"/>
      <c r="X156" s="504"/>
      <c r="Y156" s="504"/>
      <c r="Z156" s="504"/>
      <c r="AA156" s="504"/>
      <c r="AB156" s="504"/>
    </row>
    <row r="157" spans="1:28" x14ac:dyDescent="0.25">
      <c r="A157" s="1138">
        <v>148</v>
      </c>
      <c r="B157" s="1138" t="s">
        <v>11</v>
      </c>
      <c r="C157" s="1037" t="s">
        <v>90</v>
      </c>
      <c r="D157" s="1533"/>
      <c r="E157" s="1534"/>
      <c r="F157" s="1534"/>
      <c r="G157" s="1534"/>
      <c r="H157" s="1535"/>
      <c r="I157" s="917"/>
      <c r="K157" s="1174"/>
      <c r="L157" s="1022"/>
      <c r="M157" s="1175"/>
      <c r="S157" s="504"/>
      <c r="T157" s="504"/>
      <c r="U157" s="504"/>
      <c r="V157" s="504"/>
      <c r="W157" s="504"/>
      <c r="X157" s="504"/>
      <c r="Y157" s="504"/>
      <c r="Z157" s="504"/>
      <c r="AA157" s="504"/>
      <c r="AB157" s="504"/>
    </row>
    <row r="158" spans="1:28" x14ac:dyDescent="0.25">
      <c r="A158" s="1138">
        <v>149</v>
      </c>
      <c r="B158" s="1138" t="s">
        <v>11</v>
      </c>
      <c r="C158" s="1037" t="s">
        <v>90</v>
      </c>
      <c r="D158" s="1536"/>
      <c r="E158" s="1537"/>
      <c r="F158" s="1537"/>
      <c r="G158" s="1537"/>
      <c r="H158" s="1538"/>
      <c r="I158" s="917"/>
      <c r="K158" s="1174"/>
      <c r="L158" s="1022"/>
      <c r="M158" s="1175"/>
      <c r="S158" s="504"/>
      <c r="T158" s="504"/>
      <c r="U158" s="504"/>
      <c r="V158" s="504"/>
      <c r="W158" s="504"/>
      <c r="X158" s="504"/>
      <c r="Y158" s="504"/>
      <c r="Z158" s="504"/>
      <c r="AA158" s="504"/>
      <c r="AB158" s="504"/>
    </row>
    <row r="159" spans="1:28" x14ac:dyDescent="0.25">
      <c r="A159" s="1138">
        <v>150</v>
      </c>
      <c r="B159" s="1138" t="s">
        <v>11</v>
      </c>
      <c r="C159" s="1037" t="s">
        <v>90</v>
      </c>
      <c r="I159" s="917"/>
      <c r="K159" s="1174"/>
      <c r="L159" s="1022"/>
      <c r="M159" s="1175"/>
      <c r="S159" s="504"/>
      <c r="T159" s="504"/>
      <c r="U159" s="504"/>
      <c r="V159" s="504"/>
      <c r="W159" s="504"/>
      <c r="X159" s="504"/>
      <c r="Y159" s="504"/>
      <c r="Z159" s="504"/>
      <c r="AA159" s="504"/>
      <c r="AB159" s="504"/>
    </row>
    <row r="160" spans="1:28" x14ac:dyDescent="0.25">
      <c r="A160" s="1138">
        <v>151</v>
      </c>
      <c r="B160" s="1139" t="s">
        <v>11</v>
      </c>
      <c r="C160" s="950" t="s">
        <v>91</v>
      </c>
      <c r="D160" s="1015" t="s">
        <v>331</v>
      </c>
      <c r="E160" s="1014"/>
      <c r="F160" s="1014"/>
      <c r="G160" s="1013"/>
      <c r="H160" s="1066"/>
      <c r="I160" s="917"/>
      <c r="K160" s="1174"/>
      <c r="L160" s="1022"/>
      <c r="M160" s="1175"/>
      <c r="S160" s="504"/>
      <c r="T160" s="504"/>
      <c r="U160" s="504"/>
      <c r="V160" s="504"/>
      <c r="W160" s="504"/>
      <c r="X160" s="504"/>
      <c r="Y160" s="504"/>
      <c r="Z160" s="504"/>
      <c r="AA160" s="504"/>
      <c r="AB160" s="504"/>
    </row>
    <row r="161" spans="1:31" x14ac:dyDescent="0.25">
      <c r="A161" s="1138">
        <v>152</v>
      </c>
      <c r="B161" s="1138" t="s">
        <v>11</v>
      </c>
      <c r="C161" s="1037" t="s">
        <v>91</v>
      </c>
      <c r="D161" s="946" t="s">
        <v>15</v>
      </c>
      <c r="E161" s="1264">
        <f>Man05_credits</f>
        <v>3</v>
      </c>
      <c r="F161" s="945"/>
      <c r="G161" s="944" t="s">
        <v>76</v>
      </c>
      <c r="H161" s="1266">
        <f>Man05_10</f>
        <v>1.8571428571428572E-2</v>
      </c>
      <c r="I161" s="917"/>
      <c r="K161" s="1174"/>
      <c r="L161" s="1022"/>
      <c r="M161" s="1175"/>
      <c r="S161" s="504"/>
      <c r="T161" s="504"/>
      <c r="U161" s="504"/>
      <c r="V161" s="504"/>
      <c r="W161" s="504"/>
      <c r="X161" s="504"/>
      <c r="Y161" s="504"/>
      <c r="Z161" s="504"/>
      <c r="AA161" s="504"/>
      <c r="AB161" s="504"/>
    </row>
    <row r="162" spans="1:31" x14ac:dyDescent="0.25">
      <c r="A162" s="1138">
        <v>153</v>
      </c>
      <c r="B162" s="1138" t="s">
        <v>11</v>
      </c>
      <c r="C162" s="1037" t="s">
        <v>91</v>
      </c>
      <c r="D162" s="972" t="s">
        <v>1011</v>
      </c>
      <c r="E162" s="1265">
        <v>0</v>
      </c>
      <c r="F162" s="941"/>
      <c r="G162" s="940" t="s">
        <v>1010</v>
      </c>
      <c r="H162" s="1267" t="str">
        <f>IF(E161=0,"N/A","Yes")</f>
        <v>Yes</v>
      </c>
      <c r="I162" s="917"/>
      <c r="K162" s="1174"/>
      <c r="L162" s="1022"/>
      <c r="M162" s="1175"/>
      <c r="S162" s="504"/>
      <c r="T162" s="504"/>
      <c r="U162" s="504"/>
      <c r="V162" s="504"/>
      <c r="W162" s="504"/>
      <c r="X162" s="504"/>
      <c r="Y162" s="504"/>
      <c r="Z162" s="504"/>
      <c r="AA162" s="504"/>
      <c r="AB162" s="504"/>
    </row>
    <row r="163" spans="1:31" x14ac:dyDescent="0.25">
      <c r="A163" s="1138">
        <v>154</v>
      </c>
      <c r="B163" s="1138" t="s">
        <v>11</v>
      </c>
      <c r="C163" s="1037" t="s">
        <v>91</v>
      </c>
      <c r="I163" s="917"/>
      <c r="K163" s="1174"/>
      <c r="L163" s="1022"/>
      <c r="M163" s="1175"/>
      <c r="S163" s="504"/>
      <c r="T163" s="504"/>
      <c r="U163" s="504"/>
      <c r="V163" s="504"/>
      <c r="W163" s="504"/>
      <c r="X163" s="504"/>
      <c r="Y163" s="504"/>
      <c r="Z163" s="504"/>
      <c r="AA163" s="504"/>
      <c r="AB163" s="504"/>
    </row>
    <row r="164" spans="1:31" ht="15.75" thickBot="1" x14ac:dyDescent="0.3">
      <c r="A164" s="1138">
        <v>155</v>
      </c>
      <c r="B164" s="1138" t="s">
        <v>11</v>
      </c>
      <c r="C164" s="1037" t="s">
        <v>91</v>
      </c>
      <c r="D164" s="938" t="s">
        <v>1009</v>
      </c>
      <c r="E164" s="937" t="s">
        <v>1008</v>
      </c>
      <c r="F164" s="937" t="s">
        <v>1007</v>
      </c>
      <c r="G164" s="937" t="s">
        <v>1006</v>
      </c>
      <c r="H164" s="937" t="s">
        <v>1014</v>
      </c>
      <c r="I164" s="917"/>
      <c r="K164" s="1174"/>
      <c r="L164" s="1022"/>
      <c r="M164" s="1175"/>
      <c r="S164" s="504"/>
      <c r="T164" s="504"/>
      <c r="U164" s="504"/>
      <c r="V164" s="504"/>
      <c r="W164" s="504"/>
      <c r="X164" s="504"/>
      <c r="Y164" s="504"/>
      <c r="Z164" s="504"/>
      <c r="AA164" s="504"/>
      <c r="AB164" s="504"/>
    </row>
    <row r="165" spans="1:31" x14ac:dyDescent="0.25">
      <c r="A165" s="1138">
        <v>156</v>
      </c>
      <c r="B165" s="1138" t="s">
        <v>11</v>
      </c>
      <c r="C165" s="1037" t="s">
        <v>91</v>
      </c>
      <c r="D165" s="936" t="str">
        <f>Poeng!E31</f>
        <v>Aftercare support</v>
      </c>
      <c r="E165" s="1268" t="s">
        <v>316</v>
      </c>
      <c r="F165" s="1223">
        <f>Poeng!AB31</f>
        <v>1</v>
      </c>
      <c r="G165" s="1223">
        <f>IF(E165=AIS_Yes,F165,0)</f>
        <v>0</v>
      </c>
      <c r="H165" s="1291" t="s">
        <v>14</v>
      </c>
      <c r="I165" s="917"/>
      <c r="K165" s="1174"/>
      <c r="L165" s="1022"/>
      <c r="M165" s="1175"/>
      <c r="S165" s="62" t="s">
        <v>1015</v>
      </c>
      <c r="T165"/>
      <c r="U165"/>
      <c r="V165"/>
      <c r="W165"/>
      <c r="X165"/>
      <c r="Y165" t="str">
        <f>$X$4</f>
        <v>No</v>
      </c>
      <c r="Z165" s="504"/>
      <c r="AA165" s="504"/>
      <c r="AB165" s="504"/>
    </row>
    <row r="166" spans="1:31" x14ac:dyDescent="0.25">
      <c r="A166" s="1138">
        <v>157</v>
      </c>
      <c r="B166" s="1138" t="s">
        <v>11</v>
      </c>
      <c r="C166" s="1037" t="s">
        <v>91</v>
      </c>
      <c r="D166" s="988" t="str">
        <f>Poeng!E32</f>
        <v>Sesonal commisioning</v>
      </c>
      <c r="E166" s="1269" t="s">
        <v>316</v>
      </c>
      <c r="F166" s="1270">
        <f>Poeng!AB32</f>
        <v>1</v>
      </c>
      <c r="G166" s="1270">
        <f>IF(E166=AIS_Yes,F166,0)</f>
        <v>0</v>
      </c>
      <c r="H166" s="1225" t="s">
        <v>14</v>
      </c>
      <c r="I166" s="917"/>
      <c r="K166" s="1174"/>
      <c r="L166" s="1022"/>
      <c r="M166" s="1175"/>
      <c r="S166" s="62" t="s">
        <v>1015</v>
      </c>
      <c r="T166"/>
      <c r="U166"/>
      <c r="V166"/>
      <c r="W166"/>
      <c r="X166"/>
      <c r="Y166" t="str">
        <f>$X$4</f>
        <v>No</v>
      </c>
      <c r="Z166" s="504"/>
      <c r="AA166" s="504"/>
      <c r="AB166" s="504"/>
    </row>
    <row r="167" spans="1:31" ht="15.75" thickBot="1" x14ac:dyDescent="0.3">
      <c r="A167" s="1138">
        <v>158</v>
      </c>
      <c r="B167" s="1138" t="s">
        <v>11</v>
      </c>
      <c r="C167" s="1037" t="s">
        <v>91</v>
      </c>
      <c r="D167" s="929" t="s">
        <v>1126</v>
      </c>
      <c r="E167" s="1275" t="s">
        <v>316</v>
      </c>
      <c r="F167" s="1227">
        <f>Poeng!AB33</f>
        <v>1</v>
      </c>
      <c r="G167" s="1227">
        <f>IF(E167=AIS_Yes,F167,0)</f>
        <v>0</v>
      </c>
      <c r="H167" s="1292" t="s">
        <v>14</v>
      </c>
      <c r="I167" s="917"/>
      <c r="K167" s="1174"/>
      <c r="L167" s="1022"/>
      <c r="M167" s="1175"/>
      <c r="S167" s="62" t="s">
        <v>1015</v>
      </c>
      <c r="T167"/>
      <c r="U167"/>
      <c r="V167"/>
      <c r="W167"/>
      <c r="X167"/>
      <c r="Y167" t="str">
        <f>$X$4</f>
        <v>No</v>
      </c>
      <c r="Z167" s="504"/>
      <c r="AA167" s="504"/>
      <c r="AB167" s="504"/>
    </row>
    <row r="168" spans="1:31" x14ac:dyDescent="0.25">
      <c r="A168" s="1138">
        <v>159</v>
      </c>
      <c r="B168" s="1138" t="s">
        <v>11</v>
      </c>
      <c r="C168" s="1037" t="s">
        <v>91</v>
      </c>
      <c r="E168" s="1058"/>
      <c r="I168" s="917"/>
      <c r="K168" s="1174"/>
      <c r="L168" s="1022"/>
      <c r="M168" s="1175"/>
      <c r="S168" s="504"/>
      <c r="T168" s="504"/>
      <c r="U168" s="504"/>
      <c r="V168" s="504"/>
      <c r="W168" s="504"/>
      <c r="X168" s="504"/>
      <c r="Y168" s="504"/>
      <c r="Z168" s="504"/>
      <c r="AA168" s="504"/>
      <c r="AB168" s="504"/>
    </row>
    <row r="169" spans="1:31" x14ac:dyDescent="0.25">
      <c r="A169" s="1138">
        <v>160</v>
      </c>
      <c r="B169" s="1138" t="s">
        <v>11</v>
      </c>
      <c r="C169" s="1037" t="s">
        <v>91</v>
      </c>
      <c r="D169" s="958" t="s">
        <v>1012</v>
      </c>
      <c r="E169" s="1272">
        <f>IF((G165+G166+G167)&gt;E161,E161,G165+G166+G167)</f>
        <v>0</v>
      </c>
      <c r="I169" s="917"/>
      <c r="K169" s="1174"/>
      <c r="L169" s="1022"/>
      <c r="M169" s="1175"/>
      <c r="S169" s="504"/>
      <c r="T169" s="504"/>
      <c r="U169" s="504"/>
      <c r="V169" s="504"/>
      <c r="W169" s="504"/>
      <c r="X169" s="504"/>
      <c r="Y169" s="504"/>
      <c r="Z169" s="504"/>
      <c r="AA169" s="504"/>
      <c r="AB169" s="504"/>
    </row>
    <row r="170" spans="1:31" x14ac:dyDescent="0.25">
      <c r="A170" s="1138">
        <v>161</v>
      </c>
      <c r="B170" s="1138" t="s">
        <v>11</v>
      </c>
      <c r="C170" s="1037" t="s">
        <v>91</v>
      </c>
      <c r="D170" s="924" t="s">
        <v>77</v>
      </c>
      <c r="E170" s="1273">
        <f>Man05_cont</f>
        <v>0</v>
      </c>
      <c r="I170" s="917"/>
      <c r="K170" s="1174"/>
      <c r="L170" s="1022"/>
      <c r="M170" s="1175"/>
      <c r="S170" s="504"/>
      <c r="T170" s="504"/>
      <c r="U170" s="504"/>
      <c r="V170" s="504"/>
      <c r="W170" s="504"/>
      <c r="X170" s="504"/>
      <c r="Y170" s="504"/>
      <c r="Z170" s="504"/>
      <c r="AA170" s="504"/>
      <c r="AB170" s="504"/>
    </row>
    <row r="171" spans="1:31" x14ac:dyDescent="0.25">
      <c r="A171" s="1138">
        <v>162</v>
      </c>
      <c r="B171" s="1138" t="s">
        <v>11</v>
      </c>
      <c r="C171" s="1037" t="s">
        <v>91</v>
      </c>
      <c r="D171" s="926" t="s">
        <v>1005</v>
      </c>
      <c r="E171" s="1272" t="s">
        <v>14</v>
      </c>
      <c r="I171" s="917"/>
      <c r="K171" s="1174"/>
      <c r="L171" s="1022"/>
      <c r="M171" s="1175"/>
      <c r="S171" s="504"/>
      <c r="T171" s="504"/>
      <c r="U171" s="504"/>
      <c r="V171" s="504"/>
      <c r="W171" s="504"/>
      <c r="X171" s="504"/>
      <c r="Y171" s="504"/>
      <c r="Z171" s="504"/>
      <c r="AA171" s="504"/>
      <c r="AB171" s="504"/>
    </row>
    <row r="172" spans="1:31" x14ac:dyDescent="0.25">
      <c r="A172" s="1138">
        <v>163</v>
      </c>
      <c r="B172" s="1138" t="s">
        <v>11</v>
      </c>
      <c r="C172" s="1037" t="s">
        <v>91</v>
      </c>
      <c r="D172" s="923" t="s">
        <v>46</v>
      </c>
      <c r="E172" s="1290" t="str">
        <f>VLOOKUP(MIN(Poeng!BD30:BD33),Poeng!$BO$285:$BP$291,2,FALSE)</f>
        <v>Very Good</v>
      </c>
      <c r="I172" s="917"/>
      <c r="K172" s="1174"/>
      <c r="L172" s="1022"/>
      <c r="M172" s="1175"/>
      <c r="S172" s="504"/>
      <c r="T172" s="504"/>
      <c r="U172" s="504"/>
      <c r="V172" s="504"/>
      <c r="W172" s="504"/>
      <c r="X172" s="504"/>
      <c r="Y172" s="504"/>
      <c r="Z172" s="504"/>
      <c r="AA172" s="504"/>
      <c r="AB172" s="504"/>
    </row>
    <row r="173" spans="1:31" x14ac:dyDescent="0.25">
      <c r="A173" s="1138">
        <v>164</v>
      </c>
      <c r="B173" s="1138" t="s">
        <v>11</v>
      </c>
      <c r="C173" s="1037" t="s">
        <v>91</v>
      </c>
      <c r="I173" s="917"/>
      <c r="K173" s="1174"/>
      <c r="L173" s="1022"/>
      <c r="M173" s="1175"/>
      <c r="S173" s="504"/>
      <c r="T173" s="504"/>
      <c r="U173" s="504"/>
      <c r="V173" s="504"/>
      <c r="W173" s="504"/>
      <c r="X173" s="504"/>
      <c r="Y173" s="504"/>
      <c r="Z173" s="504"/>
      <c r="AA173" s="504"/>
      <c r="AB173" s="504"/>
    </row>
    <row r="174" spans="1:31" x14ac:dyDescent="0.25">
      <c r="A174" s="1138">
        <v>165</v>
      </c>
      <c r="B174" s="1138" t="s">
        <v>11</v>
      </c>
      <c r="C174" s="1037" t="s">
        <v>91</v>
      </c>
      <c r="D174" s="920" t="s">
        <v>1004</v>
      </c>
      <c r="E174" s="920" t="s">
        <v>1003</v>
      </c>
      <c r="F174" s="920" t="str">
        <f>HLOOKUP(C174,'Assessment References'!$H$512:$BG$513,2,FALSE)</f>
        <v/>
      </c>
      <c r="G174" s="919"/>
      <c r="H174" s="918"/>
      <c r="I174" s="917"/>
      <c r="K174" s="1174"/>
      <c r="L174" s="1022"/>
      <c r="M174" s="1175"/>
      <c r="S174" s="504"/>
      <c r="T174" s="504"/>
      <c r="U174" s="504"/>
      <c r="V174" s="504"/>
      <c r="W174" s="504"/>
      <c r="X174" s="504"/>
      <c r="Y174" s="504"/>
      <c r="Z174" s="504"/>
      <c r="AA174" s="504"/>
      <c r="AB174" s="504"/>
    </row>
    <row r="175" spans="1:31" x14ac:dyDescent="0.25">
      <c r="A175" s="1138">
        <v>166</v>
      </c>
      <c r="B175" s="1138" t="s">
        <v>11</v>
      </c>
      <c r="C175" s="1037" t="s">
        <v>91</v>
      </c>
      <c r="D175" s="1539"/>
      <c r="E175" s="1540"/>
      <c r="F175" s="1540"/>
      <c r="G175" s="1540"/>
      <c r="H175" s="1541"/>
      <c r="I175" s="917"/>
      <c r="K175" s="1174"/>
      <c r="L175" s="1022"/>
      <c r="M175" s="1175"/>
      <c r="S175" s="504"/>
      <c r="T175" s="504"/>
      <c r="U175" s="504"/>
      <c r="V175" s="504"/>
      <c r="W175" s="504"/>
      <c r="X175" s="504"/>
      <c r="Y175" s="504"/>
      <c r="Z175" s="504"/>
      <c r="AA175" s="504"/>
      <c r="AB175" s="504"/>
      <c r="AC175" s="322"/>
      <c r="AD175" s="322"/>
      <c r="AE175" s="322"/>
    </row>
    <row r="176" spans="1:31" x14ac:dyDescent="0.25">
      <c r="A176" s="1138">
        <v>167</v>
      </c>
      <c r="B176" s="1138" t="s">
        <v>11</v>
      </c>
      <c r="C176" s="1037" t="s">
        <v>91</v>
      </c>
      <c r="D176" s="1530"/>
      <c r="E176" s="1531"/>
      <c r="F176" s="1531"/>
      <c r="G176" s="1531"/>
      <c r="H176" s="1532"/>
      <c r="I176" s="917"/>
      <c r="K176" s="1174"/>
      <c r="L176" s="1022"/>
      <c r="M176" s="1175"/>
      <c r="S176" s="504"/>
      <c r="T176" s="504"/>
      <c r="U176" s="504"/>
      <c r="V176" s="504"/>
      <c r="W176" s="504"/>
      <c r="X176" s="504"/>
      <c r="Y176" s="504"/>
      <c r="Z176" s="504"/>
      <c r="AA176" s="504"/>
      <c r="AB176" s="504"/>
      <c r="AC176" s="322"/>
      <c r="AD176" s="322"/>
      <c r="AE176" s="322"/>
    </row>
    <row r="177" spans="1:47" x14ac:dyDescent="0.25">
      <c r="A177" s="1138">
        <v>168</v>
      </c>
      <c r="B177" s="1138" t="s">
        <v>11</v>
      </c>
      <c r="C177" s="1037" t="s">
        <v>91</v>
      </c>
      <c r="D177" s="1530"/>
      <c r="E177" s="1531"/>
      <c r="F177" s="1531"/>
      <c r="G177" s="1531"/>
      <c r="H177" s="1532"/>
      <c r="I177" s="917"/>
      <c r="K177" s="1174"/>
      <c r="L177" s="1022"/>
      <c r="M177" s="1175"/>
      <c r="S177" s="504"/>
      <c r="T177" s="504"/>
      <c r="U177" s="504"/>
      <c r="V177" s="504"/>
      <c r="W177" s="504"/>
      <c r="X177" s="504"/>
      <c r="Y177" s="504"/>
      <c r="Z177" s="504"/>
      <c r="AA177" s="504"/>
      <c r="AB177" s="504"/>
      <c r="AC177" s="322"/>
      <c r="AD177" s="322"/>
      <c r="AE177" s="322"/>
    </row>
    <row r="178" spans="1:47" x14ac:dyDescent="0.25">
      <c r="A178" s="1138">
        <v>169</v>
      </c>
      <c r="B178" s="1138" t="s">
        <v>11</v>
      </c>
      <c r="C178" s="1037" t="s">
        <v>91</v>
      </c>
      <c r="D178" s="1533"/>
      <c r="E178" s="1534"/>
      <c r="F178" s="1534"/>
      <c r="G178" s="1534"/>
      <c r="H178" s="1535"/>
      <c r="I178" s="917"/>
      <c r="K178" s="1174"/>
      <c r="L178" s="1022"/>
      <c r="M178" s="1175"/>
      <c r="S178" s="504"/>
      <c r="T178" s="504"/>
      <c r="U178" s="504"/>
      <c r="V178" s="504"/>
      <c r="W178" s="504"/>
      <c r="X178" s="504"/>
      <c r="Y178" s="504"/>
      <c r="Z178" s="504"/>
      <c r="AA178" s="504"/>
      <c r="AB178" s="504"/>
      <c r="AC178" s="322"/>
      <c r="AD178" s="322"/>
      <c r="AE178" s="322"/>
    </row>
    <row r="179" spans="1:47" x14ac:dyDescent="0.25">
      <c r="A179" s="1138">
        <v>170</v>
      </c>
      <c r="B179" s="1138" t="s">
        <v>11</v>
      </c>
      <c r="C179" s="1037" t="s">
        <v>91</v>
      </c>
      <c r="D179" s="1533"/>
      <c r="E179" s="1534"/>
      <c r="F179" s="1534"/>
      <c r="G179" s="1534"/>
      <c r="H179" s="1535"/>
      <c r="I179" s="917"/>
      <c r="K179" s="1174"/>
      <c r="L179" s="1022"/>
      <c r="M179" s="1175"/>
      <c r="S179" s="504"/>
      <c r="T179" s="504"/>
      <c r="U179" s="504"/>
      <c r="V179" s="504"/>
      <c r="W179" s="504"/>
      <c r="X179" s="504"/>
      <c r="Y179" s="504"/>
      <c r="Z179" s="504"/>
      <c r="AA179" s="504"/>
      <c r="AB179" s="504"/>
      <c r="AC179" s="322"/>
      <c r="AD179" s="322"/>
      <c r="AE179" s="322"/>
    </row>
    <row r="180" spans="1:47" x14ac:dyDescent="0.25">
      <c r="A180" s="1138">
        <v>171</v>
      </c>
      <c r="B180" s="1138" t="s">
        <v>11</v>
      </c>
      <c r="C180" s="1037" t="s">
        <v>91</v>
      </c>
      <c r="D180" s="1536"/>
      <c r="E180" s="1537"/>
      <c r="F180" s="1537"/>
      <c r="G180" s="1537"/>
      <c r="H180" s="1538"/>
      <c r="I180" s="917"/>
      <c r="K180" s="1174"/>
      <c r="L180" s="1022"/>
      <c r="M180" s="1175"/>
      <c r="S180" s="504"/>
      <c r="T180" s="504"/>
      <c r="U180" s="504"/>
      <c r="V180" s="504"/>
      <c r="W180" s="504"/>
      <c r="X180" s="504"/>
      <c r="Y180" s="504"/>
      <c r="Z180" s="504"/>
      <c r="AA180" s="504"/>
      <c r="AB180" s="504"/>
      <c r="AC180" s="322"/>
      <c r="AD180" s="322"/>
      <c r="AE180" s="322"/>
    </row>
    <row r="181" spans="1:47" x14ac:dyDescent="0.25">
      <c r="A181" s="1138">
        <v>172</v>
      </c>
      <c r="B181" s="1138" t="s">
        <v>11</v>
      </c>
      <c r="C181" s="1037" t="s">
        <v>91</v>
      </c>
      <c r="D181" s="919"/>
      <c r="E181" s="1065"/>
      <c r="F181" s="919"/>
      <c r="G181" s="1065"/>
      <c r="H181" s="1064"/>
      <c r="I181" s="430"/>
      <c r="J181" s="430"/>
      <c r="K181" s="1174"/>
      <c r="L181" s="1022"/>
      <c r="M181" s="1175"/>
      <c r="S181" s="504"/>
      <c r="T181" s="504"/>
      <c r="U181" s="504"/>
      <c r="V181" s="504"/>
      <c r="W181" s="504"/>
      <c r="X181" s="504"/>
      <c r="Y181" s="504"/>
      <c r="Z181" s="504"/>
      <c r="AA181" s="504"/>
      <c r="AB181" s="504"/>
      <c r="AC181" s="322"/>
      <c r="AD181" s="322"/>
      <c r="AE181" s="322"/>
    </row>
    <row r="182" spans="1:47" ht="18.75" x14ac:dyDescent="0.3">
      <c r="A182" s="1138">
        <v>173</v>
      </c>
      <c r="B182" s="957" t="s">
        <v>41</v>
      </c>
      <c r="C182" s="956"/>
      <c r="D182" s="954"/>
      <c r="E182" s="954"/>
      <c r="F182" s="954"/>
      <c r="G182" s="954"/>
      <c r="H182" s="953"/>
      <c r="J182" s="430"/>
      <c r="K182" s="1414"/>
      <c r="L182" s="1022"/>
      <c r="M182" s="1175"/>
      <c r="S182" s="504"/>
      <c r="T182" s="504"/>
      <c r="U182" s="504"/>
      <c r="V182" s="504"/>
      <c r="W182" s="504"/>
      <c r="X182" s="504"/>
      <c r="Y182" s="504"/>
      <c r="Z182" s="504"/>
      <c r="AA182" s="504"/>
      <c r="AB182" s="504"/>
      <c r="AC182" s="322"/>
      <c r="AD182" s="322"/>
      <c r="AE182" s="322"/>
    </row>
    <row r="183" spans="1:47" x14ac:dyDescent="0.25">
      <c r="A183" s="1138">
        <v>174</v>
      </c>
      <c r="B183" s="916" t="s">
        <v>41</v>
      </c>
      <c r="C183" s="917"/>
      <c r="D183" s="984"/>
      <c r="E183" s="984"/>
      <c r="F183" s="984"/>
      <c r="G183" s="984"/>
      <c r="H183" s="984"/>
      <c r="J183" s="430"/>
      <c r="K183" s="1414"/>
      <c r="L183" s="1022"/>
      <c r="M183" s="1175"/>
      <c r="S183" s="504"/>
      <c r="T183" s="504"/>
      <c r="U183" s="504"/>
      <c r="V183" s="504"/>
      <c r="W183" s="504"/>
      <c r="X183" s="504"/>
      <c r="Y183" s="504"/>
      <c r="Z183" s="504"/>
      <c r="AA183" s="504"/>
      <c r="AB183" s="504"/>
      <c r="AC183" s="322"/>
      <c r="AD183" s="322"/>
      <c r="AE183" s="322"/>
    </row>
    <row r="184" spans="1:47" x14ac:dyDescent="0.25">
      <c r="A184" s="1138">
        <v>175</v>
      </c>
      <c r="B184" s="979" t="s">
        <v>41</v>
      </c>
      <c r="C184" s="1012" t="s">
        <v>111</v>
      </c>
      <c r="D184" s="1051" t="s">
        <v>1125</v>
      </c>
      <c r="E184" s="1011"/>
      <c r="F184" s="1011"/>
      <c r="G184" s="1010"/>
      <c r="H184" s="1010"/>
      <c r="J184" s="430"/>
      <c r="K184" s="1414"/>
      <c r="L184" s="1022"/>
      <c r="M184" s="1175"/>
      <c r="S184" s="504"/>
      <c r="T184" s="504"/>
      <c r="U184" s="504"/>
      <c r="V184" s="504"/>
      <c r="W184" s="504"/>
      <c r="X184" s="504"/>
      <c r="Y184" s="504"/>
      <c r="Z184" s="504"/>
      <c r="AA184" s="504"/>
      <c r="AB184" s="504"/>
      <c r="AC184" s="322"/>
      <c r="AD184" s="322"/>
      <c r="AE184" s="322"/>
    </row>
    <row r="185" spans="1:47" x14ac:dyDescent="0.25">
      <c r="A185" s="1138">
        <v>176</v>
      </c>
      <c r="B185" s="1138" t="s">
        <v>41</v>
      </c>
      <c r="C185" s="1037" t="s">
        <v>111</v>
      </c>
      <c r="D185" s="946" t="s">
        <v>15</v>
      </c>
      <c r="E185" s="1264">
        <f>Hea01_credits</f>
        <v>7</v>
      </c>
      <c r="F185" s="945"/>
      <c r="G185" s="944" t="s">
        <v>76</v>
      </c>
      <c r="H185" s="1266">
        <f>Hea01_26</f>
        <v>5.894736842105263E-2</v>
      </c>
      <c r="J185" s="430"/>
      <c r="K185" s="1414"/>
      <c r="L185" s="1022"/>
      <c r="M185" s="1175"/>
      <c r="S185" s="504"/>
      <c r="T185" s="504"/>
      <c r="U185" s="504"/>
      <c r="V185" s="504"/>
      <c r="W185" s="504"/>
      <c r="X185" s="504"/>
      <c r="Y185" s="504"/>
      <c r="Z185" s="504"/>
      <c r="AA185" s="504"/>
      <c r="AB185" s="504"/>
      <c r="AC185" s="322"/>
      <c r="AD185" s="322"/>
      <c r="AE185" s="322"/>
    </row>
    <row r="186" spans="1:47" x14ac:dyDescent="0.25">
      <c r="A186" s="1138">
        <v>177</v>
      </c>
      <c r="B186" s="1138" t="s">
        <v>41</v>
      </c>
      <c r="C186" s="1037" t="s">
        <v>111</v>
      </c>
      <c r="D186" s="972" t="s">
        <v>1011</v>
      </c>
      <c r="E186" s="1265">
        <f>Inn02_credits</f>
        <v>1</v>
      </c>
      <c r="F186" s="941"/>
      <c r="G186" s="940" t="s">
        <v>1010</v>
      </c>
      <c r="H186" s="1267" t="s">
        <v>12</v>
      </c>
      <c r="J186" s="430"/>
      <c r="K186" s="1414"/>
      <c r="L186" s="1022"/>
      <c r="M186" s="1175"/>
      <c r="S186" s="504"/>
      <c r="T186" s="504"/>
      <c r="U186" s="504"/>
      <c r="V186" s="504"/>
      <c r="W186" s="504"/>
      <c r="X186" s="504"/>
      <c r="Y186" s="504"/>
      <c r="Z186" s="504"/>
      <c r="AA186" s="504"/>
      <c r="AB186" s="504"/>
      <c r="AC186" s="322"/>
      <c r="AD186" s="322"/>
      <c r="AE186" s="322"/>
    </row>
    <row r="187" spans="1:47" x14ac:dyDescent="0.25">
      <c r="A187" s="1138">
        <v>178</v>
      </c>
      <c r="B187" s="1138" t="s">
        <v>41</v>
      </c>
      <c r="C187" s="1037" t="s">
        <v>111</v>
      </c>
      <c r="J187" s="430"/>
      <c r="K187" s="1414"/>
      <c r="L187" s="1022"/>
      <c r="M187" s="1175"/>
      <c r="S187" s="504"/>
      <c r="T187" s="504"/>
      <c r="U187" s="504"/>
      <c r="V187" s="504"/>
      <c r="W187" s="504"/>
      <c r="X187" s="504"/>
      <c r="Y187" s="504"/>
      <c r="Z187" s="504"/>
      <c r="AA187" s="504"/>
      <c r="AB187" s="504"/>
      <c r="AC187" s="322"/>
      <c r="AD187" s="322"/>
      <c r="AE187" s="322"/>
    </row>
    <row r="188" spans="1:47" ht="15.75" thickBot="1" x14ac:dyDescent="0.3">
      <c r="A188" s="1138">
        <v>179</v>
      </c>
      <c r="B188" s="1138" t="s">
        <v>41</v>
      </c>
      <c r="C188" s="1037" t="s">
        <v>111</v>
      </c>
      <c r="D188" s="938" t="s">
        <v>1009</v>
      </c>
      <c r="E188" s="937" t="s">
        <v>1008</v>
      </c>
      <c r="F188" s="937" t="s">
        <v>1007</v>
      </c>
      <c r="G188" s="937" t="s">
        <v>1006</v>
      </c>
      <c r="H188" s="937" t="s">
        <v>1014</v>
      </c>
      <c r="J188" s="430"/>
      <c r="K188" s="1414"/>
      <c r="L188" s="1022"/>
      <c r="M188" s="1175"/>
      <c r="S188" s="504"/>
      <c r="T188" s="504"/>
      <c r="U188" s="504"/>
      <c r="V188" s="504"/>
      <c r="W188" s="504"/>
      <c r="X188" s="504"/>
      <c r="Y188" s="504"/>
      <c r="Z188" s="504"/>
      <c r="AA188" s="504"/>
      <c r="AB188" s="504"/>
      <c r="AC188" s="322"/>
      <c r="AD188" s="322"/>
      <c r="AE188" s="322"/>
    </row>
    <row r="189" spans="1:47" x14ac:dyDescent="0.25">
      <c r="A189" s="1138">
        <v>180</v>
      </c>
      <c r="B189" s="1138" t="s">
        <v>41</v>
      </c>
      <c r="C189" s="1037" t="s">
        <v>111</v>
      </c>
      <c r="D189" s="936" t="s">
        <v>1828</v>
      </c>
      <c r="E189" s="1268" t="s">
        <v>316</v>
      </c>
      <c r="F189" s="1223"/>
      <c r="G189" s="1223"/>
      <c r="H189" s="1059" t="s">
        <v>14</v>
      </c>
      <c r="I189" s="994" t="str">
        <f>IF(E189&lt;&gt;AIS_Yes,"Pre-requisite: Please select yes","")</f>
        <v>Pre-requisite: Please select yes</v>
      </c>
      <c r="J189" s="430"/>
      <c r="K189" s="1414" t="s">
        <v>316</v>
      </c>
      <c r="L189" s="1022">
        <v>0</v>
      </c>
      <c r="M189" s="1175"/>
      <c r="S189" s="62" t="s">
        <v>1015</v>
      </c>
      <c r="T189" s="504"/>
      <c r="U189" s="504"/>
      <c r="V189" s="504"/>
      <c r="W189" s="504"/>
      <c r="X189" s="504"/>
      <c r="Y189" s="504" t="str">
        <f>$X$4</f>
        <v>No</v>
      </c>
      <c r="Z189" s="504"/>
      <c r="AA189" s="504"/>
      <c r="AB189" s="504"/>
      <c r="AC189" s="322"/>
      <c r="AD189" s="322"/>
      <c r="AE189" s="322"/>
      <c r="AU189" s="1137" t="str">
        <f>IF(AND(I189="",I190=""),AD_Yes,AD_no)</f>
        <v>No</v>
      </c>
    </row>
    <row r="190" spans="1:47" x14ac:dyDescent="0.25">
      <c r="A190" s="1138">
        <v>181</v>
      </c>
      <c r="B190" s="1138" t="s">
        <v>41</v>
      </c>
      <c r="C190" s="1037" t="s">
        <v>111</v>
      </c>
      <c r="D190" s="931" t="s">
        <v>1825</v>
      </c>
      <c r="E190" s="1271" t="s">
        <v>316</v>
      </c>
      <c r="F190" s="1294"/>
      <c r="G190" s="1294"/>
      <c r="H190" s="1059" t="s">
        <v>14</v>
      </c>
      <c r="I190" s="994" t="str">
        <f>IF(E190&lt;&gt;AIS_Yes,"Pre-requisite: Please select yes","")</f>
        <v>Pre-requisite: Please select yes</v>
      </c>
      <c r="J190" s="430"/>
      <c r="K190" s="1414" t="s">
        <v>1123</v>
      </c>
      <c r="L190" s="1022">
        <v>2</v>
      </c>
      <c r="M190" s="1175"/>
      <c r="S190" s="62"/>
      <c r="T190" s="504"/>
      <c r="U190" s="504"/>
      <c r="V190" s="504"/>
      <c r="W190" s="504"/>
      <c r="X190" s="504"/>
      <c r="Y190" s="504"/>
      <c r="Z190" s="504"/>
      <c r="AA190" s="504"/>
      <c r="AB190" s="504"/>
      <c r="AC190" s="322"/>
      <c r="AD190" s="322"/>
      <c r="AE190" s="322"/>
    </row>
    <row r="191" spans="1:47" x14ac:dyDescent="0.25">
      <c r="A191" s="1138">
        <v>182</v>
      </c>
      <c r="B191" s="1138" t="s">
        <v>41</v>
      </c>
      <c r="C191" s="1037" t="s">
        <v>111</v>
      </c>
      <c r="D191" s="931" t="str">
        <f>Poeng!E41</f>
        <v>Daylighting</v>
      </c>
      <c r="E191" s="1269" t="s">
        <v>316</v>
      </c>
      <c r="F191" s="1294">
        <f>Poeng!AB41</f>
        <v>3</v>
      </c>
      <c r="G191" s="1270">
        <f>VLOOKUP(E191,K189:L192,2,FALSE)</f>
        <v>0</v>
      </c>
      <c r="H191" s="987" t="s">
        <v>14</v>
      </c>
      <c r="J191" s="430"/>
      <c r="K191" s="1414" t="s">
        <v>1564</v>
      </c>
      <c r="L191" s="1022">
        <v>3</v>
      </c>
      <c r="M191" s="1175"/>
      <c r="S191" s="62" t="s">
        <v>1015</v>
      </c>
      <c r="T191" s="504"/>
      <c r="U191" s="504"/>
      <c r="V191" s="504"/>
      <c r="W191" s="504"/>
      <c r="X191" s="504"/>
      <c r="Y191" s="504" t="str">
        <f>$X$4</f>
        <v>No</v>
      </c>
      <c r="Z191" s="504"/>
      <c r="AA191" s="504"/>
      <c r="AB191" s="504"/>
      <c r="AC191" s="322"/>
      <c r="AD191" s="322"/>
      <c r="AE191" s="322"/>
    </row>
    <row r="192" spans="1:47" ht="15.75" thickBot="1" x14ac:dyDescent="0.3">
      <c r="A192" s="1138">
        <v>183</v>
      </c>
      <c r="B192" s="1138" t="s">
        <v>41</v>
      </c>
      <c r="C192" s="1037" t="s">
        <v>111</v>
      </c>
      <c r="D192" s="931" t="str">
        <f>Poeng!E42</f>
        <v xml:space="preserve">Control of glare from sunlight </v>
      </c>
      <c r="E192" s="1269" t="s">
        <v>316</v>
      </c>
      <c r="F192" s="1294">
        <f>Poeng!AB42</f>
        <v>1</v>
      </c>
      <c r="G192" s="1270">
        <f t="shared" ref="G192:G198" si="0">IF(E192=AIS_Yes,F192,0)</f>
        <v>0</v>
      </c>
      <c r="H192" s="987" t="s">
        <v>14</v>
      </c>
      <c r="J192" s="430"/>
      <c r="K192" s="1414" t="s">
        <v>13</v>
      </c>
      <c r="L192" s="1022">
        <v>0</v>
      </c>
      <c r="M192" s="1175"/>
      <c r="S192" s="62"/>
      <c r="T192" s="504"/>
      <c r="U192" s="504"/>
      <c r="V192" s="504"/>
      <c r="W192" s="504"/>
      <c r="X192" s="504"/>
      <c r="Y192" s="504"/>
      <c r="Z192" s="504"/>
      <c r="AA192" s="504"/>
      <c r="AB192" s="504"/>
      <c r="AC192" s="322"/>
      <c r="AD192" s="322"/>
      <c r="AE192" s="322"/>
    </row>
    <row r="193" spans="1:37" ht="15.75" thickBot="1" x14ac:dyDescent="0.3">
      <c r="A193" s="1138">
        <v>184</v>
      </c>
      <c r="B193" s="1138" t="s">
        <v>41</v>
      </c>
      <c r="C193" s="1037" t="s">
        <v>111</v>
      </c>
      <c r="D193" s="931" t="str">
        <f>Poeng!E43</f>
        <v xml:space="preserve">View out </v>
      </c>
      <c r="E193" s="1271" t="s">
        <v>316</v>
      </c>
      <c r="F193" s="1294">
        <f>Poeng!AB43</f>
        <v>1</v>
      </c>
      <c r="G193" s="1270">
        <f t="shared" si="0"/>
        <v>0</v>
      </c>
      <c r="H193" s="987" t="s">
        <v>14</v>
      </c>
      <c r="J193" s="430"/>
      <c r="K193" s="1414"/>
      <c r="L193" s="1022"/>
      <c r="M193" s="1175"/>
      <c r="S193" s="846">
        <v>1</v>
      </c>
      <c r="T193" s="846">
        <v>0.5</v>
      </c>
      <c r="U193" s="968">
        <v>1</v>
      </c>
      <c r="V193" s="146" t="str">
        <f>IF($X$4=AIS_Yes,S193,AIS_NA)</f>
        <v>N/A</v>
      </c>
      <c r="W193" s="43" t="str">
        <f>IF($X$4=AIS_Yes,T193,AIS_NA)</f>
        <v>N/A</v>
      </c>
      <c r="X193" s="163" t="str">
        <f>IF($X$4=AIS_Yes,U193,AIS_NA)</f>
        <v>N/A</v>
      </c>
      <c r="Y193" s="967" t="str">
        <f>IF(AND($X$4=AIS_Yes,OR(V193&lt;&gt;AIS_NA,W193&lt;&gt;AIS_NA,X193&lt;&gt;AIS_NA)),AIS_Yes,AIS_No)</f>
        <v>No</v>
      </c>
      <c r="Z193" s="146" t="e">
        <f>AIS_option01</f>
        <v>#NAME?</v>
      </c>
      <c r="AA193" s="43" t="e">
        <f>AIS_option02_50</f>
        <v>#NAME?</v>
      </c>
      <c r="AB193" s="147" t="e">
        <f>AIS_option03</f>
        <v>#NAME?</v>
      </c>
      <c r="AC193" s="966"/>
      <c r="AD193" s="965"/>
      <c r="AE193" s="962" t="str">
        <f>IF(Y193=AIS_Yes,Z193,AIS_NA)</f>
        <v>N/A</v>
      </c>
      <c r="AF193" s="962" t="str">
        <f>IF(Y193=AIS_Yes,AA193,AIS_NA)</f>
        <v>N/A</v>
      </c>
      <c r="AG193" s="964" t="str">
        <f>IF(Y193=AIS_Yes,AB193,AIS_NA)</f>
        <v>N/A</v>
      </c>
      <c r="AH193" s="963" t="str">
        <f>C193</f>
        <v>Hea 01</v>
      </c>
      <c r="AI193" s="962" t="s">
        <v>1122</v>
      </c>
      <c r="AJ193" s="961" t="str">
        <f>H193</f>
        <v>N/A</v>
      </c>
      <c r="AK193" s="1016">
        <f>IF(Y193=AIS_No,1,IF(H193=AE193,V193,IF(H193=AF193,W193,IF(H193=AG193,X193,1))))</f>
        <v>1</v>
      </c>
    </row>
    <row r="194" spans="1:37" ht="15.75" thickBot="1" x14ac:dyDescent="0.3">
      <c r="A194" s="1138">
        <v>185</v>
      </c>
      <c r="B194" s="1138" t="s">
        <v>41</v>
      </c>
      <c r="C194" s="1037" t="s">
        <v>111</v>
      </c>
      <c r="D194" s="931" t="str">
        <f>Poeng!E44</f>
        <v xml:space="preserve">Sunlight </v>
      </c>
      <c r="E194" s="1271" t="s">
        <v>316</v>
      </c>
      <c r="F194" s="1294">
        <f>Poeng!AB44</f>
        <v>1</v>
      </c>
      <c r="G194" s="1270">
        <f t="shared" si="0"/>
        <v>0</v>
      </c>
      <c r="H194" s="987" t="s">
        <v>14</v>
      </c>
      <c r="J194" s="430"/>
      <c r="K194" s="1414"/>
      <c r="L194" s="1022"/>
      <c r="M194" s="1175"/>
      <c r="S194" s="846"/>
      <c r="T194" s="846"/>
      <c r="U194" s="968"/>
      <c r="V194" s="146"/>
      <c r="W194" s="43"/>
      <c r="X194" s="163"/>
      <c r="Y194" s="967"/>
      <c r="Z194" s="146"/>
      <c r="AA194" s="43"/>
      <c r="AB194" s="147"/>
      <c r="AC194" s="966"/>
      <c r="AD194" s="965"/>
      <c r="AE194" s="962"/>
      <c r="AF194" s="962"/>
      <c r="AG194" s="964"/>
      <c r="AH194" s="963"/>
      <c r="AI194" s="962"/>
      <c r="AJ194" s="961"/>
      <c r="AK194" s="1016"/>
    </row>
    <row r="195" spans="1:37" ht="15.75" thickBot="1" x14ac:dyDescent="0.3">
      <c r="A195" s="1138">
        <v>186</v>
      </c>
      <c r="B195" s="1138" t="s">
        <v>41</v>
      </c>
      <c r="C195" s="1037" t="s">
        <v>111</v>
      </c>
      <c r="D195" s="1002" t="str">
        <f>Poeng!E45</f>
        <v xml:space="preserve">Internal and external lighting levels, zoning and control </v>
      </c>
      <c r="E195" s="1301" t="s">
        <v>316</v>
      </c>
      <c r="F195" s="1226">
        <f>Poeng!AB45</f>
        <v>1</v>
      </c>
      <c r="G195" s="1227">
        <f t="shared" si="0"/>
        <v>0</v>
      </c>
      <c r="H195" s="986" t="s">
        <v>14</v>
      </c>
      <c r="J195" s="430"/>
      <c r="K195" s="1414"/>
      <c r="L195" s="1022"/>
      <c r="M195" s="1175"/>
      <c r="S195" s="846"/>
      <c r="T195" s="846"/>
      <c r="U195" s="968"/>
      <c r="V195" s="146"/>
      <c r="W195" s="43"/>
      <c r="X195" s="163"/>
      <c r="Y195" s="967"/>
      <c r="Z195" s="146"/>
      <c r="AA195" s="43"/>
      <c r="AB195" s="147"/>
      <c r="AC195" s="966"/>
      <c r="AD195" s="965"/>
      <c r="AE195" s="962"/>
      <c r="AF195" s="962"/>
      <c r="AG195" s="964"/>
      <c r="AH195" s="963"/>
      <c r="AI195" s="962"/>
      <c r="AJ195" s="961"/>
      <c r="AK195" s="1016"/>
    </row>
    <row r="196" spans="1:37" ht="15.75" thickBot="1" x14ac:dyDescent="0.3">
      <c r="A196" s="1138">
        <v>187</v>
      </c>
      <c r="B196" s="1138" t="s">
        <v>41</v>
      </c>
      <c r="C196" s="1037" t="s">
        <v>111</v>
      </c>
      <c r="J196" s="430"/>
      <c r="K196" s="1414"/>
      <c r="L196" s="1022"/>
      <c r="M196" s="1175"/>
      <c r="S196" s="846"/>
      <c r="T196" s="846"/>
      <c r="U196" s="968"/>
      <c r="V196" s="146"/>
      <c r="W196" s="43"/>
      <c r="X196" s="163"/>
      <c r="Y196" s="967"/>
      <c r="Z196" s="146"/>
      <c r="AA196" s="43"/>
      <c r="AB196" s="147"/>
      <c r="AC196" s="966"/>
      <c r="AD196" s="965"/>
      <c r="AE196" s="962"/>
      <c r="AF196" s="962"/>
      <c r="AG196" s="964"/>
      <c r="AH196" s="963"/>
      <c r="AI196" s="962"/>
      <c r="AJ196" s="961"/>
      <c r="AK196" s="1016"/>
    </row>
    <row r="197" spans="1:37" ht="15.75" thickBot="1" x14ac:dyDescent="0.3">
      <c r="A197" s="1138">
        <v>188</v>
      </c>
      <c r="B197" s="1138" t="s">
        <v>41</v>
      </c>
      <c r="C197" s="1037" t="s">
        <v>111</v>
      </c>
      <c r="D197" s="938" t="s">
        <v>1850</v>
      </c>
      <c r="E197" s="937" t="s">
        <v>1008</v>
      </c>
      <c r="F197" s="937" t="s">
        <v>1007</v>
      </c>
      <c r="G197" s="937" t="s">
        <v>1006</v>
      </c>
      <c r="H197" s="937" t="s">
        <v>1014</v>
      </c>
      <c r="J197" s="430"/>
      <c r="K197" s="1414"/>
      <c r="L197" s="1022"/>
      <c r="M197" s="1175"/>
      <c r="S197" s="846"/>
      <c r="T197" s="846"/>
      <c r="U197" s="968"/>
      <c r="V197" s="146"/>
      <c r="W197" s="43"/>
      <c r="X197" s="163"/>
      <c r="Y197" s="967"/>
      <c r="Z197" s="146"/>
      <c r="AA197" s="43"/>
      <c r="AB197" s="147"/>
      <c r="AC197" s="966"/>
      <c r="AD197" s="965"/>
      <c r="AE197" s="962"/>
      <c r="AF197" s="962"/>
      <c r="AG197" s="964"/>
      <c r="AH197" s="963"/>
      <c r="AI197" s="962"/>
      <c r="AJ197" s="961"/>
      <c r="AK197" s="1016"/>
    </row>
    <row r="198" spans="1:37" ht="15.75" thickBot="1" x14ac:dyDescent="0.3">
      <c r="A198" s="1138">
        <v>189</v>
      </c>
      <c r="B198" s="1138" t="s">
        <v>41</v>
      </c>
      <c r="C198" s="1037" t="s">
        <v>111</v>
      </c>
      <c r="D198" s="982" t="s">
        <v>1851</v>
      </c>
      <c r="E198" s="1240" t="s">
        <v>316</v>
      </c>
      <c r="F198" s="1228">
        <f>Inn02_credits</f>
        <v>1</v>
      </c>
      <c r="G198" s="1228">
        <f t="shared" si="0"/>
        <v>0</v>
      </c>
      <c r="H198" s="969" t="s">
        <v>14</v>
      </c>
      <c r="I198" s="430"/>
      <c r="J198" s="430"/>
      <c r="K198" s="1414"/>
      <c r="L198" s="1022"/>
      <c r="M198" s="1175"/>
      <c r="S198" s="846">
        <v>1</v>
      </c>
      <c r="T198" s="846">
        <v>0.5</v>
      </c>
      <c r="U198" s="968">
        <v>1</v>
      </c>
      <c r="V198" s="146" t="str">
        <f>IF($X$4=AIS_Yes,S198,AIS_NA)</f>
        <v>N/A</v>
      </c>
      <c r="W198" s="43" t="str">
        <f>IF($X$4=AIS_Yes,T198,AIS_NA)</f>
        <v>N/A</v>
      </c>
      <c r="X198" s="163" t="str">
        <f>IF($X$4=AIS_Yes,U198,AIS_NA)</f>
        <v>N/A</v>
      </c>
      <c r="Y198" s="967" t="str">
        <f>IF(AND($X$4=AIS_Yes,OR(V198&lt;&gt;AIS_NA,W198&lt;&gt;AIS_NA,X198&lt;&gt;AIS_NA)),AIS_Yes,AIS_No)</f>
        <v>No</v>
      </c>
      <c r="Z198" s="146" t="e">
        <f>AIS_option01</f>
        <v>#NAME?</v>
      </c>
      <c r="AA198" s="43" t="e">
        <f>AIS_option02_50</f>
        <v>#NAME?</v>
      </c>
      <c r="AB198" s="147" t="e">
        <f>AIS_option03</f>
        <v>#NAME?</v>
      </c>
      <c r="AC198" s="966"/>
      <c r="AD198" s="965"/>
      <c r="AE198" s="962" t="str">
        <f>IF(Y198=AIS_Yes,Z198,AIS_NA)</f>
        <v>N/A</v>
      </c>
      <c r="AF198" s="962" t="str">
        <f>IF(Y198=AIS_Yes,AA198,AIS_NA)</f>
        <v>N/A</v>
      </c>
      <c r="AG198" s="964" t="str">
        <f>IF(Y198=AIS_Yes,AB198,AIS_NA)</f>
        <v>N/A</v>
      </c>
      <c r="AH198" s="963" t="str">
        <f>C198</f>
        <v>Hea 01</v>
      </c>
      <c r="AI198" s="962" t="s">
        <v>1121</v>
      </c>
      <c r="AJ198" s="961" t="str">
        <f>H198</f>
        <v>N/A</v>
      </c>
      <c r="AK198" s="1016">
        <f>IF(Y198=AIS_No,1,IF(H198=AE198,V198,IF(H198=AF198,W198,IF(H198=AG198,X198,1))))</f>
        <v>1</v>
      </c>
    </row>
    <row r="199" spans="1:37" x14ac:dyDescent="0.25">
      <c r="A199" s="1138">
        <v>190</v>
      </c>
      <c r="B199" s="1138" t="s">
        <v>41</v>
      </c>
      <c r="C199" s="1037" t="s">
        <v>111</v>
      </c>
      <c r="E199" s="959"/>
      <c r="I199" s="430"/>
      <c r="J199" s="430"/>
      <c r="K199" s="1414"/>
      <c r="L199" s="1022"/>
      <c r="M199" s="1175"/>
      <c r="S199" s="504"/>
      <c r="T199" s="504"/>
      <c r="U199" s="504"/>
      <c r="V199" s="504"/>
      <c r="W199" s="504"/>
      <c r="X199" s="504"/>
      <c r="Y199" s="504"/>
      <c r="Z199" s="504"/>
      <c r="AA199" s="504"/>
      <c r="AB199" s="504"/>
      <c r="AC199" s="322"/>
      <c r="AD199" s="322"/>
      <c r="AE199" s="322"/>
    </row>
    <row r="200" spans="1:37" x14ac:dyDescent="0.25">
      <c r="A200" s="1138">
        <v>191</v>
      </c>
      <c r="B200" s="1138" t="s">
        <v>41</v>
      </c>
      <c r="C200" s="1037" t="s">
        <v>111</v>
      </c>
      <c r="D200" s="958" t="s">
        <v>1012</v>
      </c>
      <c r="E200" s="1297">
        <f>IF(AND(E189=AIS_Yes,E190=AIS_Yes),G191+G192+G193+G194+G195,0)</f>
        <v>0</v>
      </c>
      <c r="I200" s="430"/>
      <c r="J200" s="430"/>
      <c r="K200" s="1414"/>
      <c r="L200" s="1022"/>
      <c r="M200" s="1175"/>
      <c r="S200" s="504"/>
      <c r="T200" s="504"/>
      <c r="U200" s="504"/>
      <c r="V200" s="504"/>
      <c r="W200" s="504"/>
      <c r="X200" s="504"/>
      <c r="Y200" s="504"/>
      <c r="Z200" s="504"/>
      <c r="AA200" s="504"/>
      <c r="AB200" s="504"/>
      <c r="AC200" s="322"/>
      <c r="AD200" s="322"/>
      <c r="AE200" s="322"/>
    </row>
    <row r="201" spans="1:37" x14ac:dyDescent="0.25">
      <c r="A201" s="1138">
        <v>192</v>
      </c>
      <c r="B201" s="1138" t="s">
        <v>41</v>
      </c>
      <c r="C201" s="1037" t="s">
        <v>111</v>
      </c>
      <c r="D201" s="924" t="s">
        <v>77</v>
      </c>
      <c r="E201" s="1273">
        <f>Hea01_27</f>
        <v>0</v>
      </c>
      <c r="I201" s="430"/>
      <c r="J201" s="430"/>
      <c r="K201" s="1414"/>
      <c r="L201" s="1022"/>
      <c r="M201" s="1175"/>
      <c r="S201" s="504"/>
      <c r="T201" s="504"/>
      <c r="U201" s="504"/>
      <c r="V201" s="504"/>
      <c r="W201" s="504"/>
      <c r="X201" s="504"/>
      <c r="Y201" s="504"/>
      <c r="Z201" s="504"/>
      <c r="AA201" s="504"/>
      <c r="AB201" s="504"/>
      <c r="AC201" s="322"/>
      <c r="AD201" s="322"/>
      <c r="AE201" s="322"/>
    </row>
    <row r="202" spans="1:37" x14ac:dyDescent="0.25">
      <c r="A202" s="1138">
        <v>193</v>
      </c>
      <c r="B202" s="1138" t="s">
        <v>41</v>
      </c>
      <c r="C202" s="1037" t="s">
        <v>111</v>
      </c>
      <c r="D202" s="926" t="s">
        <v>1005</v>
      </c>
      <c r="E202" s="1272">
        <f>G198</f>
        <v>0</v>
      </c>
      <c r="I202" s="430"/>
      <c r="J202" s="430"/>
      <c r="K202" s="1414"/>
      <c r="L202" s="1022"/>
      <c r="M202" s="1175"/>
      <c r="S202" s="504"/>
      <c r="T202" s="504"/>
      <c r="U202" s="504"/>
      <c r="V202" s="504"/>
      <c r="W202" s="504"/>
      <c r="X202" s="504"/>
      <c r="Y202" s="504"/>
      <c r="Z202" s="504"/>
      <c r="AA202" s="504"/>
      <c r="AB202" s="504"/>
      <c r="AC202" s="322"/>
      <c r="AD202" s="322"/>
      <c r="AE202" s="322"/>
    </row>
    <row r="203" spans="1:37" x14ac:dyDescent="0.25">
      <c r="A203" s="1138">
        <v>194</v>
      </c>
      <c r="B203" s="1138" t="s">
        <v>41</v>
      </c>
      <c r="C203" s="1037" t="s">
        <v>111</v>
      </c>
      <c r="D203" s="923" t="s">
        <v>46</v>
      </c>
      <c r="E203" s="1426" t="str">
        <f>VLOOKUP(MIN(Poeng!BD39:BD45,Poeng!BD234),Poeng!$BO$285:$BP$291,2,FALSE)</f>
        <v>Unclassified</v>
      </c>
      <c r="F203" s="922"/>
      <c r="G203" s="921"/>
      <c r="I203" s="430"/>
      <c r="J203" s="430"/>
      <c r="K203" s="1414"/>
      <c r="L203" s="1022"/>
      <c r="M203" s="1175"/>
      <c r="S203" s="504"/>
      <c r="T203" s="504"/>
      <c r="U203" s="504"/>
      <c r="V203" s="504"/>
      <c r="W203" s="504"/>
      <c r="X203" s="504"/>
      <c r="Y203" s="504"/>
      <c r="Z203" s="504"/>
      <c r="AA203" s="504"/>
      <c r="AB203" s="504"/>
      <c r="AC203" s="322"/>
      <c r="AD203" s="322"/>
      <c r="AE203" s="322"/>
    </row>
    <row r="204" spans="1:37" x14ac:dyDescent="0.25">
      <c r="A204" s="1138">
        <v>195</v>
      </c>
      <c r="B204" s="1138" t="s">
        <v>41</v>
      </c>
      <c r="C204" s="1037" t="s">
        <v>111</v>
      </c>
      <c r="I204" s="430"/>
      <c r="J204" s="430"/>
      <c r="K204" s="1414"/>
      <c r="L204" s="1022"/>
      <c r="M204" s="1175"/>
      <c r="S204" s="504"/>
      <c r="T204" s="504"/>
      <c r="U204" s="504"/>
      <c r="V204" s="504"/>
      <c r="W204" s="504"/>
      <c r="X204" s="504"/>
      <c r="Y204" s="504"/>
      <c r="Z204" s="504"/>
      <c r="AA204" s="504"/>
      <c r="AB204" s="504"/>
      <c r="AC204" s="322"/>
      <c r="AD204" s="322"/>
      <c r="AE204" s="322"/>
    </row>
    <row r="205" spans="1:37" x14ac:dyDescent="0.25">
      <c r="A205" s="1138">
        <v>196</v>
      </c>
      <c r="B205" s="1138" t="s">
        <v>41</v>
      </c>
      <c r="C205" s="1037" t="s">
        <v>111</v>
      </c>
      <c r="D205" s="920" t="s">
        <v>1004</v>
      </c>
      <c r="E205" s="920" t="s">
        <v>1003</v>
      </c>
      <c r="F205" s="920" t="str">
        <f>HLOOKUP(C205,'Assessment References'!$H$512:$BG$513,2,FALSE)</f>
        <v/>
      </c>
      <c r="G205" s="919"/>
      <c r="H205" s="918"/>
      <c r="I205" s="430"/>
      <c r="J205" s="430"/>
      <c r="K205" s="1414"/>
      <c r="L205" s="1022"/>
      <c r="M205" s="1175"/>
      <c r="S205" s="504"/>
      <c r="T205" s="504"/>
      <c r="U205" s="504"/>
      <c r="V205" s="504"/>
      <c r="W205" s="504"/>
      <c r="X205" s="504"/>
      <c r="Y205" s="504"/>
      <c r="Z205" s="504"/>
      <c r="AA205" s="504"/>
      <c r="AB205" s="504"/>
      <c r="AC205" s="322"/>
      <c r="AD205" s="322"/>
      <c r="AE205" s="322"/>
    </row>
    <row r="206" spans="1:37" x14ac:dyDescent="0.25">
      <c r="A206" s="1138">
        <v>197</v>
      </c>
      <c r="B206" s="1138" t="s">
        <v>41</v>
      </c>
      <c r="C206" s="1037" t="s">
        <v>111</v>
      </c>
      <c r="D206" s="1539"/>
      <c r="E206" s="1540"/>
      <c r="F206" s="1540"/>
      <c r="G206" s="1540"/>
      <c r="H206" s="1541"/>
      <c r="I206" s="430"/>
      <c r="J206" s="430"/>
      <c r="K206" s="1414"/>
      <c r="L206" s="1022"/>
      <c r="M206" s="1175"/>
      <c r="S206" s="504"/>
      <c r="T206" s="504"/>
      <c r="U206" s="504"/>
      <c r="V206" s="504"/>
      <c r="W206" s="504"/>
      <c r="X206" s="504"/>
      <c r="Y206" s="504"/>
      <c r="Z206" s="504"/>
      <c r="AA206" s="504"/>
      <c r="AB206" s="504"/>
      <c r="AC206" s="322"/>
      <c r="AD206" s="322"/>
      <c r="AE206" s="322"/>
    </row>
    <row r="207" spans="1:37" x14ac:dyDescent="0.25">
      <c r="A207" s="1138">
        <v>198</v>
      </c>
      <c r="B207" s="1138" t="s">
        <v>41</v>
      </c>
      <c r="C207" s="1037" t="s">
        <v>111</v>
      </c>
      <c r="D207" s="1530"/>
      <c r="E207" s="1531"/>
      <c r="F207" s="1531"/>
      <c r="G207" s="1531"/>
      <c r="H207" s="1532"/>
      <c r="I207" s="430"/>
      <c r="J207" s="430"/>
      <c r="K207" s="1414"/>
      <c r="L207" s="1022"/>
      <c r="M207" s="1175"/>
      <c r="S207" s="504"/>
      <c r="T207" s="504"/>
      <c r="U207" s="504"/>
      <c r="V207" s="504"/>
      <c r="W207" s="504"/>
      <c r="X207" s="504"/>
      <c r="Y207" s="504"/>
      <c r="Z207" s="504"/>
      <c r="AA207" s="504"/>
      <c r="AB207" s="504"/>
      <c r="AC207" s="322"/>
      <c r="AD207" s="322"/>
      <c r="AE207" s="322"/>
    </row>
    <row r="208" spans="1:37" x14ac:dyDescent="0.25">
      <c r="A208" s="1138">
        <v>199</v>
      </c>
      <c r="B208" s="1138" t="s">
        <v>41</v>
      </c>
      <c r="C208" s="1037" t="s">
        <v>111</v>
      </c>
      <c r="D208" s="1530"/>
      <c r="E208" s="1531"/>
      <c r="F208" s="1531"/>
      <c r="G208" s="1531"/>
      <c r="H208" s="1532"/>
      <c r="I208" s="430"/>
      <c r="J208" s="430"/>
      <c r="K208" s="1414"/>
      <c r="L208" s="1022"/>
      <c r="M208" s="1175"/>
      <c r="S208" s="504"/>
      <c r="T208" s="504"/>
      <c r="U208" s="504"/>
      <c r="V208" s="504"/>
      <c r="W208" s="504"/>
      <c r="X208" s="504"/>
      <c r="Y208" s="504"/>
      <c r="Z208" s="504"/>
      <c r="AA208" s="504"/>
      <c r="AB208" s="504"/>
      <c r="AC208" s="322"/>
      <c r="AD208" s="322"/>
      <c r="AE208" s="322"/>
    </row>
    <row r="209" spans="1:39" x14ac:dyDescent="0.25">
      <c r="A209" s="1138">
        <v>200</v>
      </c>
      <c r="B209" s="1138" t="s">
        <v>41</v>
      </c>
      <c r="C209" s="1037" t="s">
        <v>111</v>
      </c>
      <c r="D209" s="1533"/>
      <c r="E209" s="1534"/>
      <c r="F209" s="1534"/>
      <c r="G209" s="1534"/>
      <c r="H209" s="1535"/>
      <c r="I209" s="430"/>
      <c r="J209" s="430"/>
      <c r="K209" s="1414"/>
      <c r="L209" s="1022"/>
      <c r="M209" s="1175"/>
      <c r="S209" s="504"/>
      <c r="T209" s="504"/>
      <c r="U209" s="504"/>
      <c r="V209" s="504"/>
      <c r="W209" s="504"/>
      <c r="X209" s="504"/>
      <c r="Y209" s="504"/>
      <c r="Z209" s="504"/>
      <c r="AA209" s="504"/>
      <c r="AB209" s="504"/>
      <c r="AC209" s="322"/>
      <c r="AD209" s="322"/>
      <c r="AE209" s="322"/>
    </row>
    <row r="210" spans="1:39" x14ac:dyDescent="0.25">
      <c r="A210" s="1138">
        <v>201</v>
      </c>
      <c r="B210" s="1138" t="s">
        <v>41</v>
      </c>
      <c r="C210" s="1037" t="s">
        <v>111</v>
      </c>
      <c r="D210" s="1533"/>
      <c r="E210" s="1534"/>
      <c r="F210" s="1534"/>
      <c r="G210" s="1534"/>
      <c r="H210" s="1535"/>
      <c r="I210" s="430"/>
      <c r="J210" s="430"/>
      <c r="K210" s="1414"/>
      <c r="L210" s="1022"/>
      <c r="M210" s="1175"/>
      <c r="S210" s="504"/>
      <c r="T210" s="504"/>
      <c r="U210" s="504"/>
      <c r="V210" s="504"/>
      <c r="W210" s="504"/>
      <c r="X210" s="504"/>
      <c r="Y210" s="504"/>
      <c r="Z210" s="504"/>
      <c r="AA210" s="504"/>
      <c r="AB210" s="504"/>
      <c r="AC210" s="322"/>
      <c r="AD210" s="322"/>
      <c r="AE210" s="322"/>
    </row>
    <row r="211" spans="1:39" x14ac:dyDescent="0.25">
      <c r="A211" s="1138">
        <v>202</v>
      </c>
      <c r="B211" s="1138" t="s">
        <v>41</v>
      </c>
      <c r="C211" s="1037" t="s">
        <v>111</v>
      </c>
      <c r="D211" s="1536"/>
      <c r="E211" s="1537"/>
      <c r="F211" s="1537"/>
      <c r="G211" s="1537"/>
      <c r="H211" s="1538"/>
      <c r="I211" s="430"/>
      <c r="J211" s="430"/>
      <c r="K211" s="1414"/>
      <c r="L211" s="1022"/>
      <c r="M211" s="1175"/>
      <c r="S211" s="504"/>
      <c r="T211" s="504"/>
      <c r="U211" s="504"/>
      <c r="V211" s="504"/>
      <c r="W211" s="504"/>
      <c r="X211" s="504"/>
      <c r="Y211" s="504"/>
      <c r="Z211" s="504"/>
      <c r="AA211" s="504"/>
      <c r="AB211" s="504"/>
      <c r="AC211" s="322"/>
      <c r="AD211" s="322"/>
      <c r="AE211" s="322"/>
    </row>
    <row r="212" spans="1:39" x14ac:dyDescent="0.25">
      <c r="A212" s="1138">
        <v>203</v>
      </c>
      <c r="B212" s="1138" t="s">
        <v>41</v>
      </c>
      <c r="C212" s="1037" t="s">
        <v>111</v>
      </c>
      <c r="D212" s="984"/>
      <c r="E212" s="984"/>
      <c r="F212" s="984"/>
      <c r="G212" s="984"/>
      <c r="H212" s="984"/>
      <c r="I212" s="430"/>
      <c r="J212" s="430"/>
      <c r="K212" s="1414"/>
      <c r="L212" s="1022"/>
      <c r="M212" s="1175"/>
      <c r="S212" s="504"/>
      <c r="T212" s="504"/>
      <c r="U212" s="504"/>
      <c r="V212" s="504"/>
      <c r="W212" s="504"/>
      <c r="X212" s="504"/>
      <c r="Y212" s="504"/>
      <c r="Z212" s="504"/>
      <c r="AA212" s="504"/>
      <c r="AB212" s="504"/>
      <c r="AC212" s="322"/>
      <c r="AD212" s="322"/>
      <c r="AE212" s="322"/>
    </row>
    <row r="213" spans="1:39" x14ac:dyDescent="0.25">
      <c r="A213" s="1138">
        <v>204</v>
      </c>
      <c r="B213" s="1139" t="s">
        <v>41</v>
      </c>
      <c r="C213" s="950" t="s">
        <v>112</v>
      </c>
      <c r="D213" s="1044" t="s">
        <v>1120</v>
      </c>
      <c r="E213" s="1011"/>
      <c r="F213" s="1011"/>
      <c r="G213" s="1010"/>
      <c r="H213" s="1010"/>
      <c r="I213" s="430"/>
      <c r="J213" s="430"/>
      <c r="K213" s="1174"/>
      <c r="L213" s="1022"/>
      <c r="M213" s="1175"/>
      <c r="S213" s="504"/>
      <c r="T213" s="504"/>
      <c r="U213" s="504"/>
      <c r="V213" s="504"/>
      <c r="W213" s="504"/>
      <c r="X213" s="504"/>
      <c r="Y213" s="504"/>
      <c r="Z213" s="504"/>
      <c r="AA213" s="504"/>
      <c r="AB213" s="504"/>
      <c r="AC213" s="322"/>
      <c r="AD213" s="322"/>
      <c r="AE213" s="322"/>
    </row>
    <row r="214" spans="1:39" x14ac:dyDescent="0.25">
      <c r="A214" s="1138">
        <v>205</v>
      </c>
      <c r="B214" s="1138" t="s">
        <v>41</v>
      </c>
      <c r="C214" s="1037" t="s">
        <v>112</v>
      </c>
      <c r="D214" s="946" t="s">
        <v>15</v>
      </c>
      <c r="E214" s="1264">
        <f>Hea02_credits</f>
        <v>4</v>
      </c>
      <c r="F214" s="945"/>
      <c r="G214" s="944" t="s">
        <v>76</v>
      </c>
      <c r="H214" s="1266">
        <f>Hea02_25</f>
        <v>3.3684210526315789E-2</v>
      </c>
      <c r="I214" s="430"/>
      <c r="J214" s="430"/>
      <c r="K214" s="1174"/>
      <c r="L214" s="1022"/>
      <c r="M214" s="1175"/>
      <c r="S214" s="504"/>
      <c r="T214" s="504"/>
      <c r="U214" s="504"/>
      <c r="V214" s="504"/>
      <c r="W214" s="504"/>
      <c r="X214" s="504"/>
      <c r="Y214" s="504"/>
      <c r="Z214" s="504"/>
      <c r="AA214" s="504"/>
      <c r="AB214" s="504"/>
      <c r="AC214" s="322"/>
      <c r="AD214" s="322"/>
      <c r="AE214" s="322"/>
    </row>
    <row r="215" spans="1:39" x14ac:dyDescent="0.25">
      <c r="A215" s="1138">
        <v>206</v>
      </c>
      <c r="B215" s="1138" t="s">
        <v>41</v>
      </c>
      <c r="C215" s="1037" t="s">
        <v>112</v>
      </c>
      <c r="D215" s="972" t="s">
        <v>1011</v>
      </c>
      <c r="E215" s="1265">
        <f>Inn03_credits</f>
        <v>1</v>
      </c>
      <c r="F215" s="941"/>
      <c r="G215" s="940" t="s">
        <v>1010</v>
      </c>
      <c r="H215" s="1267" t="s">
        <v>12</v>
      </c>
      <c r="I215" s="430"/>
      <c r="J215" s="430"/>
      <c r="K215" s="1174"/>
      <c r="L215" s="1022"/>
      <c r="M215" s="1175"/>
      <c r="S215" s="504"/>
      <c r="T215" s="504"/>
      <c r="U215" s="504"/>
      <c r="V215" s="504"/>
      <c r="W215" s="504"/>
      <c r="X215" s="504"/>
      <c r="Y215" s="504"/>
      <c r="Z215" s="504"/>
      <c r="AA215" s="504"/>
      <c r="AB215" s="504"/>
      <c r="AC215" s="322"/>
      <c r="AD215" s="322"/>
      <c r="AE215" s="322"/>
    </row>
    <row r="216" spans="1:39" x14ac:dyDescent="0.25">
      <c r="A216" s="1138">
        <v>207</v>
      </c>
      <c r="B216" s="1138" t="s">
        <v>41</v>
      </c>
      <c r="C216" s="1037" t="s">
        <v>112</v>
      </c>
      <c r="I216" s="430"/>
      <c r="J216" s="430"/>
      <c r="K216" s="1174"/>
      <c r="L216" s="1022"/>
      <c r="M216" s="1175"/>
      <c r="S216" s="504"/>
      <c r="T216" s="504"/>
      <c r="U216" s="504"/>
      <c r="V216" s="504"/>
      <c r="W216" s="504"/>
      <c r="X216" s="504"/>
      <c r="Y216" s="504"/>
      <c r="Z216" s="504"/>
      <c r="AA216" s="504"/>
      <c r="AB216" s="504"/>
      <c r="AC216" s="322"/>
      <c r="AD216" s="322"/>
      <c r="AE216" s="322"/>
    </row>
    <row r="217" spans="1:39" ht="15.75" thickBot="1" x14ac:dyDescent="0.3">
      <c r="A217" s="1138">
        <v>208</v>
      </c>
      <c r="B217" s="1138" t="s">
        <v>41</v>
      </c>
      <c r="C217" s="1037" t="s">
        <v>112</v>
      </c>
      <c r="D217" s="938" t="s">
        <v>1009</v>
      </c>
      <c r="E217" s="937" t="s">
        <v>1008</v>
      </c>
      <c r="F217" s="937" t="s">
        <v>1007</v>
      </c>
      <c r="G217" s="937" t="s">
        <v>1006</v>
      </c>
      <c r="H217" s="937" t="s">
        <v>1014</v>
      </c>
      <c r="I217" s="430"/>
      <c r="J217" s="430"/>
      <c r="K217" s="1174"/>
      <c r="L217" s="1022"/>
      <c r="M217" s="1175"/>
      <c r="S217" s="504"/>
      <c r="T217" s="504"/>
      <c r="U217" s="504"/>
      <c r="V217" s="504"/>
      <c r="W217" s="504"/>
      <c r="X217" s="504"/>
      <c r="Y217" s="504"/>
      <c r="Z217" s="504"/>
      <c r="AA217" s="504"/>
      <c r="AB217" s="504"/>
      <c r="AC217" s="322"/>
      <c r="AD217" s="322"/>
      <c r="AE217" s="322"/>
    </row>
    <row r="218" spans="1:39" ht="15.75" thickBot="1" x14ac:dyDescent="0.3">
      <c r="A218" s="1138">
        <v>209</v>
      </c>
      <c r="B218" s="1138" t="s">
        <v>41</v>
      </c>
      <c r="C218" s="1037" t="s">
        <v>112</v>
      </c>
      <c r="D218" s="1168" t="s">
        <v>1432</v>
      </c>
      <c r="E218" s="1268" t="s">
        <v>12</v>
      </c>
      <c r="F218" s="1223"/>
      <c r="G218" s="1223"/>
      <c r="H218" s="1057" t="s">
        <v>14</v>
      </c>
      <c r="I218" s="1171" t="str">
        <f>IF(E218&lt;&gt;AIS_Yes,"Pre-requisite: Please select yes","")</f>
        <v/>
      </c>
      <c r="J218" s="430"/>
      <c r="K218" s="992" t="s">
        <v>316</v>
      </c>
      <c r="L218" s="992">
        <v>0</v>
      </c>
      <c r="M218" s="1175"/>
      <c r="S218" s="62" t="s">
        <v>1015</v>
      </c>
      <c r="T218" s="504"/>
      <c r="U218" s="504"/>
      <c r="V218" s="504"/>
      <c r="W218" s="504"/>
      <c r="X218" s="504"/>
      <c r="Y218" s="504" t="str">
        <f>$X$4</f>
        <v>No</v>
      </c>
      <c r="Z218" s="504"/>
      <c r="AA218" s="504"/>
      <c r="AB218" s="504"/>
      <c r="AC218" s="322"/>
      <c r="AD218" s="322"/>
      <c r="AE218" s="322"/>
      <c r="AM218" s="375" t="s">
        <v>1119</v>
      </c>
    </row>
    <row r="219" spans="1:39" ht="15.75" thickBot="1" x14ac:dyDescent="0.3">
      <c r="A219" s="1138">
        <v>210</v>
      </c>
      <c r="B219" s="1138" t="s">
        <v>41</v>
      </c>
      <c r="C219" s="1037" t="s">
        <v>112</v>
      </c>
      <c r="D219" s="1293" t="s">
        <v>1118</v>
      </c>
      <c r="E219" s="1271" t="s">
        <v>316</v>
      </c>
      <c r="F219" s="1294">
        <f>Poeng!AB48</f>
        <v>1</v>
      </c>
      <c r="G219" s="1270">
        <f>IF(E219=AIS_Yes,F219,0)</f>
        <v>0</v>
      </c>
      <c r="H219" s="987" t="s">
        <v>14</v>
      </c>
      <c r="I219" s="430"/>
      <c r="J219" s="430"/>
      <c r="K219" s="1027" t="s">
        <v>1435</v>
      </c>
      <c r="L219" s="1027">
        <v>0</v>
      </c>
      <c r="M219" s="1175"/>
      <c r="S219" s="846">
        <v>1</v>
      </c>
      <c r="T219" s="846">
        <v>0</v>
      </c>
      <c r="U219" s="968">
        <v>1</v>
      </c>
      <c r="V219" s="146" t="str">
        <f t="shared" ref="V219:X220" si="1">IF($X$4=AIS_Yes,S219,AIS_NA)</f>
        <v>N/A</v>
      </c>
      <c r="W219" s="43" t="str">
        <f t="shared" si="1"/>
        <v>N/A</v>
      </c>
      <c r="X219" s="163" t="str">
        <f t="shared" si="1"/>
        <v>N/A</v>
      </c>
      <c r="Y219" s="967" t="str">
        <f>IF(AND($X$4=AIS_Yes,OR(V219&lt;&gt;AIS_NA,W219&lt;&gt;AIS_NA,X219&lt;&gt;AIS_NA)),AIS_Yes,AIS_No)</f>
        <v>No</v>
      </c>
      <c r="Z219" s="146" t="e">
        <f>AIS_option01</f>
        <v>#NAME?</v>
      </c>
      <c r="AA219" s="43" t="e">
        <f>AIS_option02a</f>
        <v>#NAME?</v>
      </c>
      <c r="AB219" s="147" t="e">
        <f>AIS_option03</f>
        <v>#NAME?</v>
      </c>
      <c r="AC219" s="966"/>
      <c r="AD219" s="965" t="str">
        <f>AIS_NA</f>
        <v>N/A</v>
      </c>
      <c r="AE219" s="962" t="str">
        <f>IF(Y219=AIS_Yes,Z219,AIS_NA)</f>
        <v>N/A</v>
      </c>
      <c r="AF219" s="962" t="str">
        <f>IF(Y219=AIS_Yes,AA219,AIS_NA)</f>
        <v>N/A</v>
      </c>
      <c r="AG219" s="964" t="str">
        <f>IF(Y219=AIS_Yes,AB219,AIS_NA)</f>
        <v>N/A</v>
      </c>
      <c r="AH219" s="963" t="str">
        <f>C219</f>
        <v>Hea 02</v>
      </c>
      <c r="AI219" s="962" t="s">
        <v>1117</v>
      </c>
      <c r="AJ219" s="961" t="str">
        <f>H219</f>
        <v>N/A</v>
      </c>
      <c r="AK219" s="1016">
        <f>IF(Y219=AIS_No,1,IF(H219=AE219,V219,IF(H219=AF219,W219,IF(H219=AG219,X219,1))))</f>
        <v>1</v>
      </c>
    </row>
    <row r="220" spans="1:39" ht="30.75" thickBot="1" x14ac:dyDescent="0.3">
      <c r="A220" s="1138">
        <v>211</v>
      </c>
      <c r="B220" s="1138" t="s">
        <v>41</v>
      </c>
      <c r="C220" s="1037" t="s">
        <v>112</v>
      </c>
      <c r="D220" s="1422" t="s">
        <v>1869</v>
      </c>
      <c r="E220" s="1271" t="s">
        <v>316</v>
      </c>
      <c r="F220" s="1294">
        <f>Poeng!AB49</f>
        <v>2</v>
      </c>
      <c r="G220" s="1295">
        <f>VLOOKUP(E220,K218:L221,2,FALSE)</f>
        <v>0</v>
      </c>
      <c r="H220" s="987" t="s">
        <v>14</v>
      </c>
      <c r="I220" s="1017"/>
      <c r="J220" s="430"/>
      <c r="K220" s="1027" t="s">
        <v>1436</v>
      </c>
      <c r="L220" s="1027">
        <f>F220/2</f>
        <v>1</v>
      </c>
      <c r="M220" s="1175"/>
      <c r="S220" s="846">
        <v>1</v>
      </c>
      <c r="T220" s="846">
        <v>0.5</v>
      </c>
      <c r="U220" s="968">
        <v>1</v>
      </c>
      <c r="V220" s="146" t="str">
        <f t="shared" si="1"/>
        <v>N/A</v>
      </c>
      <c r="W220" s="43" t="str">
        <f t="shared" si="1"/>
        <v>N/A</v>
      </c>
      <c r="X220" s="163" t="str">
        <f t="shared" si="1"/>
        <v>N/A</v>
      </c>
      <c r="Y220" s="967" t="str">
        <f>IF(AND($X$4=AIS_Yes,OR(V220&lt;&gt;AIS_NA,W220&lt;&gt;AIS_NA,X220&lt;&gt;AIS_NA)),AIS_Yes,AIS_No)</f>
        <v>No</v>
      </c>
      <c r="Z220" s="146" t="e">
        <f>AIS_option01</f>
        <v>#NAME?</v>
      </c>
      <c r="AA220" s="43" t="e">
        <f>AIS_option02_50</f>
        <v>#NAME?</v>
      </c>
      <c r="AB220" s="147" t="e">
        <f>AIS_option03</f>
        <v>#NAME?</v>
      </c>
      <c r="AC220" s="966"/>
      <c r="AD220" s="965"/>
      <c r="AE220" s="962" t="str">
        <f>IF(Y220=AIS_Yes,Z220,AIS_NA)</f>
        <v>N/A</v>
      </c>
      <c r="AF220" s="962" t="str">
        <f>IF(Y220=AIS_Yes,AA220,AIS_NA)</f>
        <v>N/A</v>
      </c>
      <c r="AG220" s="964" t="str">
        <f>IF(Y220=AIS_Yes,AB220,AIS_NA)</f>
        <v>N/A</v>
      </c>
      <c r="AH220" s="963" t="str">
        <f>C220</f>
        <v>Hea 02</v>
      </c>
      <c r="AI220" s="962" t="s">
        <v>1116</v>
      </c>
      <c r="AJ220" s="961" t="str">
        <f>H220</f>
        <v>N/A</v>
      </c>
      <c r="AK220" s="1016">
        <f>IF(Y220=AIS_No,1,IF(H220=AE220,V220,IF(H220=AF220,W220,IF(H220=AG220,X220,1))))</f>
        <v>1</v>
      </c>
    </row>
    <row r="221" spans="1:39" ht="15.75" thickBot="1" x14ac:dyDescent="0.3">
      <c r="A221" s="1138">
        <v>212</v>
      </c>
      <c r="B221" s="1138" t="s">
        <v>41</v>
      </c>
      <c r="C221" s="1037" t="s">
        <v>112</v>
      </c>
      <c r="D221" s="1305" t="s">
        <v>1437</v>
      </c>
      <c r="E221" s="1301" t="s">
        <v>316</v>
      </c>
      <c r="F221" s="1226">
        <f>Poeng!AB50</f>
        <v>1</v>
      </c>
      <c r="G221" s="1227">
        <f>IF(E221=AIS_Yes,F221,0)</f>
        <v>0</v>
      </c>
      <c r="H221" s="986" t="s">
        <v>14</v>
      </c>
      <c r="I221" s="430"/>
      <c r="J221" s="430"/>
      <c r="K221" s="991" t="s">
        <v>1213</v>
      </c>
      <c r="L221" s="991">
        <f>F220</f>
        <v>2</v>
      </c>
      <c r="M221" s="1175"/>
      <c r="S221" s="62" t="s">
        <v>1015</v>
      </c>
      <c r="T221" s="504"/>
      <c r="U221" s="504"/>
      <c r="V221" s="504"/>
      <c r="W221" s="504"/>
      <c r="X221" s="504"/>
      <c r="Y221" s="504" t="str">
        <f>$X$4</f>
        <v>No</v>
      </c>
      <c r="Z221" s="504"/>
      <c r="AA221" s="504"/>
      <c r="AB221" s="504"/>
      <c r="AC221" s="322"/>
      <c r="AD221" s="322"/>
      <c r="AE221" s="322"/>
    </row>
    <row r="222" spans="1:39" x14ac:dyDescent="0.25">
      <c r="A222" s="1138">
        <v>213</v>
      </c>
      <c r="B222" s="1138" t="s">
        <v>41</v>
      </c>
      <c r="C222" s="1445" t="s">
        <v>112</v>
      </c>
      <c r="D222" s="430"/>
      <c r="E222" s="430"/>
      <c r="F222" s="430"/>
      <c r="G222" s="430"/>
      <c r="H222" s="430"/>
      <c r="I222" s="430"/>
      <c r="J222" s="430"/>
      <c r="K222" s="1182"/>
      <c r="L222" s="484"/>
      <c r="M222" s="1175"/>
      <c r="S222" s="62"/>
      <c r="T222" s="504"/>
      <c r="U222" s="504"/>
      <c r="V222" s="504"/>
      <c r="W222" s="504"/>
      <c r="X222" s="504"/>
      <c r="Y222" s="504"/>
      <c r="Z222" s="504"/>
      <c r="AA222" s="504"/>
      <c r="AB222" s="504"/>
      <c r="AC222" s="322"/>
      <c r="AD222" s="322"/>
      <c r="AE222" s="322"/>
    </row>
    <row r="223" spans="1:39" ht="15.75" thickBot="1" x14ac:dyDescent="0.3">
      <c r="A223" s="1138">
        <v>214</v>
      </c>
      <c r="B223" s="1138" t="s">
        <v>41</v>
      </c>
      <c r="C223" s="1445" t="s">
        <v>112</v>
      </c>
      <c r="D223" s="971" t="s">
        <v>1853</v>
      </c>
      <c r="E223" s="937" t="s">
        <v>1008</v>
      </c>
      <c r="F223" s="937" t="s">
        <v>1007</v>
      </c>
      <c r="G223" s="937" t="s">
        <v>1006</v>
      </c>
      <c r="H223" s="937" t="s">
        <v>1014</v>
      </c>
      <c r="I223" s="430"/>
      <c r="J223" s="430"/>
      <c r="K223" s="1182" t="s">
        <v>1892</v>
      </c>
      <c r="L223" s="484">
        <f>IF(E825=AD_Yes,1,0)</f>
        <v>0</v>
      </c>
      <c r="M223" s="1175"/>
      <c r="S223" s="62"/>
      <c r="T223" s="504"/>
      <c r="U223" s="504"/>
      <c r="V223" s="504"/>
      <c r="W223" s="504"/>
      <c r="X223" s="504"/>
      <c r="Y223" s="504"/>
      <c r="Z223" s="504"/>
      <c r="AA223" s="504"/>
      <c r="AB223" s="504"/>
      <c r="AC223" s="322"/>
      <c r="AD223" s="322"/>
      <c r="AE223" s="322"/>
    </row>
    <row r="224" spans="1:39" ht="15.75" thickBot="1" x14ac:dyDescent="0.3">
      <c r="A224" s="1138">
        <v>215</v>
      </c>
      <c r="B224" s="1138" t="s">
        <v>41</v>
      </c>
      <c r="C224" s="1037" t="s">
        <v>112</v>
      </c>
      <c r="D224" s="1305" t="s">
        <v>1852</v>
      </c>
      <c r="E224" s="1301" t="s">
        <v>316</v>
      </c>
      <c r="F224" s="1226">
        <f>Inn03_credits</f>
        <v>1</v>
      </c>
      <c r="G224" s="1226">
        <f>IF(E224=AIS_Yes,F224,0)</f>
        <v>0</v>
      </c>
      <c r="H224" s="1007" t="s">
        <v>14</v>
      </c>
      <c r="I224" s="430"/>
      <c r="J224" s="430"/>
      <c r="K224" s="1182"/>
      <c r="L224" s="484"/>
      <c r="M224" s="1175"/>
      <c r="S224" s="62" t="s">
        <v>1015</v>
      </c>
      <c r="T224" s="504"/>
      <c r="U224" s="504"/>
      <c r="V224" s="504"/>
      <c r="W224" s="504"/>
      <c r="X224" s="504"/>
      <c r="Y224" s="504" t="str">
        <f>$X$4</f>
        <v>No</v>
      </c>
      <c r="Z224" s="504"/>
      <c r="AA224" s="504"/>
      <c r="AB224" s="504"/>
      <c r="AC224" s="322"/>
      <c r="AD224" s="322"/>
      <c r="AE224" s="322"/>
    </row>
    <row r="225" spans="1:31" x14ac:dyDescent="0.25">
      <c r="A225" s="1138">
        <v>216</v>
      </c>
      <c r="B225" s="1138" t="s">
        <v>41</v>
      </c>
      <c r="C225" s="1037" t="s">
        <v>112</v>
      </c>
      <c r="D225" s="1181"/>
      <c r="E225" s="1181"/>
      <c r="F225" s="1181"/>
      <c r="G225" s="1181"/>
      <c r="H225" s="1181"/>
      <c r="I225" s="430"/>
      <c r="J225" s="430"/>
      <c r="K225" s="1174"/>
      <c r="L225" s="1022"/>
      <c r="M225" s="1175"/>
      <c r="S225" s="62" t="s">
        <v>1015</v>
      </c>
      <c r="T225" s="504"/>
      <c r="U225" s="504"/>
      <c r="V225" s="504"/>
      <c r="W225" s="504"/>
      <c r="X225" s="504"/>
      <c r="Y225" s="504" t="str">
        <f>$X$4</f>
        <v>No</v>
      </c>
      <c r="Z225" s="504"/>
      <c r="AA225" s="504"/>
      <c r="AB225" s="504"/>
      <c r="AC225" s="322"/>
      <c r="AD225" s="322"/>
      <c r="AE225" s="322"/>
    </row>
    <row r="226" spans="1:31" ht="15.75" thickBot="1" x14ac:dyDescent="0.3">
      <c r="A226" s="1138">
        <v>217</v>
      </c>
      <c r="B226" s="1138" t="s">
        <v>41</v>
      </c>
      <c r="C226" s="1037" t="s">
        <v>112</v>
      </c>
      <c r="D226" s="938" t="s">
        <v>1773</v>
      </c>
      <c r="E226" s="937"/>
      <c r="I226" s="430"/>
      <c r="J226" s="430"/>
      <c r="K226" s="1174"/>
      <c r="L226" s="1022"/>
      <c r="M226" s="1175"/>
      <c r="S226" s="504"/>
      <c r="T226" s="504"/>
      <c r="U226" s="504"/>
      <c r="V226" s="504"/>
      <c r="W226" s="504"/>
      <c r="X226" s="504"/>
      <c r="Y226" s="504"/>
      <c r="Z226" s="504"/>
      <c r="AA226" s="504"/>
      <c r="AB226" s="504"/>
      <c r="AC226" s="322"/>
      <c r="AD226" s="322"/>
      <c r="AE226" s="322"/>
    </row>
    <row r="227" spans="1:31" x14ac:dyDescent="0.25">
      <c r="A227" s="1138">
        <v>218</v>
      </c>
      <c r="B227" s="1138" t="s">
        <v>41</v>
      </c>
      <c r="C227" s="1037" t="s">
        <v>112</v>
      </c>
      <c r="D227" s="936" t="s">
        <v>1115</v>
      </c>
      <c r="E227" s="990"/>
      <c r="F227" s="375" t="s">
        <v>1157</v>
      </c>
      <c r="G227" s="994" t="str">
        <f>IF(G220=0,"",IF(AND(E218=AIS_Yes,KPI_18=""),"If data not available then insert INA (i.e. Indicator not assessed)",""))</f>
        <v/>
      </c>
      <c r="I227" s="430"/>
      <c r="J227" s="430"/>
      <c r="K227" s="1174"/>
      <c r="L227" s="1022"/>
      <c r="M227" s="1175"/>
      <c r="S227" s="504"/>
      <c r="T227" s="504"/>
      <c r="U227" s="504"/>
      <c r="V227" s="504"/>
      <c r="W227" s="504"/>
      <c r="X227" s="504"/>
      <c r="Y227" s="504"/>
      <c r="Z227" s="504"/>
      <c r="AA227" s="504"/>
      <c r="AB227" s="504"/>
      <c r="AC227" s="322"/>
      <c r="AD227" s="322"/>
      <c r="AE227" s="322"/>
    </row>
    <row r="228" spans="1:31" ht="15.75" thickBot="1" x14ac:dyDescent="0.3">
      <c r="A228" s="1138">
        <v>219</v>
      </c>
      <c r="B228" s="1138" t="s">
        <v>41</v>
      </c>
      <c r="C228" s="1037" t="s">
        <v>112</v>
      </c>
      <c r="D228" s="929" t="s">
        <v>1114</v>
      </c>
      <c r="E228" s="928"/>
      <c r="F228" s="375" t="s">
        <v>1157</v>
      </c>
      <c r="G228" s="994" t="str">
        <f>IF(G220=0,"",IF(AND(E218=AIS_Yes,KPI_19=""),"If data not available then insert INA (i.e. Indicator not assessed)",""))</f>
        <v/>
      </c>
      <c r="I228" s="430"/>
      <c r="J228" s="430"/>
      <c r="K228" s="1174"/>
      <c r="L228" s="1022"/>
      <c r="M228" s="1175"/>
      <c r="S228" s="504"/>
      <c r="T228" s="504"/>
      <c r="U228" s="504"/>
      <c r="V228" s="504"/>
      <c r="W228" s="504"/>
      <c r="X228" s="504"/>
      <c r="Y228" s="504"/>
      <c r="Z228" s="504"/>
      <c r="AA228" s="504"/>
      <c r="AB228" s="504"/>
      <c r="AC228" s="322"/>
      <c r="AD228" s="322"/>
      <c r="AE228" s="322"/>
    </row>
    <row r="229" spans="1:31" x14ac:dyDescent="0.25">
      <c r="A229" s="1138">
        <v>220</v>
      </c>
      <c r="B229" s="1138" t="s">
        <v>41</v>
      </c>
      <c r="C229" s="1037" t="s">
        <v>112</v>
      </c>
      <c r="I229" s="430"/>
      <c r="J229" s="430"/>
      <c r="K229" s="1174"/>
      <c r="L229" s="1022"/>
      <c r="M229" s="1175"/>
      <c r="S229" s="504"/>
      <c r="T229" s="504"/>
      <c r="U229" s="504"/>
      <c r="V229" s="504"/>
      <c r="W229" s="504"/>
      <c r="X229" s="504"/>
      <c r="Y229" s="504"/>
      <c r="Z229" s="504"/>
      <c r="AA229" s="504"/>
      <c r="AB229" s="504"/>
      <c r="AC229" s="322"/>
      <c r="AD229" s="322"/>
      <c r="AE229" s="322"/>
    </row>
    <row r="230" spans="1:31" x14ac:dyDescent="0.25">
      <c r="A230" s="1138">
        <v>221</v>
      </c>
      <c r="B230" s="1138" t="s">
        <v>41</v>
      </c>
      <c r="C230" s="1037" t="s">
        <v>112</v>
      </c>
      <c r="D230" s="958" t="s">
        <v>1012</v>
      </c>
      <c r="E230" s="1297">
        <f>G219+G220+G221+G224</f>
        <v>0</v>
      </c>
      <c r="F230" s="192" t="str">
        <f>IF(L223=0,"Requirement: The project must have achieved credits in Mat 05 criteria 6–8 Control plan and moisture measurements.","")</f>
        <v>Requirement: The project must have achieved credits in Mat 05 criteria 6–8 Control plan and moisture measurements.</v>
      </c>
      <c r="I230" s="430"/>
      <c r="J230" s="430"/>
      <c r="K230" s="1174"/>
      <c r="L230" s="1022"/>
      <c r="M230" s="1175"/>
      <c r="S230" s="504"/>
      <c r="T230" s="504"/>
      <c r="U230" s="504"/>
      <c r="V230" s="504"/>
      <c r="W230" s="504"/>
      <c r="X230" s="504"/>
      <c r="Y230" s="504"/>
      <c r="Z230" s="504"/>
      <c r="AA230" s="504"/>
      <c r="AB230" s="504"/>
      <c r="AC230" s="322"/>
      <c r="AD230" s="322"/>
      <c r="AE230" s="322"/>
    </row>
    <row r="231" spans="1:31" x14ac:dyDescent="0.25">
      <c r="A231" s="1138">
        <v>222</v>
      </c>
      <c r="B231" s="1138" t="s">
        <v>41</v>
      </c>
      <c r="C231" s="1037" t="s">
        <v>112</v>
      </c>
      <c r="D231" s="924" t="s">
        <v>77</v>
      </c>
      <c r="E231" s="1273">
        <f>Hea02_26</f>
        <v>0</v>
      </c>
      <c r="I231" s="430"/>
      <c r="J231" s="430"/>
      <c r="K231" s="1174"/>
      <c r="L231" s="1022"/>
      <c r="M231" s="1175"/>
      <c r="S231" s="504"/>
      <c r="T231" s="504"/>
      <c r="U231" s="504"/>
      <c r="V231" s="504"/>
      <c r="W231" s="504"/>
      <c r="X231" s="504"/>
      <c r="Y231" s="504"/>
      <c r="Z231" s="504"/>
      <c r="AA231" s="504"/>
      <c r="AB231" s="504"/>
      <c r="AC231" s="322"/>
      <c r="AD231" s="322"/>
      <c r="AE231" s="322"/>
    </row>
    <row r="232" spans="1:31" x14ac:dyDescent="0.25">
      <c r="A232" s="1138">
        <v>223</v>
      </c>
      <c r="B232" s="1138" t="s">
        <v>41</v>
      </c>
      <c r="C232" s="1037" t="s">
        <v>112</v>
      </c>
      <c r="D232" s="926" t="s">
        <v>1005</v>
      </c>
      <c r="E232" s="1272">
        <f>G224</f>
        <v>0</v>
      </c>
      <c r="I232" s="430"/>
      <c r="J232" s="430"/>
      <c r="K232" s="1174"/>
      <c r="L232" s="1022"/>
      <c r="M232" s="1175"/>
      <c r="S232" s="504"/>
      <c r="T232" s="504"/>
      <c r="U232" s="504"/>
      <c r="V232" s="504"/>
      <c r="W232" s="504"/>
      <c r="X232" s="504"/>
      <c r="Y232" s="504"/>
      <c r="Z232" s="504"/>
      <c r="AA232" s="504"/>
      <c r="AB232" s="504"/>
      <c r="AC232" s="322"/>
      <c r="AD232" s="322"/>
      <c r="AE232" s="322"/>
    </row>
    <row r="233" spans="1:31" x14ac:dyDescent="0.25">
      <c r="A233" s="1138">
        <v>224</v>
      </c>
      <c r="B233" s="1138" t="s">
        <v>41</v>
      </c>
      <c r="C233" s="1037" t="s">
        <v>112</v>
      </c>
      <c r="D233" s="923" t="s">
        <v>46</v>
      </c>
      <c r="E233" s="1290" t="str">
        <f>VLOOKUP(MIN(Poeng!BD46:BD50,Poeng!BD236),Poeng!$BO$285:$BP$291,2,FALSE)</f>
        <v>Good</v>
      </c>
      <c r="I233" s="430"/>
      <c r="J233" s="430"/>
      <c r="K233" s="1174"/>
      <c r="L233" s="1022"/>
      <c r="M233" s="1175"/>
      <c r="S233" s="504"/>
      <c r="T233" s="504"/>
      <c r="U233" s="504"/>
      <c r="V233" s="504"/>
      <c r="W233" s="504"/>
      <c r="X233" s="504"/>
      <c r="Y233" s="504"/>
      <c r="Z233" s="504"/>
      <c r="AA233" s="504"/>
      <c r="AB233" s="504"/>
      <c r="AC233" s="322"/>
      <c r="AD233" s="322"/>
      <c r="AE233" s="322"/>
    </row>
    <row r="234" spans="1:31" x14ac:dyDescent="0.25">
      <c r="A234" s="1138">
        <v>225</v>
      </c>
      <c r="B234" s="1138" t="s">
        <v>41</v>
      </c>
      <c r="C234" s="1037" t="s">
        <v>112</v>
      </c>
      <c r="I234" s="430"/>
      <c r="J234" s="430"/>
      <c r="K234" s="1174"/>
      <c r="L234" s="1022"/>
      <c r="M234" s="1175"/>
      <c r="S234" s="504"/>
      <c r="T234" s="504"/>
      <c r="U234" s="504"/>
      <c r="V234" s="504"/>
      <c r="W234" s="504"/>
      <c r="X234" s="504"/>
      <c r="Y234" s="504"/>
      <c r="Z234" s="504"/>
      <c r="AA234" s="504"/>
      <c r="AB234" s="504"/>
      <c r="AC234" s="322"/>
      <c r="AD234" s="322"/>
      <c r="AE234" s="322"/>
    </row>
    <row r="235" spans="1:31" x14ac:dyDescent="0.25">
      <c r="A235" s="1138">
        <v>226</v>
      </c>
      <c r="B235" s="1138" t="s">
        <v>41</v>
      </c>
      <c r="C235" s="1037" t="s">
        <v>112</v>
      </c>
      <c r="D235" s="920" t="s">
        <v>1004</v>
      </c>
      <c r="E235" s="920" t="s">
        <v>1003</v>
      </c>
      <c r="F235" s="920" t="str">
        <f>HLOOKUP(C235,'Assessment References'!$H$512:$BG$513,2,FALSE)</f>
        <v/>
      </c>
      <c r="G235" s="919"/>
      <c r="H235" s="918"/>
      <c r="I235" s="430"/>
      <c r="J235" s="430"/>
      <c r="K235" s="1174"/>
      <c r="L235" s="1022"/>
      <c r="M235" s="1175"/>
      <c r="S235" s="504"/>
      <c r="T235" s="504"/>
      <c r="U235" s="504"/>
      <c r="V235" s="504"/>
      <c r="W235" s="504"/>
      <c r="X235" s="504"/>
      <c r="Y235" s="504"/>
      <c r="Z235" s="504"/>
      <c r="AA235" s="504"/>
      <c r="AB235" s="504"/>
      <c r="AC235" s="322"/>
      <c r="AD235" s="322"/>
      <c r="AE235" s="322"/>
    </row>
    <row r="236" spans="1:31" x14ac:dyDescent="0.25">
      <c r="A236" s="1138">
        <v>227</v>
      </c>
      <c r="B236" s="1138" t="s">
        <v>41</v>
      </c>
      <c r="C236" s="1037" t="s">
        <v>112</v>
      </c>
      <c r="D236" s="1539"/>
      <c r="E236" s="1540"/>
      <c r="F236" s="1540"/>
      <c r="G236" s="1540"/>
      <c r="H236" s="1541"/>
      <c r="I236" s="430"/>
      <c r="J236" s="430"/>
      <c r="K236" s="1174"/>
      <c r="L236" s="1022"/>
      <c r="M236" s="1175"/>
      <c r="S236" s="504"/>
      <c r="T236" s="504"/>
      <c r="U236" s="504"/>
      <c r="V236" s="504"/>
      <c r="W236" s="504"/>
      <c r="X236" s="504"/>
      <c r="Y236" s="504"/>
      <c r="Z236" s="504"/>
      <c r="AA236" s="504"/>
      <c r="AB236" s="504"/>
      <c r="AC236" s="322"/>
      <c r="AD236" s="322"/>
      <c r="AE236" s="322"/>
    </row>
    <row r="237" spans="1:31" x14ac:dyDescent="0.25">
      <c r="A237" s="1138">
        <v>228</v>
      </c>
      <c r="B237" s="1138" t="s">
        <v>41</v>
      </c>
      <c r="C237" s="1037" t="s">
        <v>112</v>
      </c>
      <c r="D237" s="1530"/>
      <c r="E237" s="1531"/>
      <c r="F237" s="1531"/>
      <c r="G237" s="1531"/>
      <c r="H237" s="1532"/>
      <c r="I237" s="430"/>
      <c r="J237" s="430"/>
      <c r="K237" s="1174"/>
      <c r="L237" s="1022"/>
      <c r="M237" s="1175"/>
      <c r="S237" s="504"/>
      <c r="T237" s="504"/>
      <c r="U237" s="504"/>
      <c r="V237" s="504"/>
      <c r="W237" s="504"/>
      <c r="X237" s="504"/>
      <c r="Y237" s="504"/>
      <c r="Z237" s="504"/>
      <c r="AA237" s="504"/>
      <c r="AB237" s="504"/>
      <c r="AC237" s="322"/>
      <c r="AD237" s="322"/>
      <c r="AE237" s="322"/>
    </row>
    <row r="238" spans="1:31" x14ac:dyDescent="0.25">
      <c r="A238" s="1138">
        <v>229</v>
      </c>
      <c r="B238" s="1138" t="s">
        <v>41</v>
      </c>
      <c r="C238" s="1037" t="s">
        <v>112</v>
      </c>
      <c r="D238" s="1530"/>
      <c r="E238" s="1531"/>
      <c r="F238" s="1531"/>
      <c r="G238" s="1531"/>
      <c r="H238" s="1532"/>
      <c r="I238" s="430"/>
      <c r="J238" s="430"/>
      <c r="K238" s="1174"/>
      <c r="L238" s="1022"/>
      <c r="M238" s="1175"/>
      <c r="S238" s="504"/>
      <c r="T238" s="504"/>
      <c r="U238" s="504"/>
      <c r="V238" s="504"/>
      <c r="W238" s="504"/>
      <c r="X238" s="504"/>
      <c r="Y238" s="504"/>
      <c r="Z238" s="504"/>
      <c r="AA238" s="504"/>
      <c r="AB238" s="504"/>
      <c r="AC238" s="322"/>
      <c r="AD238" s="322"/>
      <c r="AE238" s="322"/>
    </row>
    <row r="239" spans="1:31" x14ac:dyDescent="0.25">
      <c r="A239" s="1138">
        <v>230</v>
      </c>
      <c r="B239" s="1138" t="s">
        <v>41</v>
      </c>
      <c r="C239" s="1037" t="s">
        <v>112</v>
      </c>
      <c r="D239" s="1533"/>
      <c r="E239" s="1534"/>
      <c r="F239" s="1534"/>
      <c r="G239" s="1534"/>
      <c r="H239" s="1535"/>
      <c r="I239" s="430"/>
      <c r="J239" s="430"/>
      <c r="K239" s="1174"/>
      <c r="L239" s="1022"/>
      <c r="M239" s="1175"/>
      <c r="S239" s="504"/>
      <c r="T239" s="504"/>
      <c r="U239" s="504"/>
      <c r="V239" s="504"/>
      <c r="W239" s="504"/>
      <c r="X239" s="504"/>
      <c r="Y239" s="504"/>
      <c r="Z239" s="504"/>
      <c r="AA239" s="504"/>
      <c r="AB239" s="504"/>
      <c r="AC239" s="322"/>
      <c r="AD239" s="322"/>
      <c r="AE239" s="322"/>
    </row>
    <row r="240" spans="1:31" x14ac:dyDescent="0.25">
      <c r="A240" s="1138">
        <v>231</v>
      </c>
      <c r="B240" s="1138" t="s">
        <v>41</v>
      </c>
      <c r="C240" s="1037" t="s">
        <v>112</v>
      </c>
      <c r="D240" s="1533"/>
      <c r="E240" s="1534"/>
      <c r="F240" s="1534"/>
      <c r="G240" s="1534"/>
      <c r="H240" s="1535"/>
      <c r="I240" s="430"/>
      <c r="J240" s="430"/>
      <c r="K240" s="1174"/>
      <c r="L240" s="1022"/>
      <c r="M240" s="1175"/>
      <c r="S240" s="504"/>
      <c r="T240" s="504"/>
      <c r="U240" s="504"/>
      <c r="V240" s="504"/>
      <c r="W240" s="504"/>
      <c r="X240" s="504"/>
      <c r="Y240" s="504"/>
      <c r="Z240" s="504"/>
      <c r="AA240" s="504"/>
      <c r="AB240" s="504"/>
      <c r="AC240" s="322"/>
      <c r="AD240" s="322"/>
      <c r="AE240" s="322"/>
    </row>
    <row r="241" spans="1:37" x14ac:dyDescent="0.25">
      <c r="A241" s="1138">
        <v>232</v>
      </c>
      <c r="B241" s="1138" t="s">
        <v>41</v>
      </c>
      <c r="C241" s="1037" t="s">
        <v>112</v>
      </c>
      <c r="D241" s="1536"/>
      <c r="E241" s="1537"/>
      <c r="F241" s="1537"/>
      <c r="G241" s="1537"/>
      <c r="H241" s="1538"/>
      <c r="I241" s="430"/>
      <c r="J241" s="430"/>
      <c r="K241" s="1174"/>
      <c r="L241" s="1022"/>
      <c r="M241" s="1175"/>
      <c r="S241" s="504"/>
      <c r="T241" s="504"/>
      <c r="U241" s="504"/>
      <c r="V241" s="504"/>
      <c r="W241" s="504"/>
      <c r="X241" s="504"/>
      <c r="Y241" s="504"/>
      <c r="Z241" s="504"/>
      <c r="AA241" s="504"/>
      <c r="AB241" s="504"/>
      <c r="AC241" s="322"/>
      <c r="AD241" s="322"/>
      <c r="AE241" s="322"/>
    </row>
    <row r="242" spans="1:37" x14ac:dyDescent="0.25">
      <c r="A242" s="1138">
        <v>233</v>
      </c>
      <c r="B242" s="1138" t="s">
        <v>41</v>
      </c>
      <c r="C242" s="1037" t="s">
        <v>112</v>
      </c>
      <c r="I242" s="430"/>
      <c r="J242" s="430"/>
      <c r="K242" s="1174"/>
      <c r="L242" s="1022"/>
      <c r="M242" s="1175"/>
      <c r="S242" s="504"/>
      <c r="T242" s="504"/>
      <c r="U242" s="504"/>
      <c r="V242" s="504"/>
      <c r="W242" s="504"/>
      <c r="X242" s="504"/>
      <c r="Y242" s="504"/>
      <c r="Z242" s="504"/>
      <c r="AA242" s="504"/>
      <c r="AB242" s="504"/>
      <c r="AC242" s="322"/>
      <c r="AD242" s="322"/>
      <c r="AE242" s="322"/>
    </row>
    <row r="243" spans="1:37" x14ac:dyDescent="0.25">
      <c r="A243" s="1138">
        <v>234</v>
      </c>
      <c r="B243" s="1139" t="s">
        <v>41</v>
      </c>
      <c r="C243" s="1012" t="s">
        <v>113</v>
      </c>
      <c r="D243" s="1051" t="s">
        <v>1113</v>
      </c>
      <c r="E243" s="1011"/>
      <c r="F243" s="1011"/>
      <c r="G243" s="1010"/>
      <c r="H243" s="974" t="str" cm="1">
        <f t="array" ref="H243">IF(Hea03_credits=AIS_credit00,AIS_statement32,"")</f>
        <v/>
      </c>
      <c r="I243" s="430"/>
      <c r="J243" s="430"/>
      <c r="K243" s="1174"/>
      <c r="L243" s="1022"/>
      <c r="M243" s="1175"/>
      <c r="S243" s="504"/>
      <c r="T243" s="504"/>
      <c r="U243" s="504"/>
      <c r="V243" s="504"/>
      <c r="W243" s="504"/>
      <c r="X243" s="504"/>
      <c r="Y243" s="504"/>
      <c r="Z243" s="504"/>
      <c r="AA243" s="504"/>
      <c r="AB243" s="504"/>
      <c r="AC243" s="322"/>
      <c r="AD243" s="322"/>
      <c r="AE243" s="322"/>
    </row>
    <row r="244" spans="1:37" x14ac:dyDescent="0.25">
      <c r="A244" s="1138">
        <v>235</v>
      </c>
      <c r="B244" s="1138" t="s">
        <v>41</v>
      </c>
      <c r="C244" s="1037" t="s">
        <v>113</v>
      </c>
      <c r="D244" s="946" t="s">
        <v>15</v>
      </c>
      <c r="E244" s="1264">
        <f>Hea03_credits</f>
        <v>3</v>
      </c>
      <c r="F244" s="945"/>
      <c r="G244" s="944" t="s">
        <v>76</v>
      </c>
      <c r="H244" s="1266">
        <f>Hea03_09</f>
        <v>2.5263157894736842E-2</v>
      </c>
      <c r="I244" s="430"/>
      <c r="J244" s="430"/>
      <c r="K244" s="1174"/>
      <c r="L244" s="1022"/>
      <c r="M244" s="1175"/>
      <c r="S244" s="504"/>
      <c r="T244" s="504"/>
      <c r="U244" s="504"/>
      <c r="V244" s="504"/>
      <c r="W244" s="504"/>
      <c r="X244" s="504"/>
      <c r="Y244" s="504"/>
      <c r="Z244" s="504"/>
      <c r="AA244" s="504"/>
      <c r="AB244" s="504"/>
      <c r="AC244" s="322"/>
      <c r="AD244" s="322"/>
      <c r="AE244" s="322"/>
    </row>
    <row r="245" spans="1:37" x14ac:dyDescent="0.25">
      <c r="A245" s="1138">
        <v>236</v>
      </c>
      <c r="B245" s="1138" t="s">
        <v>41</v>
      </c>
      <c r="C245" s="1037" t="s">
        <v>113</v>
      </c>
      <c r="D245" s="972" t="s">
        <v>1011</v>
      </c>
      <c r="E245" s="1265">
        <v>0</v>
      </c>
      <c r="F245" s="941"/>
      <c r="G245" s="940" t="s">
        <v>1010</v>
      </c>
      <c r="H245" s="1267" t="s">
        <v>13</v>
      </c>
      <c r="I245" s="430"/>
      <c r="J245" s="430"/>
      <c r="K245" s="1174"/>
      <c r="L245" s="1022"/>
      <c r="M245" s="1175"/>
      <c r="S245" s="504"/>
      <c r="T245" s="504"/>
      <c r="U245" s="504"/>
      <c r="V245" s="504"/>
      <c r="W245" s="504"/>
      <c r="X245" s="504"/>
      <c r="Y245" s="504"/>
      <c r="Z245" s="504"/>
      <c r="AA245" s="504"/>
      <c r="AB245" s="504"/>
      <c r="AC245" s="322"/>
      <c r="AD245" s="322"/>
      <c r="AE245" s="322"/>
    </row>
    <row r="246" spans="1:37" x14ac:dyDescent="0.25">
      <c r="A246" s="1138">
        <v>237</v>
      </c>
      <c r="B246" s="1138" t="s">
        <v>41</v>
      </c>
      <c r="C246" s="1037" t="s">
        <v>113</v>
      </c>
      <c r="I246" s="430"/>
      <c r="J246" s="430"/>
      <c r="K246" s="1174"/>
      <c r="L246" s="1022"/>
      <c r="M246" s="1175"/>
      <c r="S246" s="504"/>
      <c r="T246" s="504"/>
      <c r="U246" s="504"/>
      <c r="V246" s="504"/>
      <c r="W246" s="504"/>
      <c r="X246" s="504"/>
      <c r="Y246" s="504"/>
      <c r="Z246" s="504"/>
      <c r="AA246" s="504"/>
      <c r="AB246" s="504"/>
      <c r="AC246" s="322"/>
      <c r="AD246" s="322"/>
      <c r="AE246" s="322"/>
    </row>
    <row r="247" spans="1:37" ht="15.75" thickBot="1" x14ac:dyDescent="0.3">
      <c r="A247" s="1138">
        <v>238</v>
      </c>
      <c r="B247" s="1138" t="s">
        <v>41</v>
      </c>
      <c r="C247" s="1037" t="s">
        <v>113</v>
      </c>
      <c r="D247" s="938" t="s">
        <v>1009</v>
      </c>
      <c r="E247" s="937" t="s">
        <v>1008</v>
      </c>
      <c r="F247" s="937" t="s">
        <v>1007</v>
      </c>
      <c r="G247" s="937" t="s">
        <v>1006</v>
      </c>
      <c r="H247" s="937" t="s">
        <v>1014</v>
      </c>
      <c r="I247" s="430"/>
      <c r="J247" s="430"/>
      <c r="K247" s="1174"/>
      <c r="L247" s="1022"/>
      <c r="M247" s="1175"/>
      <c r="S247" s="504"/>
      <c r="T247" s="504"/>
      <c r="U247" s="504"/>
      <c r="V247" s="504"/>
      <c r="W247" s="504"/>
      <c r="X247" s="504"/>
      <c r="Y247" s="504"/>
      <c r="Z247" s="504"/>
      <c r="AA247" s="504"/>
      <c r="AB247" s="504"/>
      <c r="AC247" s="322"/>
      <c r="AD247" s="322"/>
      <c r="AE247" s="322"/>
    </row>
    <row r="248" spans="1:37" ht="15.75" thickBot="1" x14ac:dyDescent="0.3">
      <c r="A248" s="1138">
        <v>239</v>
      </c>
      <c r="B248" s="1138" t="s">
        <v>41</v>
      </c>
      <c r="C248" s="1037" t="s">
        <v>113</v>
      </c>
      <c r="D248" s="1168" t="str">
        <f>Poeng!E52</f>
        <v xml:space="preserve">Thermal modelling </v>
      </c>
      <c r="E248" s="1268" t="s">
        <v>316</v>
      </c>
      <c r="F248" s="1223">
        <f>Poeng!AB52</f>
        <v>1</v>
      </c>
      <c r="G248" s="1223">
        <f>IF(E248=AIS_Yes,F248,0)</f>
        <v>0</v>
      </c>
      <c r="H248" s="1057" t="s">
        <v>14</v>
      </c>
      <c r="I248" s="430"/>
      <c r="J248" s="430"/>
      <c r="K248" s="1174"/>
      <c r="L248" s="1022"/>
      <c r="M248" s="1175"/>
      <c r="S248" s="846">
        <v>1</v>
      </c>
      <c r="T248" s="846">
        <v>0.5</v>
      </c>
      <c r="U248" s="968">
        <v>1</v>
      </c>
      <c r="V248" s="146" t="str">
        <f>IF($X$4=AIS_Yes,S248,AIS_NA)</f>
        <v>N/A</v>
      </c>
      <c r="W248" s="43" t="str">
        <f>IF($X$4=AIS_Yes,T248,AIS_NA)</f>
        <v>N/A</v>
      </c>
      <c r="X248" s="163" t="str">
        <f>IF($X$4=AIS_Yes,U248,AIS_NA)</f>
        <v>N/A</v>
      </c>
      <c r="Y248" s="967" t="str">
        <f>IF(AND($X$4=AIS_Yes,OR(V248&lt;&gt;AIS_NA,W248&lt;&gt;AIS_NA,X248&lt;&gt;AIS_NA)),AIS_Yes,AIS_No)</f>
        <v>No</v>
      </c>
      <c r="Z248" s="146" t="e">
        <f>AIS_option01</f>
        <v>#NAME?</v>
      </c>
      <c r="AA248" s="43" t="e">
        <f>AIS_option02_50</f>
        <v>#NAME?</v>
      </c>
      <c r="AB248" s="147" t="e">
        <f>AIS_option03</f>
        <v>#NAME?</v>
      </c>
      <c r="AC248" s="966"/>
      <c r="AD248" s="965" t="str">
        <f>AIS_NA</f>
        <v>N/A</v>
      </c>
      <c r="AE248" s="962" t="str">
        <f>IF(Y248=AIS_Yes,Z248,AIS_NA)</f>
        <v>N/A</v>
      </c>
      <c r="AF248" s="962" t="str">
        <f>IF(Y248=AIS_Yes,AA248,AIS_NA)</f>
        <v>N/A</v>
      </c>
      <c r="AG248" s="964" t="str">
        <f>IF(Y248=AIS_Yes,AB248,AIS_NA)</f>
        <v>N/A</v>
      </c>
      <c r="AH248" s="963" t="str">
        <f>C248</f>
        <v>Hea 03</v>
      </c>
      <c r="AI248" s="962" t="str">
        <f>D248</f>
        <v xml:space="preserve">Thermal modelling </v>
      </c>
      <c r="AJ248" s="961" t="str">
        <f>H248</f>
        <v>N/A</v>
      </c>
      <c r="AK248" s="1016">
        <f>IF(Y248=AIS_No,1,IF(H248=AE248,V248,IF(H248=AF248,W248,IF(H248=AG248,X248,1))))</f>
        <v>1</v>
      </c>
    </row>
    <row r="249" spans="1:37" ht="15.75" thickBot="1" x14ac:dyDescent="0.3">
      <c r="A249" s="1138">
        <v>240</v>
      </c>
      <c r="B249" s="1138" t="s">
        <v>41</v>
      </c>
      <c r="C249" s="1037" t="s">
        <v>113</v>
      </c>
      <c r="D249" s="1296" t="str">
        <f>Poeng!E53</f>
        <v xml:space="preserve">Design for future thermal comfort </v>
      </c>
      <c r="E249" s="1271" t="s">
        <v>316</v>
      </c>
      <c r="F249" s="1274">
        <f>Poeng!AB53</f>
        <v>1</v>
      </c>
      <c r="G249" s="1270">
        <f>IF(AND(E249=AIS_Yes,G248=F248),F249,0)</f>
        <v>0</v>
      </c>
      <c r="H249" s="987" t="s">
        <v>14</v>
      </c>
      <c r="I249" s="430"/>
      <c r="J249" s="430"/>
      <c r="K249" s="1174"/>
      <c r="L249" s="1022"/>
      <c r="M249" s="1175"/>
      <c r="S249" s="846"/>
      <c r="T249" s="846"/>
      <c r="U249" s="968"/>
      <c r="V249" s="146"/>
      <c r="W249" s="43"/>
      <c r="X249" s="163"/>
      <c r="Y249" s="967"/>
      <c r="Z249" s="146"/>
      <c r="AA249" s="43"/>
      <c r="AB249" s="147"/>
      <c r="AC249" s="966"/>
      <c r="AD249" s="965"/>
      <c r="AE249" s="962"/>
      <c r="AF249" s="962"/>
      <c r="AG249" s="964"/>
      <c r="AH249" s="963"/>
      <c r="AI249" s="962"/>
      <c r="AJ249" s="961"/>
      <c r="AK249" s="1016"/>
    </row>
    <row r="250" spans="1:37" ht="15.75" thickBot="1" x14ac:dyDescent="0.3">
      <c r="A250" s="1138">
        <v>241</v>
      </c>
      <c r="B250" s="1138" t="s">
        <v>41</v>
      </c>
      <c r="C250" s="1037" t="s">
        <v>113</v>
      </c>
      <c r="D250" s="1170" t="str">
        <f>Poeng!E54</f>
        <v xml:space="preserve">Thermal zoning and controls </v>
      </c>
      <c r="E250" s="1275" t="s">
        <v>316</v>
      </c>
      <c r="F250" s="1227">
        <f>Poeng!AB54</f>
        <v>1</v>
      </c>
      <c r="G250" s="1227">
        <f>IF(AND(E250=AIS_Yes,G248=F248),F250,0)</f>
        <v>0</v>
      </c>
      <c r="H250" s="986" t="s">
        <v>14</v>
      </c>
      <c r="I250" s="430"/>
      <c r="J250" s="430"/>
      <c r="K250" s="1174"/>
      <c r="L250" s="1022"/>
      <c r="M250" s="1175"/>
      <c r="S250" s="846">
        <v>1</v>
      </c>
      <c r="T250" s="846">
        <v>0.5</v>
      </c>
      <c r="U250" s="968">
        <v>1</v>
      </c>
      <c r="V250" s="146" t="str">
        <f>IF($X$4=AIS_Yes,S250,AIS_NA)</f>
        <v>N/A</v>
      </c>
      <c r="W250" s="43" t="str">
        <f>IF($X$4=AIS_Yes,T250,AIS_NA)</f>
        <v>N/A</v>
      </c>
      <c r="X250" s="163" t="str">
        <f>IF($X$4=AIS_Yes,U250,AIS_NA)</f>
        <v>N/A</v>
      </c>
      <c r="Y250" s="967" t="str">
        <f>IF(AND($X$4=AIS_Yes,OR(V250&lt;&gt;AIS_NA,W250&lt;&gt;AIS_NA,X250&lt;&gt;AIS_NA)),AIS_Yes,AIS_No)</f>
        <v>No</v>
      </c>
      <c r="Z250" s="146" t="e">
        <f>AIS_option01</f>
        <v>#NAME?</v>
      </c>
      <c r="AA250" s="43" t="e">
        <f>AIS_option02_50</f>
        <v>#NAME?</v>
      </c>
      <c r="AB250" s="147" t="e">
        <f>AIS_option03</f>
        <v>#NAME?</v>
      </c>
      <c r="AC250" s="966"/>
      <c r="AD250" s="965" t="str">
        <f>AIS_NA</f>
        <v>N/A</v>
      </c>
      <c r="AE250" s="962" t="str">
        <f>IF(Y250=AIS_Yes,Z250,AIS_NA)</f>
        <v>N/A</v>
      </c>
      <c r="AF250" s="962" t="str">
        <f>IF(Y250=AIS_Yes,AA250,AIS_NA)</f>
        <v>N/A</v>
      </c>
      <c r="AG250" s="964" t="str">
        <f>IF(Y250=AIS_Yes,AB250,AIS_NA)</f>
        <v>N/A</v>
      </c>
      <c r="AH250" s="963" t="str">
        <f>C250</f>
        <v>Hea 03</v>
      </c>
      <c r="AI250" s="962" t="str">
        <f>D250</f>
        <v xml:space="preserve">Thermal zoning and controls </v>
      </c>
      <c r="AJ250" s="961" t="str">
        <f>H250</f>
        <v>N/A</v>
      </c>
      <c r="AK250" s="1016">
        <f>IF(Y250=AIS_No,1,IF(H250=AE250,V250,IF(H250=AF250,W250,IF(H250=AG250,X250,1))))</f>
        <v>1</v>
      </c>
    </row>
    <row r="251" spans="1:37" x14ac:dyDescent="0.25">
      <c r="A251" s="1138">
        <v>242</v>
      </c>
      <c r="B251" s="1138" t="s">
        <v>41</v>
      </c>
      <c r="C251" s="1037" t="s">
        <v>113</v>
      </c>
      <c r="I251" s="430"/>
      <c r="J251" s="430"/>
      <c r="K251" s="1174"/>
      <c r="L251" s="1022"/>
      <c r="M251" s="1175"/>
      <c r="S251" s="504"/>
      <c r="T251" s="504"/>
      <c r="U251" s="504"/>
      <c r="V251" s="504"/>
      <c r="W251" s="504"/>
      <c r="X251" s="504"/>
      <c r="Y251" s="504"/>
      <c r="Z251" s="504"/>
      <c r="AA251" s="504"/>
      <c r="AB251" s="504"/>
      <c r="AC251" s="322"/>
      <c r="AD251" s="322"/>
      <c r="AE251" s="322"/>
    </row>
    <row r="252" spans="1:37" ht="15.75" thickBot="1" x14ac:dyDescent="0.3">
      <c r="A252" s="1138">
        <v>243</v>
      </c>
      <c r="B252" s="1138" t="s">
        <v>41</v>
      </c>
      <c r="C252" s="1037" t="s">
        <v>113</v>
      </c>
      <c r="D252" s="938" t="s">
        <v>1774</v>
      </c>
      <c r="E252" s="937"/>
      <c r="I252" s="430"/>
      <c r="J252" s="430"/>
      <c r="K252" s="1174"/>
      <c r="L252" s="1022"/>
      <c r="M252" s="1175"/>
      <c r="S252" s="504"/>
      <c r="T252" s="504"/>
      <c r="U252" s="504"/>
      <c r="V252" s="504"/>
      <c r="W252" s="504"/>
      <c r="X252" s="504"/>
      <c r="Y252" s="504"/>
      <c r="Z252" s="504"/>
      <c r="AA252" s="504"/>
      <c r="AB252" s="504"/>
      <c r="AC252" s="322"/>
      <c r="AD252" s="322"/>
      <c r="AE252" s="322"/>
    </row>
    <row r="253" spans="1:37" x14ac:dyDescent="0.25">
      <c r="A253" s="1138">
        <v>244</v>
      </c>
      <c r="B253" s="1138" t="s">
        <v>41</v>
      </c>
      <c r="C253" s="1037" t="s">
        <v>113</v>
      </c>
      <c r="D253" s="1168" t="s">
        <v>1112</v>
      </c>
      <c r="E253" s="990"/>
      <c r="F253" s="375" t="s">
        <v>1111</v>
      </c>
      <c r="G253" s="994"/>
      <c r="I253" s="430"/>
      <c r="J253" s="430"/>
      <c r="K253" s="1174" t="str">
        <f>IF(E244=0,"",IF(AND(E248=AIS_Yes,E253="",E254=""),"If data not available then insert INA (i.e. Indicator not assessed)",""))</f>
        <v/>
      </c>
      <c r="L253" s="1022"/>
      <c r="M253" s="1175"/>
      <c r="S253" s="504"/>
      <c r="T253" s="504"/>
      <c r="U253" s="504"/>
      <c r="V253" s="504"/>
      <c r="W253" s="504"/>
      <c r="X253" s="504"/>
      <c r="Y253" s="504"/>
      <c r="Z253" s="504"/>
      <c r="AA253" s="504"/>
      <c r="AB253" s="504"/>
      <c r="AC253" s="322"/>
      <c r="AD253" s="322"/>
      <c r="AE253" s="322"/>
    </row>
    <row r="254" spans="1:37" x14ac:dyDescent="0.25">
      <c r="A254" s="1138">
        <v>245</v>
      </c>
      <c r="B254" s="1138" t="s">
        <v>41</v>
      </c>
      <c r="C254" s="1037" t="s">
        <v>113</v>
      </c>
      <c r="D254" s="1293" t="s">
        <v>1110</v>
      </c>
      <c r="E254" s="1271"/>
      <c r="F254" s="375" t="s">
        <v>1109</v>
      </c>
      <c r="G254" s="994"/>
      <c r="I254" s="430"/>
      <c r="J254" s="430"/>
      <c r="K254" s="1174" t="str">
        <f>IF(E244=0,"",IF(AND(E248=AIS_Yes,E253="",E254=""),"If data not available then insert INA (i.e. Indicator not assessed)",""))</f>
        <v/>
      </c>
      <c r="L254" s="1022"/>
      <c r="M254" s="1175"/>
      <c r="S254" s="504"/>
      <c r="T254" s="504"/>
      <c r="U254" s="504"/>
      <c r="V254" s="504"/>
      <c r="W254" s="504"/>
      <c r="X254" s="504"/>
      <c r="Y254" s="504"/>
      <c r="Z254" s="504"/>
      <c r="AA254" s="504"/>
      <c r="AB254" s="504"/>
      <c r="AC254" s="322"/>
      <c r="AD254" s="322"/>
      <c r="AE254" s="322"/>
    </row>
    <row r="255" spans="1:37" x14ac:dyDescent="0.25">
      <c r="A255" s="1138">
        <v>246</v>
      </c>
      <c r="B255" s="1138" t="s">
        <v>41</v>
      </c>
      <c r="C255" s="1037" t="s">
        <v>113</v>
      </c>
      <c r="D255" s="1169" t="s">
        <v>1593</v>
      </c>
      <c r="E255" s="1271"/>
      <c r="F255" s="375" t="s">
        <v>1111</v>
      </c>
      <c r="I255" s="430"/>
      <c r="J255" s="430"/>
      <c r="K255" s="1174"/>
      <c r="L255" s="1022"/>
      <c r="M255" s="1175"/>
      <c r="S255" s="504"/>
      <c r="T255" s="504"/>
      <c r="U255" s="504"/>
      <c r="V255" s="504"/>
      <c r="W255" s="504"/>
      <c r="X255" s="504"/>
      <c r="Y255" s="504"/>
      <c r="Z255" s="504"/>
      <c r="AA255" s="504"/>
      <c r="AB255" s="504"/>
      <c r="AC255" s="322"/>
      <c r="AD255" s="322"/>
      <c r="AE255" s="322"/>
    </row>
    <row r="256" spans="1:37" ht="15.75" thickBot="1" x14ac:dyDescent="0.3">
      <c r="A256" s="1138">
        <v>247</v>
      </c>
      <c r="B256" s="1138" t="s">
        <v>41</v>
      </c>
      <c r="C256" s="1037" t="s">
        <v>113</v>
      </c>
      <c r="D256" s="1170" t="s">
        <v>1594</v>
      </c>
      <c r="E256" s="1275"/>
      <c r="F256" s="375" t="s">
        <v>1109</v>
      </c>
      <c r="I256" s="430"/>
      <c r="J256" s="430"/>
      <c r="K256" s="1174"/>
      <c r="L256" s="1022"/>
      <c r="M256" s="1175"/>
      <c r="S256" s="504"/>
      <c r="T256" s="504"/>
      <c r="U256" s="504"/>
      <c r="V256" s="504"/>
      <c r="W256" s="504"/>
      <c r="X256" s="504"/>
      <c r="Y256" s="504"/>
      <c r="Z256" s="504"/>
      <c r="AA256" s="504"/>
      <c r="AB256" s="504"/>
      <c r="AC256" s="322"/>
      <c r="AD256" s="322"/>
      <c r="AE256" s="322"/>
    </row>
    <row r="257" spans="1:31" x14ac:dyDescent="0.25">
      <c r="A257" s="1138">
        <v>248</v>
      </c>
      <c r="B257" s="1138" t="s">
        <v>41</v>
      </c>
      <c r="C257" s="1037" t="s">
        <v>113</v>
      </c>
      <c r="E257" s="959"/>
      <c r="I257" s="430"/>
      <c r="J257" s="430"/>
      <c r="K257" s="1174"/>
      <c r="L257" s="1022"/>
      <c r="M257" s="1175"/>
      <c r="S257" s="504"/>
      <c r="T257" s="504"/>
      <c r="U257" s="504"/>
      <c r="V257" s="504"/>
      <c r="W257" s="504"/>
      <c r="X257" s="504"/>
      <c r="Y257" s="504"/>
      <c r="Z257" s="504"/>
      <c r="AA257" s="504"/>
      <c r="AB257" s="504"/>
      <c r="AC257" s="322"/>
      <c r="AD257" s="322"/>
      <c r="AE257" s="322"/>
    </row>
    <row r="258" spans="1:31" x14ac:dyDescent="0.25">
      <c r="A258" s="1138">
        <v>249</v>
      </c>
      <c r="B258" s="1138" t="s">
        <v>41</v>
      </c>
      <c r="C258" s="1037" t="s">
        <v>113</v>
      </c>
      <c r="D258" s="958" t="s">
        <v>1012</v>
      </c>
      <c r="E258" s="1272">
        <f>G248+G249+G250</f>
        <v>0</v>
      </c>
      <c r="I258" s="430"/>
      <c r="J258" s="430"/>
      <c r="K258" s="1174"/>
      <c r="L258" s="1022"/>
      <c r="M258" s="1175"/>
      <c r="S258" s="504"/>
      <c r="T258" s="504"/>
      <c r="U258" s="504"/>
      <c r="V258" s="504"/>
      <c r="W258" s="504"/>
      <c r="X258" s="504"/>
      <c r="Y258" s="504"/>
      <c r="Z258" s="504"/>
      <c r="AA258" s="504"/>
      <c r="AB258" s="504"/>
      <c r="AC258" s="322"/>
      <c r="AD258" s="322"/>
      <c r="AE258" s="322"/>
    </row>
    <row r="259" spans="1:31" x14ac:dyDescent="0.25">
      <c r="A259" s="1138">
        <v>250</v>
      </c>
      <c r="B259" s="1138" t="s">
        <v>41</v>
      </c>
      <c r="C259" s="1037" t="s">
        <v>113</v>
      </c>
      <c r="D259" s="924" t="s">
        <v>77</v>
      </c>
      <c r="E259" s="1273">
        <f>Hea03_contr</f>
        <v>0</v>
      </c>
      <c r="I259" s="430"/>
      <c r="J259" s="430"/>
      <c r="K259" s="1174"/>
      <c r="L259" s="1022"/>
      <c r="M259" s="1175"/>
      <c r="S259" s="504"/>
      <c r="T259" s="504"/>
      <c r="U259" s="504"/>
      <c r="V259" s="504"/>
      <c r="W259" s="504"/>
      <c r="X259" s="504"/>
      <c r="Y259" s="504"/>
      <c r="Z259" s="504"/>
      <c r="AA259" s="504"/>
      <c r="AB259" s="504"/>
      <c r="AC259" s="322"/>
      <c r="AD259" s="322"/>
      <c r="AE259" s="322"/>
    </row>
    <row r="260" spans="1:31" x14ac:dyDescent="0.25">
      <c r="A260" s="1138">
        <v>251</v>
      </c>
      <c r="B260" s="1138" t="s">
        <v>41</v>
      </c>
      <c r="C260" s="1037" t="s">
        <v>113</v>
      </c>
      <c r="D260" s="926" t="s">
        <v>1005</v>
      </c>
      <c r="E260" s="1272" t="s">
        <v>14</v>
      </c>
      <c r="I260" s="430"/>
      <c r="J260" s="430"/>
      <c r="K260" s="1174"/>
      <c r="L260" s="1022"/>
      <c r="M260" s="1175"/>
      <c r="S260" s="504"/>
      <c r="T260" s="504"/>
      <c r="U260" s="504"/>
      <c r="V260" s="504"/>
      <c r="W260" s="504"/>
      <c r="X260" s="504"/>
      <c r="Y260" s="504"/>
      <c r="Z260" s="504"/>
      <c r="AA260" s="504"/>
      <c r="AB260" s="504"/>
      <c r="AC260" s="322"/>
      <c r="AD260" s="322"/>
      <c r="AE260" s="322"/>
    </row>
    <row r="261" spans="1:31" x14ac:dyDescent="0.25">
      <c r="A261" s="1138">
        <v>252</v>
      </c>
      <c r="B261" s="1138" t="s">
        <v>41</v>
      </c>
      <c r="C261" s="1037" t="s">
        <v>113</v>
      </c>
      <c r="D261" s="923" t="s">
        <v>46</v>
      </c>
      <c r="E261" s="1290" t="s">
        <v>14</v>
      </c>
      <c r="I261" s="430"/>
      <c r="J261" s="430"/>
      <c r="K261" s="1174"/>
      <c r="L261" s="1022"/>
      <c r="M261" s="1175"/>
      <c r="S261" s="504"/>
      <c r="T261" s="504"/>
      <c r="U261" s="504"/>
      <c r="V261" s="504"/>
      <c r="W261" s="504"/>
      <c r="X261" s="504"/>
      <c r="Y261" s="504"/>
      <c r="Z261" s="504"/>
      <c r="AA261" s="504"/>
      <c r="AB261" s="504"/>
      <c r="AC261" s="322"/>
      <c r="AD261" s="322"/>
      <c r="AE261" s="322"/>
    </row>
    <row r="262" spans="1:31" x14ac:dyDescent="0.25">
      <c r="A262" s="1138">
        <v>253</v>
      </c>
      <c r="B262" s="1138" t="s">
        <v>41</v>
      </c>
      <c r="C262" s="1037" t="s">
        <v>113</v>
      </c>
      <c r="I262" s="430"/>
      <c r="J262" s="430"/>
      <c r="K262" s="1174"/>
      <c r="L262" s="1022"/>
      <c r="M262" s="1175"/>
      <c r="S262" s="504"/>
      <c r="T262" s="504"/>
      <c r="U262" s="504"/>
      <c r="V262" s="504"/>
      <c r="W262" s="504"/>
      <c r="X262" s="504"/>
      <c r="Y262" s="504"/>
      <c r="Z262" s="504"/>
      <c r="AA262" s="504"/>
      <c r="AB262" s="504"/>
      <c r="AC262" s="322"/>
      <c r="AD262" s="322"/>
      <c r="AE262" s="322"/>
    </row>
    <row r="263" spans="1:31" x14ac:dyDescent="0.25">
      <c r="A263" s="1138">
        <v>254</v>
      </c>
      <c r="B263" s="1138" t="s">
        <v>41</v>
      </c>
      <c r="C263" s="1037" t="s">
        <v>113</v>
      </c>
      <c r="D263" s="920" t="s">
        <v>1004</v>
      </c>
      <c r="E263" s="920" t="s">
        <v>1003</v>
      </c>
      <c r="F263" s="920" t="str">
        <f>HLOOKUP(C263,'Assessment References'!$H$512:$BG$513,2,FALSE)</f>
        <v/>
      </c>
      <c r="G263" s="919"/>
      <c r="H263" s="918"/>
      <c r="I263" s="430"/>
      <c r="J263" s="430"/>
      <c r="K263" s="1174"/>
      <c r="L263" s="1022"/>
      <c r="M263" s="1175"/>
      <c r="S263" s="504"/>
      <c r="T263" s="504"/>
      <c r="U263" s="504"/>
      <c r="V263" s="504"/>
      <c r="W263" s="504"/>
      <c r="X263" s="504"/>
      <c r="Y263" s="504"/>
      <c r="Z263" s="504"/>
      <c r="AA263" s="504"/>
      <c r="AB263" s="504"/>
      <c r="AC263" s="322"/>
      <c r="AD263" s="322"/>
      <c r="AE263" s="322"/>
    </row>
    <row r="264" spans="1:31" x14ac:dyDescent="0.25">
      <c r="A264" s="1138">
        <v>255</v>
      </c>
      <c r="B264" s="1138" t="s">
        <v>41</v>
      </c>
      <c r="C264" s="1037" t="s">
        <v>113</v>
      </c>
      <c r="D264" s="1539"/>
      <c r="E264" s="1540"/>
      <c r="F264" s="1540"/>
      <c r="G264" s="1540"/>
      <c r="H264" s="1541"/>
      <c r="I264" s="430"/>
      <c r="J264" s="430"/>
      <c r="K264" s="1174"/>
      <c r="L264" s="1022"/>
      <c r="M264" s="1175"/>
      <c r="S264" s="504"/>
      <c r="T264" s="504"/>
      <c r="U264" s="504"/>
      <c r="V264" s="504"/>
      <c r="W264" s="504"/>
      <c r="X264" s="504"/>
      <c r="Y264" s="504"/>
      <c r="Z264" s="504"/>
      <c r="AA264" s="504"/>
      <c r="AB264" s="504"/>
      <c r="AC264" s="322"/>
      <c r="AD264" s="322"/>
      <c r="AE264" s="322"/>
    </row>
    <row r="265" spans="1:31" x14ac:dyDescent="0.25">
      <c r="A265" s="1138">
        <v>256</v>
      </c>
      <c r="B265" s="1138" t="s">
        <v>41</v>
      </c>
      <c r="C265" s="1037" t="s">
        <v>113</v>
      </c>
      <c r="D265" s="1530"/>
      <c r="E265" s="1531"/>
      <c r="F265" s="1531"/>
      <c r="G265" s="1531"/>
      <c r="H265" s="1532"/>
      <c r="I265" s="430"/>
      <c r="J265" s="430"/>
      <c r="K265" s="1174"/>
      <c r="L265" s="1022"/>
      <c r="M265" s="1175"/>
      <c r="S265" s="504"/>
      <c r="T265" s="504"/>
      <c r="U265" s="504"/>
      <c r="V265" s="504"/>
      <c r="W265" s="504"/>
      <c r="X265" s="504"/>
      <c r="Y265" s="504"/>
      <c r="Z265" s="504"/>
      <c r="AA265" s="504"/>
      <c r="AB265" s="504"/>
      <c r="AC265" s="322"/>
      <c r="AD265" s="322"/>
      <c r="AE265" s="322"/>
    </row>
    <row r="266" spans="1:31" x14ac:dyDescent="0.25">
      <c r="A266" s="1138">
        <v>257</v>
      </c>
      <c r="B266" s="1138" t="s">
        <v>41</v>
      </c>
      <c r="C266" s="1037" t="s">
        <v>113</v>
      </c>
      <c r="D266" s="1530"/>
      <c r="E266" s="1531"/>
      <c r="F266" s="1531"/>
      <c r="G266" s="1531"/>
      <c r="H266" s="1532"/>
      <c r="I266" s="430"/>
      <c r="J266" s="430"/>
      <c r="K266" s="1174"/>
      <c r="L266" s="1022"/>
      <c r="M266" s="1175"/>
      <c r="S266" s="504"/>
      <c r="T266" s="504"/>
      <c r="U266" s="504"/>
      <c r="V266" s="504"/>
      <c r="W266" s="504"/>
      <c r="X266" s="504"/>
      <c r="Y266" s="504"/>
      <c r="Z266" s="504"/>
      <c r="AA266" s="504"/>
      <c r="AB266" s="504"/>
      <c r="AC266" s="322"/>
      <c r="AD266" s="322"/>
      <c r="AE266" s="322"/>
    </row>
    <row r="267" spans="1:31" x14ac:dyDescent="0.25">
      <c r="A267" s="1138">
        <v>258</v>
      </c>
      <c r="B267" s="1138" t="s">
        <v>41</v>
      </c>
      <c r="C267" s="1037" t="s">
        <v>113</v>
      </c>
      <c r="D267" s="1533"/>
      <c r="E267" s="1534"/>
      <c r="F267" s="1534"/>
      <c r="G267" s="1534"/>
      <c r="H267" s="1535"/>
      <c r="I267" s="430"/>
      <c r="J267" s="430"/>
      <c r="K267" s="1174"/>
      <c r="L267" s="1022"/>
      <c r="M267" s="1175"/>
      <c r="S267" s="504"/>
      <c r="T267" s="504"/>
      <c r="U267" s="504"/>
      <c r="V267" s="504"/>
      <c r="W267" s="504"/>
      <c r="X267" s="504"/>
      <c r="Y267" s="504"/>
      <c r="Z267" s="504"/>
      <c r="AA267" s="504"/>
      <c r="AB267" s="504"/>
      <c r="AC267" s="322"/>
      <c r="AD267" s="322"/>
      <c r="AE267" s="322"/>
    </row>
    <row r="268" spans="1:31" x14ac:dyDescent="0.25">
      <c r="A268" s="1138">
        <v>259</v>
      </c>
      <c r="B268" s="1138" t="s">
        <v>41</v>
      </c>
      <c r="C268" s="1037" t="s">
        <v>113</v>
      </c>
      <c r="D268" s="1533"/>
      <c r="E268" s="1534"/>
      <c r="F268" s="1534"/>
      <c r="G268" s="1534"/>
      <c r="H268" s="1535"/>
      <c r="I268" s="430"/>
      <c r="J268" s="430"/>
      <c r="K268" s="1174"/>
      <c r="L268" s="1022"/>
      <c r="M268" s="1175"/>
      <c r="S268" s="504"/>
      <c r="T268" s="504"/>
      <c r="U268" s="504"/>
      <c r="V268" s="504"/>
      <c r="W268" s="504"/>
      <c r="X268" s="504"/>
      <c r="Y268" s="504"/>
      <c r="Z268" s="504"/>
      <c r="AA268" s="504"/>
      <c r="AB268" s="504"/>
      <c r="AC268" s="322"/>
      <c r="AD268" s="322"/>
      <c r="AE268" s="322"/>
    </row>
    <row r="269" spans="1:31" x14ac:dyDescent="0.25">
      <c r="A269" s="1138">
        <v>260</v>
      </c>
      <c r="B269" s="1138" t="s">
        <v>41</v>
      </c>
      <c r="C269" s="1037" t="s">
        <v>113</v>
      </c>
      <c r="D269" s="1536"/>
      <c r="E269" s="1537"/>
      <c r="F269" s="1537"/>
      <c r="G269" s="1537"/>
      <c r="H269" s="1538"/>
      <c r="I269" s="430"/>
      <c r="J269" s="430"/>
      <c r="K269" s="1174"/>
      <c r="L269" s="1022"/>
      <c r="M269" s="1175"/>
      <c r="S269" s="504"/>
      <c r="T269" s="504"/>
      <c r="U269" s="504"/>
      <c r="V269" s="504"/>
      <c r="W269" s="504"/>
      <c r="X269" s="504"/>
      <c r="Y269" s="504"/>
      <c r="Z269" s="504"/>
      <c r="AA269" s="504"/>
      <c r="AB269" s="504"/>
      <c r="AC269" s="322"/>
      <c r="AD269" s="322"/>
      <c r="AE269" s="322"/>
    </row>
    <row r="270" spans="1:31" ht="15.75" thickBot="1" x14ac:dyDescent="0.3">
      <c r="A270" s="1138">
        <v>261</v>
      </c>
      <c r="B270" s="1138" t="s">
        <v>41</v>
      </c>
      <c r="C270" s="1037" t="s">
        <v>113</v>
      </c>
      <c r="D270" s="984"/>
      <c r="E270" s="984"/>
      <c r="F270" s="984"/>
      <c r="G270" s="984"/>
      <c r="H270" s="984"/>
      <c r="I270" s="430"/>
      <c r="J270" s="430"/>
      <c r="K270" s="1174"/>
      <c r="L270" s="1022"/>
      <c r="M270" s="1175"/>
      <c r="S270" s="504"/>
      <c r="T270" s="504"/>
      <c r="U270" s="504"/>
      <c r="V270" s="504"/>
      <c r="W270" s="504"/>
      <c r="X270" s="504"/>
      <c r="Y270" s="504"/>
      <c r="Z270" s="504"/>
      <c r="AA270" s="504"/>
      <c r="AB270" s="504"/>
      <c r="AC270" s="322"/>
      <c r="AD270" s="322"/>
      <c r="AE270" s="322"/>
    </row>
    <row r="271" spans="1:31" x14ac:dyDescent="0.25">
      <c r="A271" s="1138">
        <v>262</v>
      </c>
      <c r="B271" s="1139" t="s">
        <v>41</v>
      </c>
      <c r="C271" s="1012" t="s">
        <v>115</v>
      </c>
      <c r="D271" s="1051" t="s">
        <v>1108</v>
      </c>
      <c r="E271" s="1011"/>
      <c r="F271" s="1011"/>
      <c r="G271" s="1010"/>
      <c r="H271" s="1298"/>
      <c r="I271" s="917"/>
      <c r="K271" s="947" t="str">
        <f>C271</f>
        <v>Hea 05</v>
      </c>
      <c r="L271" s="322"/>
      <c r="M271" s="1175"/>
      <c r="S271" s="504"/>
      <c r="T271" s="504"/>
      <c r="U271" s="504"/>
      <c r="V271" s="504"/>
      <c r="W271" s="504"/>
      <c r="X271" s="504"/>
      <c r="Y271" s="504"/>
      <c r="Z271" s="504"/>
      <c r="AA271" s="504"/>
      <c r="AB271" s="504"/>
      <c r="AC271" s="322"/>
      <c r="AD271" s="322"/>
      <c r="AE271" s="322"/>
    </row>
    <row r="272" spans="1:31" x14ac:dyDescent="0.25">
      <c r="A272" s="1138">
        <v>263</v>
      </c>
      <c r="B272" s="1138" t="s">
        <v>41</v>
      </c>
      <c r="C272" s="1037" t="s">
        <v>115</v>
      </c>
      <c r="D272" s="946" t="s">
        <v>15</v>
      </c>
      <c r="E272" s="1264">
        <f>Hea05_credits</f>
        <v>3</v>
      </c>
      <c r="F272" s="945"/>
      <c r="G272" s="944" t="s">
        <v>76</v>
      </c>
      <c r="H272" s="1266">
        <f>Hea05_07</f>
        <v>2.5263157894736842E-2</v>
      </c>
      <c r="I272" s="917"/>
      <c r="K272" s="1174"/>
      <c r="L272" s="1022"/>
      <c r="M272" s="1175"/>
      <c r="S272" s="504"/>
      <c r="T272" s="504"/>
      <c r="U272" s="504"/>
      <c r="V272" s="504"/>
      <c r="W272" s="504"/>
      <c r="X272" s="504"/>
      <c r="Y272" s="504"/>
      <c r="Z272" s="504"/>
      <c r="AA272" s="504"/>
      <c r="AB272" s="504"/>
      <c r="AC272" s="322"/>
      <c r="AD272" s="322"/>
      <c r="AE272" s="322"/>
    </row>
    <row r="273" spans="1:31" ht="15.75" thickBot="1" x14ac:dyDescent="0.3">
      <c r="A273" s="1138">
        <v>264</v>
      </c>
      <c r="B273" s="1138" t="s">
        <v>41</v>
      </c>
      <c r="C273" s="1037" t="s">
        <v>115</v>
      </c>
      <c r="D273" s="972" t="s">
        <v>1011</v>
      </c>
      <c r="E273" s="1265">
        <v>0</v>
      </c>
      <c r="F273" s="941"/>
      <c r="G273" s="940" t="s">
        <v>1010</v>
      </c>
      <c r="H273" s="1267" t="s">
        <v>13</v>
      </c>
      <c r="I273" s="917"/>
      <c r="K273" s="1174"/>
      <c r="L273" s="1022"/>
      <c r="M273" s="1175"/>
      <c r="S273" s="504"/>
      <c r="T273" s="504"/>
      <c r="U273" s="504"/>
      <c r="V273" s="504"/>
      <c r="W273" s="504"/>
      <c r="X273" s="504"/>
      <c r="Y273" s="504"/>
      <c r="Z273" s="504"/>
      <c r="AA273" s="504"/>
      <c r="AB273" s="504"/>
      <c r="AC273" s="322"/>
      <c r="AD273" s="322"/>
      <c r="AE273" s="322"/>
    </row>
    <row r="274" spans="1:31" x14ac:dyDescent="0.25">
      <c r="A274" s="1138">
        <v>265</v>
      </c>
      <c r="B274" s="1138" t="s">
        <v>41</v>
      </c>
      <c r="C274" s="1037" t="s">
        <v>115</v>
      </c>
      <c r="I274" s="917"/>
      <c r="K274" s="992" t="s">
        <v>316</v>
      </c>
      <c r="L274" s="992">
        <v>0</v>
      </c>
      <c r="M274" s="1175"/>
      <c r="S274" s="504"/>
      <c r="T274" s="504"/>
      <c r="U274" s="504"/>
      <c r="V274" s="504"/>
      <c r="W274" s="504"/>
      <c r="X274" s="504"/>
      <c r="Y274" s="504"/>
      <c r="Z274" s="504"/>
      <c r="AA274" s="504"/>
      <c r="AB274" s="504"/>
      <c r="AC274" s="322"/>
      <c r="AD274" s="322"/>
      <c r="AE274" s="322"/>
    </row>
    <row r="275" spans="1:31" ht="15.75" thickBot="1" x14ac:dyDescent="0.3">
      <c r="A275" s="1138">
        <v>266</v>
      </c>
      <c r="B275" s="1138" t="s">
        <v>41</v>
      </c>
      <c r="C275" s="1037" t="s">
        <v>115</v>
      </c>
      <c r="D275" s="938" t="s">
        <v>1775</v>
      </c>
      <c r="E275" s="937" t="s">
        <v>1008</v>
      </c>
      <c r="I275" s="917"/>
      <c r="K275" s="1027" t="s">
        <v>1106</v>
      </c>
      <c r="L275" s="1027">
        <f>IF(F279=4,2,1)</f>
        <v>1</v>
      </c>
      <c r="M275" s="1175"/>
      <c r="S275" s="504"/>
      <c r="T275" s="504"/>
      <c r="U275" s="504"/>
      <c r="V275" s="504"/>
      <c r="W275" s="504"/>
      <c r="X275" s="504"/>
      <c r="Y275" s="504"/>
      <c r="Z275" s="504"/>
      <c r="AA275" s="504"/>
      <c r="AB275" s="504"/>
      <c r="AC275" s="322"/>
      <c r="AD275" s="322"/>
      <c r="AE275" s="322"/>
    </row>
    <row r="276" spans="1:31" ht="15.75" thickBot="1" x14ac:dyDescent="0.3">
      <c r="A276" s="1138">
        <v>267</v>
      </c>
      <c r="B276" s="1138" t="s">
        <v>41</v>
      </c>
      <c r="C276" s="1037" t="s">
        <v>115</v>
      </c>
      <c r="D276" s="1239" t="s">
        <v>1107</v>
      </c>
      <c r="E276" s="1240" t="s">
        <v>316</v>
      </c>
      <c r="F276" s="994" t="str">
        <f>IF(OR(E276=AIS_No,E276=AIS_PS),"Pre-requisite: Please select yes","")</f>
        <v>Pre-requisite: Please select yes</v>
      </c>
      <c r="I276" s="917"/>
      <c r="K276" s="1027" t="s">
        <v>1438</v>
      </c>
      <c r="L276" s="1027">
        <f>IF(F279=4,3,2)</f>
        <v>2</v>
      </c>
      <c r="M276" s="1175"/>
      <c r="S276" s="504"/>
      <c r="T276" s="504"/>
      <c r="U276" s="504"/>
      <c r="V276" s="504"/>
      <c r="W276" s="504"/>
      <c r="X276" s="504"/>
      <c r="Y276" s="504"/>
      <c r="Z276" s="504"/>
      <c r="AA276" s="504"/>
      <c r="AB276" s="504"/>
      <c r="AC276" s="322"/>
      <c r="AD276" s="322"/>
      <c r="AE276" s="322"/>
    </row>
    <row r="277" spans="1:31" x14ac:dyDescent="0.25">
      <c r="A277" s="1138">
        <v>268</v>
      </c>
      <c r="B277" s="1138" t="s">
        <v>41</v>
      </c>
      <c r="C277" s="1037" t="s">
        <v>115</v>
      </c>
      <c r="I277" s="917"/>
      <c r="K277" s="1027" t="s">
        <v>1105</v>
      </c>
      <c r="L277" s="1027">
        <f>IF(F279=4,4,3)</f>
        <v>3</v>
      </c>
      <c r="M277" s="1175"/>
      <c r="S277" s="504"/>
      <c r="T277" s="504"/>
      <c r="U277" s="504"/>
      <c r="V277" s="504"/>
      <c r="W277" s="504"/>
      <c r="X277" s="504"/>
      <c r="Y277" s="504"/>
      <c r="Z277" s="504"/>
      <c r="AA277" s="504"/>
      <c r="AB277" s="504"/>
      <c r="AC277" s="322"/>
      <c r="AD277" s="322"/>
      <c r="AE277" s="322"/>
    </row>
    <row r="278" spans="1:31" ht="15.75" thickBot="1" x14ac:dyDescent="0.3">
      <c r="A278" s="1138">
        <v>269</v>
      </c>
      <c r="B278" s="1138" t="s">
        <v>41</v>
      </c>
      <c r="C278" s="1037" t="s">
        <v>115</v>
      </c>
      <c r="D278" s="938" t="s">
        <v>1776</v>
      </c>
      <c r="E278" s="937" t="s">
        <v>1008</v>
      </c>
      <c r="F278" s="937" t="s">
        <v>1007</v>
      </c>
      <c r="G278" s="937" t="s">
        <v>1006</v>
      </c>
      <c r="H278" s="937" t="s">
        <v>1014</v>
      </c>
      <c r="I278" s="917"/>
      <c r="K278" s="991" t="s">
        <v>312</v>
      </c>
      <c r="L278" s="991">
        <v>0</v>
      </c>
      <c r="M278" s="1175"/>
      <c r="S278" s="504"/>
      <c r="T278" s="504"/>
      <c r="U278" s="504"/>
      <c r="V278" s="504"/>
      <c r="W278" s="504"/>
      <c r="X278" s="504"/>
      <c r="Y278" s="504"/>
      <c r="Z278" s="504"/>
      <c r="AA278" s="504"/>
      <c r="AB278" s="504"/>
      <c r="AC278" s="322"/>
      <c r="AD278" s="322"/>
      <c r="AE278" s="322"/>
    </row>
    <row r="279" spans="1:31" ht="15.75" thickBot="1" x14ac:dyDescent="0.3">
      <c r="A279" s="1138">
        <v>270</v>
      </c>
      <c r="B279" s="1138" t="s">
        <v>41</v>
      </c>
      <c r="C279" s="1037" t="s">
        <v>115</v>
      </c>
      <c r="D279" s="1239" t="str">
        <f>IF(E272=4,K282,K281)</f>
        <v>Noise class requirements, NS8175:2019 (category 1)</v>
      </c>
      <c r="E279" s="1240" t="s">
        <v>316</v>
      </c>
      <c r="F279" s="1228">
        <f>Poeng!AB58</f>
        <v>3</v>
      </c>
      <c r="G279" s="1228">
        <f>IF(E276=AIS_PS,0,IF(F279=0,0,VLOOKUP(E279,K274:L278,2,FALSE)))</f>
        <v>0</v>
      </c>
      <c r="H279" s="1299" t="s">
        <v>14</v>
      </c>
      <c r="I279" s="917"/>
      <c r="M279" s="1175"/>
      <c r="S279" s="62" t="s">
        <v>1015</v>
      </c>
      <c r="T279" s="504"/>
      <c r="U279" s="504"/>
      <c r="V279" s="504"/>
      <c r="W279" s="504"/>
      <c r="X279" s="504"/>
      <c r="Y279" s="504" t="str">
        <f>$X$4</f>
        <v>No</v>
      </c>
      <c r="Z279" s="504"/>
      <c r="AA279" s="504"/>
      <c r="AB279" s="504"/>
      <c r="AC279" s="322"/>
      <c r="AD279" s="322"/>
      <c r="AE279" s="322"/>
    </row>
    <row r="280" spans="1:31" ht="15.75" thickBot="1" x14ac:dyDescent="0.3">
      <c r="A280" s="1138">
        <v>271</v>
      </c>
      <c r="B280" s="1138" t="s">
        <v>41</v>
      </c>
      <c r="C280" s="1037" t="s">
        <v>115</v>
      </c>
      <c r="I280" s="917"/>
      <c r="K280" s="1174"/>
      <c r="L280" s="1022"/>
      <c r="M280" s="1175"/>
      <c r="S280" s="504"/>
      <c r="T280" s="504"/>
      <c r="U280" s="504"/>
      <c r="V280" s="504"/>
      <c r="W280" s="504"/>
      <c r="X280" s="504"/>
      <c r="Y280" s="504"/>
      <c r="Z280" s="504"/>
      <c r="AA280" s="504"/>
      <c r="AB280" s="504"/>
      <c r="AC280" s="322"/>
      <c r="AD280" s="322"/>
      <c r="AE280" s="322"/>
    </row>
    <row r="281" spans="1:31" x14ac:dyDescent="0.25">
      <c r="A281" s="1138">
        <v>272</v>
      </c>
      <c r="B281" s="1138" t="s">
        <v>41</v>
      </c>
      <c r="C281" s="1037" t="s">
        <v>115</v>
      </c>
      <c r="D281" s="958" t="s">
        <v>1012</v>
      </c>
      <c r="E281" s="1272">
        <f>G279</f>
        <v>0</v>
      </c>
      <c r="I281" s="917"/>
      <c r="K281" s="992" t="s">
        <v>1748</v>
      </c>
      <c r="L281" s="1022"/>
      <c r="M281" s="1175"/>
      <c r="S281" s="504"/>
      <c r="T281" s="504"/>
      <c r="U281" s="504"/>
      <c r="V281" s="504"/>
      <c r="W281" s="504"/>
      <c r="X281" s="504"/>
      <c r="Y281" s="504"/>
      <c r="Z281" s="504"/>
      <c r="AA281" s="504"/>
      <c r="AB281" s="504"/>
      <c r="AC281" s="322"/>
      <c r="AD281" s="322"/>
      <c r="AE281" s="322"/>
    </row>
    <row r="282" spans="1:31" x14ac:dyDescent="0.25">
      <c r="A282" s="1138">
        <v>273</v>
      </c>
      <c r="B282" s="1138" t="s">
        <v>41</v>
      </c>
      <c r="C282" s="1037" t="s">
        <v>115</v>
      </c>
      <c r="D282" s="924" t="s">
        <v>77</v>
      </c>
      <c r="E282" s="1273">
        <f>Hea05_08</f>
        <v>0</v>
      </c>
      <c r="I282" s="917"/>
      <c r="K282" s="1027" t="s">
        <v>1749</v>
      </c>
      <c r="L282" s="1022"/>
      <c r="M282" s="1175"/>
      <c r="S282" s="504"/>
      <c r="T282" s="504"/>
      <c r="U282" s="504"/>
      <c r="V282" s="504"/>
      <c r="W282" s="504"/>
      <c r="X282" s="504"/>
      <c r="Y282" s="504"/>
      <c r="Z282" s="504"/>
      <c r="AA282" s="504"/>
      <c r="AB282" s="504"/>
      <c r="AC282" s="322"/>
      <c r="AD282" s="322"/>
      <c r="AE282" s="322"/>
    </row>
    <row r="283" spans="1:31" x14ac:dyDescent="0.25">
      <c r="A283" s="1138">
        <v>274</v>
      </c>
      <c r="B283" s="1138" t="s">
        <v>41</v>
      </c>
      <c r="C283" s="1037" t="s">
        <v>115</v>
      </c>
      <c r="D283" s="926" t="s">
        <v>1005</v>
      </c>
      <c r="E283" s="1272" t="s">
        <v>14</v>
      </c>
      <c r="I283" s="917"/>
      <c r="K283" s="1174"/>
      <c r="L283" s="1022"/>
      <c r="M283" s="1175"/>
      <c r="S283" s="504"/>
      <c r="T283" s="504"/>
      <c r="U283" s="504"/>
      <c r="V283" s="504"/>
      <c r="W283" s="504"/>
      <c r="X283" s="504"/>
      <c r="Y283" s="504"/>
      <c r="Z283" s="504"/>
      <c r="AA283" s="504"/>
      <c r="AB283" s="504"/>
      <c r="AC283" s="322"/>
      <c r="AD283" s="322"/>
      <c r="AE283" s="322"/>
    </row>
    <row r="284" spans="1:31" x14ac:dyDescent="0.25">
      <c r="A284" s="1138">
        <v>275</v>
      </c>
      <c r="B284" s="1138" t="s">
        <v>41</v>
      </c>
      <c r="C284" s="1037" t="s">
        <v>115</v>
      </c>
      <c r="D284" s="923" t="s">
        <v>46</v>
      </c>
      <c r="E284" s="1290" t="s">
        <v>14</v>
      </c>
      <c r="I284" s="917"/>
      <c r="K284" s="1174"/>
      <c r="L284" s="1022"/>
      <c r="M284" s="1175"/>
      <c r="S284" s="504"/>
      <c r="T284" s="504"/>
      <c r="U284" s="504"/>
      <c r="V284" s="504"/>
      <c r="W284" s="504"/>
      <c r="X284" s="504"/>
      <c r="Y284" s="504"/>
      <c r="Z284" s="504"/>
      <c r="AA284" s="504"/>
      <c r="AB284" s="504"/>
      <c r="AC284" s="322"/>
      <c r="AD284" s="322"/>
      <c r="AE284" s="322"/>
    </row>
    <row r="285" spans="1:31" x14ac:dyDescent="0.25">
      <c r="A285" s="1138">
        <v>276</v>
      </c>
      <c r="B285" s="1138" t="s">
        <v>41</v>
      </c>
      <c r="C285" s="1037" t="s">
        <v>115</v>
      </c>
      <c r="I285" s="917"/>
      <c r="K285" s="1174"/>
      <c r="L285" s="1022"/>
      <c r="M285" s="1175"/>
      <c r="S285" s="504"/>
      <c r="T285" s="504"/>
      <c r="U285" s="504"/>
      <c r="V285" s="504"/>
      <c r="W285" s="504"/>
      <c r="X285" s="504"/>
      <c r="Y285" s="504"/>
      <c r="Z285" s="504"/>
      <c r="AA285" s="504"/>
      <c r="AB285" s="504"/>
      <c r="AC285" s="322"/>
      <c r="AD285" s="322"/>
      <c r="AE285" s="322"/>
    </row>
    <row r="286" spans="1:31" x14ac:dyDescent="0.25">
      <c r="A286" s="1138">
        <v>277</v>
      </c>
      <c r="B286" s="1138" t="s">
        <v>41</v>
      </c>
      <c r="C286" s="1037" t="s">
        <v>115</v>
      </c>
      <c r="D286" s="920" t="s">
        <v>1004</v>
      </c>
      <c r="E286" s="920" t="s">
        <v>1003</v>
      </c>
      <c r="F286" s="920" t="str">
        <f>HLOOKUP(C286,'Assessment References'!$H$512:$BG$513,2,FALSE)</f>
        <v/>
      </c>
      <c r="G286" s="919"/>
      <c r="H286" s="918"/>
      <c r="I286" s="917"/>
      <c r="K286" s="1174"/>
      <c r="L286" s="1022"/>
      <c r="M286" s="1175"/>
      <c r="S286" s="504"/>
      <c r="T286" s="504"/>
      <c r="U286" s="504"/>
      <c r="V286" s="504"/>
      <c r="W286" s="504"/>
      <c r="X286" s="504"/>
      <c r="Y286" s="504"/>
      <c r="Z286" s="504"/>
      <c r="AA286" s="504"/>
      <c r="AB286" s="504"/>
      <c r="AC286" s="322"/>
      <c r="AD286" s="322"/>
      <c r="AE286" s="322"/>
    </row>
    <row r="287" spans="1:31" x14ac:dyDescent="0.25">
      <c r="A287" s="1138">
        <v>278</v>
      </c>
      <c r="B287" s="1138" t="s">
        <v>41</v>
      </c>
      <c r="C287" s="1037" t="s">
        <v>115</v>
      </c>
      <c r="D287" s="1539"/>
      <c r="E287" s="1540"/>
      <c r="F287" s="1540"/>
      <c r="G287" s="1540"/>
      <c r="H287" s="1541"/>
      <c r="I287" s="917"/>
      <c r="K287" s="1174"/>
      <c r="L287" s="1022"/>
      <c r="M287" s="1175"/>
      <c r="S287" s="504"/>
      <c r="T287" s="504"/>
      <c r="U287" s="504"/>
      <c r="V287" s="504"/>
      <c r="W287" s="504"/>
      <c r="X287" s="504"/>
      <c r="Y287" s="504"/>
      <c r="Z287" s="504"/>
      <c r="AA287" s="504"/>
      <c r="AB287" s="504"/>
      <c r="AC287" s="322"/>
      <c r="AD287" s="322"/>
      <c r="AE287" s="322"/>
    </row>
    <row r="288" spans="1:31" x14ac:dyDescent="0.25">
      <c r="A288" s="1138">
        <v>279</v>
      </c>
      <c r="B288" s="1138" t="s">
        <v>41</v>
      </c>
      <c r="C288" s="1037" t="s">
        <v>115</v>
      </c>
      <c r="D288" s="1530"/>
      <c r="E288" s="1531"/>
      <c r="F288" s="1531"/>
      <c r="G288" s="1531"/>
      <c r="H288" s="1532"/>
      <c r="I288" s="917"/>
      <c r="K288" s="1174"/>
      <c r="L288" s="1022"/>
      <c r="M288" s="1175"/>
      <c r="S288" s="504"/>
      <c r="T288" s="504"/>
      <c r="U288" s="504"/>
      <c r="V288" s="504"/>
      <c r="W288" s="504"/>
      <c r="X288" s="504"/>
      <c r="Y288" s="504"/>
      <c r="Z288" s="504"/>
      <c r="AA288" s="504"/>
      <c r="AB288" s="504"/>
      <c r="AC288" s="322"/>
      <c r="AD288" s="322"/>
      <c r="AE288" s="322"/>
    </row>
    <row r="289" spans="1:31" x14ac:dyDescent="0.25">
      <c r="A289" s="1138">
        <v>280</v>
      </c>
      <c r="B289" s="1138" t="s">
        <v>41</v>
      </c>
      <c r="C289" s="1037" t="s">
        <v>115</v>
      </c>
      <c r="D289" s="1530"/>
      <c r="E289" s="1531"/>
      <c r="F289" s="1531"/>
      <c r="G289" s="1531"/>
      <c r="H289" s="1532"/>
      <c r="I289" s="917"/>
      <c r="K289" s="1174"/>
      <c r="L289" s="1022"/>
      <c r="M289" s="1175"/>
      <c r="S289" s="504"/>
      <c r="T289" s="504"/>
      <c r="U289" s="504"/>
      <c r="V289" s="504"/>
      <c r="W289" s="504"/>
      <c r="X289" s="504"/>
      <c r="Y289" s="504"/>
      <c r="Z289" s="504"/>
      <c r="AA289" s="504"/>
      <c r="AB289" s="504"/>
      <c r="AC289" s="322"/>
      <c r="AD289" s="322"/>
      <c r="AE289" s="322"/>
    </row>
    <row r="290" spans="1:31" x14ac:dyDescent="0.25">
      <c r="A290" s="1138">
        <v>281</v>
      </c>
      <c r="B290" s="1138" t="s">
        <v>41</v>
      </c>
      <c r="C290" s="1037" t="s">
        <v>115</v>
      </c>
      <c r="D290" s="1533"/>
      <c r="E290" s="1534"/>
      <c r="F290" s="1534"/>
      <c r="G290" s="1534"/>
      <c r="H290" s="1535"/>
      <c r="I290" s="917"/>
      <c r="K290" s="1174"/>
      <c r="L290" s="1022"/>
      <c r="M290" s="1175"/>
      <c r="S290" s="504"/>
      <c r="T290" s="504"/>
      <c r="U290" s="504"/>
      <c r="V290" s="504"/>
      <c r="W290" s="504"/>
      <c r="X290" s="504"/>
      <c r="Y290" s="504"/>
      <c r="Z290" s="504"/>
      <c r="AA290" s="504"/>
      <c r="AB290" s="504"/>
      <c r="AC290" s="322"/>
      <c r="AD290" s="322"/>
      <c r="AE290" s="322"/>
    </row>
    <row r="291" spans="1:31" x14ac:dyDescent="0.25">
      <c r="A291" s="1138">
        <v>282</v>
      </c>
      <c r="B291" s="1138" t="s">
        <v>41</v>
      </c>
      <c r="C291" s="1037" t="s">
        <v>115</v>
      </c>
      <c r="D291" s="1533"/>
      <c r="E291" s="1534"/>
      <c r="F291" s="1534"/>
      <c r="G291" s="1534"/>
      <c r="H291" s="1535"/>
      <c r="I291" s="917"/>
      <c r="K291" s="1174"/>
      <c r="L291" s="1022"/>
      <c r="M291" s="1175"/>
      <c r="S291" s="504"/>
      <c r="T291" s="504"/>
      <c r="U291" s="504"/>
      <c r="V291" s="504"/>
      <c r="W291" s="504"/>
      <c r="X291" s="504"/>
      <c r="Y291" s="504"/>
      <c r="Z291" s="504"/>
      <c r="AA291" s="504"/>
      <c r="AB291" s="504"/>
      <c r="AC291" s="322"/>
      <c r="AD291" s="322"/>
      <c r="AE291" s="322"/>
    </row>
    <row r="292" spans="1:31" x14ac:dyDescent="0.25">
      <c r="A292" s="1138">
        <v>283</v>
      </c>
      <c r="B292" s="1138" t="s">
        <v>41</v>
      </c>
      <c r="C292" s="1037" t="s">
        <v>115</v>
      </c>
      <c r="D292" s="1536"/>
      <c r="E292" s="1537"/>
      <c r="F292" s="1537"/>
      <c r="G292" s="1537"/>
      <c r="H292" s="1538"/>
      <c r="I292" s="917"/>
      <c r="K292" s="1174"/>
      <c r="L292" s="1022"/>
      <c r="M292" s="1175"/>
      <c r="S292" s="504"/>
      <c r="T292" s="504"/>
      <c r="U292" s="504"/>
      <c r="V292" s="504"/>
      <c r="W292" s="504"/>
      <c r="X292" s="504"/>
      <c r="Y292" s="504"/>
      <c r="Z292" s="504"/>
      <c r="AA292" s="504"/>
      <c r="AB292" s="504"/>
      <c r="AC292" s="322"/>
      <c r="AD292" s="322"/>
      <c r="AE292" s="322"/>
    </row>
    <row r="293" spans="1:31" x14ac:dyDescent="0.25">
      <c r="A293" s="1138">
        <v>284</v>
      </c>
      <c r="B293" s="1138" t="s">
        <v>41</v>
      </c>
      <c r="C293" s="1037" t="s">
        <v>115</v>
      </c>
      <c r="I293" s="917"/>
      <c r="K293" s="1174"/>
      <c r="L293" s="1022"/>
      <c r="M293" s="1175"/>
      <c r="S293" s="504"/>
      <c r="T293" s="504"/>
      <c r="U293" s="504"/>
      <c r="V293" s="504"/>
      <c r="W293" s="504"/>
      <c r="X293" s="504"/>
      <c r="Y293" s="504"/>
      <c r="Z293" s="504"/>
      <c r="AA293" s="504"/>
      <c r="AB293" s="504"/>
      <c r="AC293" s="322"/>
      <c r="AD293" s="322"/>
      <c r="AE293" s="322"/>
    </row>
    <row r="294" spans="1:31" x14ac:dyDescent="0.25">
      <c r="A294" s="1138">
        <v>285</v>
      </c>
      <c r="B294" s="1139" t="s">
        <v>41</v>
      </c>
      <c r="C294" s="1012" t="s">
        <v>116</v>
      </c>
      <c r="D294" s="1051" t="s">
        <v>1439</v>
      </c>
      <c r="E294" s="1011"/>
      <c r="F294" s="1011"/>
      <c r="G294" s="1010"/>
      <c r="H294" s="974" t="str" cm="1">
        <f t="array" ref="H294">IF(Hea06_credits=AIS_credit00,AIS_statement32,"")</f>
        <v/>
      </c>
      <c r="I294" s="917"/>
      <c r="K294" s="1174"/>
      <c r="L294" s="1022"/>
      <c r="M294" s="1175"/>
      <c r="S294" s="504"/>
      <c r="T294" s="504"/>
      <c r="U294" s="504"/>
      <c r="V294" s="504"/>
      <c r="W294" s="504"/>
      <c r="X294" s="504"/>
      <c r="Y294" s="504"/>
      <c r="Z294" s="504"/>
      <c r="AA294" s="504"/>
      <c r="AB294" s="504"/>
      <c r="AC294" s="322"/>
      <c r="AD294" s="322"/>
      <c r="AE294" s="322"/>
    </row>
    <row r="295" spans="1:31" x14ac:dyDescent="0.25">
      <c r="A295" s="1138">
        <v>286</v>
      </c>
      <c r="B295" s="1138" t="s">
        <v>41</v>
      </c>
      <c r="C295" s="1037" t="s">
        <v>116</v>
      </c>
      <c r="D295" s="946" t="s">
        <v>15</v>
      </c>
      <c r="E295" s="1264">
        <f>Hea06_credits</f>
        <v>2</v>
      </c>
      <c r="F295" s="945"/>
      <c r="G295" s="944" t="s">
        <v>76</v>
      </c>
      <c r="H295" s="1266">
        <f>Hea06_07</f>
        <v>1.6842105263157894E-2</v>
      </c>
      <c r="I295" s="917"/>
      <c r="K295" s="1174"/>
      <c r="L295" s="1022"/>
      <c r="M295" s="1175"/>
      <c r="S295" s="504"/>
      <c r="T295" s="504"/>
      <c r="U295" s="504"/>
      <c r="V295" s="504"/>
      <c r="W295" s="504"/>
      <c r="X295" s="504"/>
      <c r="Y295" s="504"/>
      <c r="Z295" s="504"/>
      <c r="AA295" s="504"/>
      <c r="AB295" s="504"/>
      <c r="AC295" s="322"/>
      <c r="AD295" s="322"/>
      <c r="AE295" s="322"/>
    </row>
    <row r="296" spans="1:31" x14ac:dyDescent="0.25">
      <c r="A296" s="1138">
        <v>287</v>
      </c>
      <c r="B296" s="1138" t="s">
        <v>41</v>
      </c>
      <c r="C296" s="1037" t="s">
        <v>116</v>
      </c>
      <c r="D296" s="972" t="s">
        <v>1011</v>
      </c>
      <c r="E296" s="1265">
        <f>Inn04_credits</f>
        <v>1</v>
      </c>
      <c r="F296" s="941"/>
      <c r="G296" s="940" t="s">
        <v>1010</v>
      </c>
      <c r="H296" s="1267" t="s">
        <v>13</v>
      </c>
      <c r="I296" s="917"/>
      <c r="K296" s="1174"/>
      <c r="L296" s="1022"/>
      <c r="M296" s="1175"/>
      <c r="S296" s="504"/>
      <c r="T296" s="504"/>
      <c r="U296" s="504"/>
      <c r="V296" s="504"/>
      <c r="W296" s="504"/>
      <c r="X296" s="504"/>
      <c r="Y296" s="504"/>
      <c r="Z296" s="504"/>
      <c r="AA296" s="504"/>
      <c r="AB296" s="504"/>
      <c r="AC296" s="322"/>
      <c r="AD296" s="322"/>
      <c r="AE296" s="322"/>
    </row>
    <row r="297" spans="1:31" x14ac:dyDescent="0.25">
      <c r="A297" s="1138">
        <v>288</v>
      </c>
      <c r="B297" s="1138" t="s">
        <v>41</v>
      </c>
      <c r="C297" s="1037" t="s">
        <v>116</v>
      </c>
      <c r="H297" s="1243"/>
      <c r="I297" s="917"/>
      <c r="K297" s="1174"/>
      <c r="L297" s="1022"/>
      <c r="M297" s="1175"/>
      <c r="S297" s="504"/>
      <c r="T297" s="504"/>
      <c r="U297" s="504"/>
      <c r="V297" s="504"/>
      <c r="W297" s="504"/>
      <c r="X297" s="504"/>
      <c r="Y297" s="504"/>
      <c r="Z297" s="504"/>
      <c r="AA297" s="504"/>
      <c r="AB297" s="504"/>
      <c r="AC297" s="322"/>
      <c r="AD297" s="322"/>
      <c r="AE297" s="322"/>
    </row>
    <row r="298" spans="1:31" ht="15.75" thickBot="1" x14ac:dyDescent="0.3">
      <c r="A298" s="1138">
        <v>289</v>
      </c>
      <c r="B298" s="1138" t="s">
        <v>41</v>
      </c>
      <c r="C298" s="1037" t="s">
        <v>116</v>
      </c>
      <c r="D298" s="938" t="s">
        <v>1009</v>
      </c>
      <c r="E298" s="937" t="s">
        <v>1008</v>
      </c>
      <c r="F298" s="937" t="s">
        <v>1007</v>
      </c>
      <c r="G298" s="937" t="s">
        <v>1006</v>
      </c>
      <c r="H298" s="937" t="s">
        <v>1014</v>
      </c>
      <c r="I298" s="917"/>
      <c r="K298" s="1174"/>
      <c r="L298" s="1022"/>
      <c r="M298" s="1175"/>
      <c r="S298" s="504"/>
      <c r="T298" s="504"/>
      <c r="U298" s="504"/>
      <c r="V298" s="504"/>
      <c r="W298" s="504"/>
      <c r="X298" s="504"/>
      <c r="Y298" s="504"/>
      <c r="Z298" s="504"/>
      <c r="AA298" s="504"/>
      <c r="AB298" s="504"/>
      <c r="AC298" s="322"/>
      <c r="AD298" s="322"/>
      <c r="AE298" s="322"/>
    </row>
    <row r="299" spans="1:31" x14ac:dyDescent="0.25">
      <c r="A299" s="1138">
        <v>290</v>
      </c>
      <c r="B299" s="1138" t="s">
        <v>41</v>
      </c>
      <c r="C299" s="1037" t="s">
        <v>116</v>
      </c>
      <c r="D299" s="1168" t="s">
        <v>818</v>
      </c>
      <c r="E299" s="1268" t="s">
        <v>316</v>
      </c>
      <c r="F299" s="1223">
        <f>Poeng!AB60</f>
        <v>1</v>
      </c>
      <c r="G299" s="1223">
        <f>IF(E299=AIS_Yes,F299,0)</f>
        <v>0</v>
      </c>
      <c r="H299" s="1300" t="s">
        <v>14</v>
      </c>
      <c r="I299" s="917"/>
      <c r="K299" s="1174"/>
      <c r="L299" s="1022"/>
      <c r="M299" s="1175"/>
      <c r="S299" s="62" t="s">
        <v>1015</v>
      </c>
      <c r="T299" s="504"/>
      <c r="U299" s="504"/>
      <c r="V299" s="504"/>
      <c r="W299" s="504"/>
      <c r="X299" s="504"/>
      <c r="Y299" s="504" t="str">
        <f>$X$4</f>
        <v>No</v>
      </c>
      <c r="Z299" s="504"/>
      <c r="AA299" s="504"/>
      <c r="AB299" s="504"/>
      <c r="AC299" s="322"/>
      <c r="AD299" s="322"/>
      <c r="AE299" s="322"/>
    </row>
    <row r="300" spans="1:31" ht="15.75" thickBot="1" x14ac:dyDescent="0.3">
      <c r="A300" s="1138">
        <v>291</v>
      </c>
      <c r="B300" s="1138" t="s">
        <v>41</v>
      </c>
      <c r="C300" s="1037" t="s">
        <v>116</v>
      </c>
      <c r="D300" s="1305" t="s">
        <v>1440</v>
      </c>
      <c r="E300" s="1301" t="s">
        <v>316</v>
      </c>
      <c r="F300" s="1226">
        <f>Poeng!AB61</f>
        <v>1</v>
      </c>
      <c r="G300" s="1227">
        <f>IF(E300=AIS_Yes,F300,0)</f>
        <v>0</v>
      </c>
      <c r="H300" s="1292" t="s">
        <v>14</v>
      </c>
      <c r="I300" s="917"/>
      <c r="K300" s="1174"/>
      <c r="L300" s="1022"/>
      <c r="M300" s="1175"/>
      <c r="S300" s="62" t="s">
        <v>1015</v>
      </c>
      <c r="T300" s="504"/>
      <c r="U300" s="504"/>
      <c r="V300" s="504"/>
      <c r="W300" s="504"/>
      <c r="X300" s="504"/>
      <c r="Y300" s="504" t="str">
        <f>$X$4</f>
        <v>No</v>
      </c>
      <c r="Z300" s="504"/>
      <c r="AA300" s="504"/>
      <c r="AB300" s="504"/>
      <c r="AC300" s="322"/>
      <c r="AD300" s="322"/>
      <c r="AE300" s="322"/>
    </row>
    <row r="301" spans="1:31" x14ac:dyDescent="0.25">
      <c r="A301" s="1138">
        <v>292</v>
      </c>
      <c r="B301" s="1138" t="s">
        <v>41</v>
      </c>
      <c r="C301" s="1037" t="s">
        <v>116</v>
      </c>
      <c r="D301" s="917"/>
      <c r="E301" s="917"/>
      <c r="F301" s="917"/>
      <c r="G301" s="917"/>
      <c r="H301" s="917"/>
      <c r="I301" s="917"/>
      <c r="K301" s="1174"/>
      <c r="L301" s="1022"/>
      <c r="M301" s="1175"/>
      <c r="S301" s="62"/>
      <c r="T301" s="504"/>
      <c r="U301" s="504"/>
      <c r="V301" s="504"/>
      <c r="W301" s="504"/>
      <c r="X301" s="504"/>
      <c r="Y301" s="504"/>
      <c r="Z301" s="504"/>
      <c r="AA301" s="504"/>
      <c r="AB301" s="504"/>
      <c r="AC301" s="322"/>
      <c r="AD301" s="322"/>
      <c r="AE301" s="322"/>
    </row>
    <row r="302" spans="1:31" ht="15.75" thickBot="1" x14ac:dyDescent="0.3">
      <c r="A302" s="1138">
        <v>293</v>
      </c>
      <c r="B302" s="1138" t="s">
        <v>41</v>
      </c>
      <c r="C302" s="1037" t="s">
        <v>116</v>
      </c>
      <c r="D302" s="971" t="s">
        <v>1855</v>
      </c>
      <c r="E302" s="937" t="s">
        <v>1008</v>
      </c>
      <c r="F302" s="937" t="s">
        <v>1007</v>
      </c>
      <c r="G302" s="937" t="s">
        <v>1006</v>
      </c>
      <c r="H302" s="937" t="s">
        <v>1014</v>
      </c>
      <c r="I302" s="917"/>
      <c r="K302" s="1174"/>
      <c r="L302" s="1022"/>
      <c r="M302" s="1175"/>
      <c r="S302" s="62"/>
      <c r="T302" s="504"/>
      <c r="U302" s="504"/>
      <c r="V302" s="504"/>
      <c r="W302" s="504"/>
      <c r="X302" s="504"/>
      <c r="Y302" s="504"/>
      <c r="Z302" s="504"/>
      <c r="AA302" s="504"/>
      <c r="AB302" s="504"/>
      <c r="AC302" s="322"/>
      <c r="AD302" s="322"/>
      <c r="AE302" s="322"/>
    </row>
    <row r="303" spans="1:31" ht="15.75" thickBot="1" x14ac:dyDescent="0.3">
      <c r="A303" s="1138">
        <v>294</v>
      </c>
      <c r="B303" s="1138" t="s">
        <v>41</v>
      </c>
      <c r="C303" s="1037" t="s">
        <v>116</v>
      </c>
      <c r="D303" s="1305" t="s">
        <v>1854</v>
      </c>
      <c r="E303" s="1301" t="s">
        <v>316</v>
      </c>
      <c r="F303" s="1226">
        <f>E296</f>
        <v>1</v>
      </c>
      <c r="G303" s="1226">
        <f>IF(E303=AIS_Yes,F303,0)</f>
        <v>0</v>
      </c>
      <c r="H303" s="1421" t="s">
        <v>14</v>
      </c>
      <c r="I303" s="917"/>
      <c r="K303" s="1174"/>
      <c r="L303" s="1022"/>
      <c r="M303" s="1175"/>
      <c r="S303" s="504"/>
      <c r="T303" s="504"/>
      <c r="U303" s="504"/>
      <c r="V303" s="504"/>
      <c r="W303" s="504"/>
      <c r="X303" s="504"/>
      <c r="Y303" s="504"/>
      <c r="Z303" s="504"/>
      <c r="AA303" s="504"/>
      <c r="AB303" s="504"/>
      <c r="AC303" s="322"/>
      <c r="AD303" s="322"/>
      <c r="AE303" s="322"/>
    </row>
    <row r="304" spans="1:31" x14ac:dyDescent="0.25">
      <c r="A304" s="1138">
        <v>295</v>
      </c>
      <c r="B304" s="1138" t="s">
        <v>41</v>
      </c>
      <c r="C304" s="1037" t="s">
        <v>116</v>
      </c>
      <c r="I304" s="917"/>
      <c r="K304" s="1174"/>
      <c r="L304" s="1022"/>
      <c r="M304" s="1175"/>
      <c r="S304" s="504"/>
      <c r="T304" s="504"/>
      <c r="U304" s="504"/>
      <c r="V304" s="504"/>
      <c r="W304" s="504"/>
      <c r="X304" s="504"/>
      <c r="Y304" s="504"/>
      <c r="Z304" s="504"/>
      <c r="AA304" s="504"/>
      <c r="AB304" s="504"/>
      <c r="AC304" s="322"/>
      <c r="AD304" s="322"/>
      <c r="AE304" s="322"/>
    </row>
    <row r="305" spans="1:31" x14ac:dyDescent="0.25">
      <c r="A305" s="1138">
        <v>296</v>
      </c>
      <c r="B305" s="1138" t="s">
        <v>41</v>
      </c>
      <c r="C305" s="1037" t="s">
        <v>116</v>
      </c>
      <c r="D305" s="958" t="s">
        <v>1012</v>
      </c>
      <c r="E305" s="1272">
        <f>G299+G300</f>
        <v>0</v>
      </c>
      <c r="I305" s="917"/>
      <c r="K305" s="1174"/>
      <c r="L305" s="1022"/>
      <c r="M305" s="1175"/>
      <c r="S305" s="504"/>
      <c r="T305" s="504"/>
      <c r="U305" s="504"/>
      <c r="V305" s="504"/>
      <c r="W305" s="504"/>
      <c r="X305" s="504"/>
      <c r="Y305" s="504"/>
      <c r="Z305" s="504"/>
      <c r="AA305" s="504"/>
      <c r="AB305" s="504"/>
      <c r="AC305" s="322"/>
      <c r="AD305" s="322"/>
      <c r="AE305" s="322"/>
    </row>
    <row r="306" spans="1:31" x14ac:dyDescent="0.25">
      <c r="A306" s="1138">
        <v>297</v>
      </c>
      <c r="B306" s="1138" t="s">
        <v>41</v>
      </c>
      <c r="C306" s="1037" t="s">
        <v>116</v>
      </c>
      <c r="D306" s="924" t="s">
        <v>77</v>
      </c>
      <c r="E306" s="1273">
        <f>Hea06_contr</f>
        <v>0</v>
      </c>
      <c r="I306" s="917"/>
      <c r="K306" s="1174"/>
      <c r="L306" s="1022"/>
      <c r="M306" s="1175"/>
      <c r="S306" s="504"/>
      <c r="T306" s="504"/>
      <c r="U306" s="504"/>
      <c r="V306" s="504"/>
      <c r="W306" s="504"/>
      <c r="X306" s="504"/>
      <c r="Y306" s="504"/>
      <c r="Z306" s="504"/>
      <c r="AA306" s="504"/>
      <c r="AB306" s="504"/>
      <c r="AC306" s="322"/>
      <c r="AD306" s="322"/>
      <c r="AE306" s="322"/>
    </row>
    <row r="307" spans="1:31" x14ac:dyDescent="0.25">
      <c r="A307" s="1138">
        <v>298</v>
      </c>
      <c r="B307" s="1138" t="s">
        <v>41</v>
      </c>
      <c r="C307" s="1037" t="s">
        <v>116</v>
      </c>
      <c r="D307" s="926" t="s">
        <v>1005</v>
      </c>
      <c r="E307" s="1272">
        <f>G303</f>
        <v>0</v>
      </c>
      <c r="I307" s="917"/>
      <c r="K307" s="1174"/>
      <c r="L307" s="1022"/>
      <c r="M307" s="1175"/>
      <c r="S307" s="504"/>
      <c r="T307" s="504"/>
      <c r="U307" s="504"/>
      <c r="V307" s="504"/>
      <c r="W307" s="504"/>
      <c r="X307" s="504"/>
      <c r="Y307" s="504"/>
      <c r="Z307" s="504"/>
      <c r="AA307" s="504"/>
      <c r="AB307" s="504"/>
      <c r="AC307" s="322"/>
      <c r="AD307" s="322"/>
      <c r="AE307" s="322"/>
    </row>
    <row r="308" spans="1:31" x14ac:dyDescent="0.25">
      <c r="A308" s="1138">
        <v>299</v>
      </c>
      <c r="B308" s="1138" t="s">
        <v>41</v>
      </c>
      <c r="C308" s="1037" t="s">
        <v>116</v>
      </c>
      <c r="D308" s="923" t="s">
        <v>46</v>
      </c>
      <c r="E308" s="1290" t="s">
        <v>14</v>
      </c>
      <c r="I308" s="917"/>
      <c r="K308" s="1174"/>
      <c r="L308" s="1022"/>
      <c r="M308" s="1175"/>
      <c r="S308" s="504"/>
      <c r="T308" s="504"/>
      <c r="U308" s="504"/>
      <c r="V308" s="504"/>
      <c r="W308" s="504"/>
      <c r="X308" s="504"/>
      <c r="Y308" s="504"/>
      <c r="Z308" s="504"/>
      <c r="AA308" s="504"/>
      <c r="AB308" s="504"/>
      <c r="AC308" s="322"/>
      <c r="AD308" s="322"/>
      <c r="AE308" s="322"/>
    </row>
    <row r="309" spans="1:31" x14ac:dyDescent="0.25">
      <c r="A309" s="1138">
        <v>300</v>
      </c>
      <c r="B309" s="1138" t="s">
        <v>41</v>
      </c>
      <c r="C309" s="1037" t="s">
        <v>116</v>
      </c>
      <c r="I309" s="917"/>
      <c r="K309" s="1174"/>
      <c r="L309" s="1022"/>
      <c r="M309" s="1175"/>
      <c r="S309" s="504"/>
      <c r="T309" s="504"/>
      <c r="U309" s="504"/>
      <c r="V309" s="504"/>
      <c r="W309" s="504"/>
      <c r="X309" s="504"/>
      <c r="Y309" s="504"/>
      <c r="Z309" s="504"/>
      <c r="AA309" s="504"/>
      <c r="AB309" s="504"/>
      <c r="AC309" s="322"/>
      <c r="AD309" s="322"/>
      <c r="AE309" s="322"/>
    </row>
    <row r="310" spans="1:31" x14ac:dyDescent="0.25">
      <c r="A310" s="1138">
        <v>301</v>
      </c>
      <c r="B310" s="1138" t="s">
        <v>41</v>
      </c>
      <c r="C310" s="1037" t="s">
        <v>116</v>
      </c>
      <c r="D310" s="920" t="s">
        <v>1004</v>
      </c>
      <c r="E310" s="920" t="s">
        <v>1003</v>
      </c>
      <c r="F310" s="920" t="str">
        <f>HLOOKUP(C310,'Assessment References'!$H$512:$BG$513,2,FALSE)</f>
        <v/>
      </c>
      <c r="G310" s="919"/>
      <c r="H310" s="918"/>
      <c r="I310" s="917"/>
      <c r="K310" s="1174"/>
      <c r="L310" s="1022"/>
      <c r="M310" s="1175"/>
      <c r="S310" s="504"/>
      <c r="T310" s="504"/>
      <c r="U310" s="504"/>
      <c r="V310" s="504"/>
      <c r="W310" s="504"/>
      <c r="X310" s="504"/>
      <c r="Y310" s="504"/>
      <c r="Z310" s="504"/>
      <c r="AA310" s="504"/>
      <c r="AB310" s="504"/>
      <c r="AC310" s="322"/>
      <c r="AD310" s="322"/>
      <c r="AE310" s="322"/>
    </row>
    <row r="311" spans="1:31" x14ac:dyDescent="0.25">
      <c r="A311" s="1138">
        <v>302</v>
      </c>
      <c r="B311" s="1138" t="s">
        <v>41</v>
      </c>
      <c r="C311" s="1037" t="s">
        <v>116</v>
      </c>
      <c r="D311" s="1539"/>
      <c r="E311" s="1540"/>
      <c r="F311" s="1540"/>
      <c r="G311" s="1540"/>
      <c r="H311" s="1541"/>
      <c r="I311" s="917"/>
      <c r="K311" s="1174"/>
      <c r="L311" s="1022"/>
      <c r="M311" s="1175"/>
      <c r="S311" s="504"/>
      <c r="T311" s="504"/>
      <c r="U311" s="504"/>
      <c r="V311" s="504"/>
      <c r="W311" s="504"/>
      <c r="X311" s="504"/>
      <c r="Y311" s="504"/>
      <c r="Z311" s="504"/>
      <c r="AA311" s="504"/>
      <c r="AB311" s="504"/>
      <c r="AC311" s="322"/>
      <c r="AD311" s="322"/>
      <c r="AE311" s="322"/>
    </row>
    <row r="312" spans="1:31" x14ac:dyDescent="0.25">
      <c r="A312" s="1138">
        <v>303</v>
      </c>
      <c r="B312" s="1138" t="s">
        <v>41</v>
      </c>
      <c r="C312" s="1037" t="s">
        <v>116</v>
      </c>
      <c r="D312" s="1530"/>
      <c r="E312" s="1531"/>
      <c r="F312" s="1531"/>
      <c r="G312" s="1531"/>
      <c r="H312" s="1532"/>
      <c r="I312" s="917"/>
      <c r="K312" s="1174"/>
      <c r="L312" s="1022"/>
      <c r="M312" s="1175"/>
      <c r="S312" s="504"/>
      <c r="T312" s="504"/>
      <c r="U312" s="504"/>
      <c r="V312" s="504"/>
      <c r="W312" s="504"/>
      <c r="X312" s="504"/>
      <c r="Y312" s="504"/>
      <c r="Z312" s="504"/>
      <c r="AA312" s="504"/>
      <c r="AB312" s="504"/>
      <c r="AC312" s="322"/>
      <c r="AD312" s="322"/>
      <c r="AE312" s="322"/>
    </row>
    <row r="313" spans="1:31" x14ac:dyDescent="0.25">
      <c r="A313" s="1138">
        <v>304</v>
      </c>
      <c r="B313" s="1138" t="s">
        <v>41</v>
      </c>
      <c r="C313" s="1037" t="s">
        <v>116</v>
      </c>
      <c r="D313" s="1530"/>
      <c r="E313" s="1531"/>
      <c r="F313" s="1531"/>
      <c r="G313" s="1531"/>
      <c r="H313" s="1532"/>
      <c r="I313" s="917"/>
      <c r="K313" s="1174"/>
      <c r="L313" s="1022"/>
      <c r="M313" s="1175"/>
      <c r="S313" s="504"/>
      <c r="T313" s="504"/>
      <c r="U313" s="504"/>
      <c r="V313" s="504"/>
      <c r="W313" s="504"/>
      <c r="X313" s="504"/>
      <c r="Y313" s="504"/>
      <c r="Z313" s="504"/>
      <c r="AA313" s="504"/>
      <c r="AB313" s="504"/>
      <c r="AC313" s="322"/>
      <c r="AD313" s="322"/>
      <c r="AE313" s="322"/>
    </row>
    <row r="314" spans="1:31" x14ac:dyDescent="0.25">
      <c r="A314" s="1138">
        <v>305</v>
      </c>
      <c r="B314" s="1138" t="s">
        <v>41</v>
      </c>
      <c r="C314" s="1037" t="s">
        <v>116</v>
      </c>
      <c r="D314" s="1533"/>
      <c r="E314" s="1534"/>
      <c r="F314" s="1534"/>
      <c r="G314" s="1534"/>
      <c r="H314" s="1535"/>
      <c r="I314" s="917"/>
      <c r="K314" s="1174"/>
      <c r="L314" s="1022"/>
      <c r="M314" s="1175"/>
      <c r="S314" s="504"/>
      <c r="T314" s="504"/>
      <c r="U314" s="504"/>
      <c r="V314" s="504"/>
      <c r="W314" s="504"/>
      <c r="X314" s="504"/>
      <c r="Y314" s="504"/>
      <c r="Z314" s="504"/>
      <c r="AA314" s="504"/>
      <c r="AB314" s="504"/>
      <c r="AC314" s="322"/>
      <c r="AD314" s="322"/>
      <c r="AE314" s="322"/>
    </row>
    <row r="315" spans="1:31" x14ac:dyDescent="0.25">
      <c r="A315" s="1138">
        <v>306</v>
      </c>
      <c r="B315" s="1138" t="s">
        <v>41</v>
      </c>
      <c r="C315" s="1037" t="s">
        <v>116</v>
      </c>
      <c r="D315" s="1533"/>
      <c r="E315" s="1534"/>
      <c r="F315" s="1534"/>
      <c r="G315" s="1534"/>
      <c r="H315" s="1535"/>
      <c r="I315" s="917"/>
      <c r="K315" s="1174"/>
      <c r="L315" s="1022"/>
      <c r="M315" s="1175"/>
      <c r="S315" s="504"/>
      <c r="T315" s="504"/>
      <c r="U315" s="504"/>
      <c r="V315" s="504"/>
      <c r="W315" s="504"/>
      <c r="X315" s="504"/>
      <c r="Y315" s="504"/>
      <c r="Z315" s="504"/>
      <c r="AA315" s="504"/>
      <c r="AB315" s="504"/>
      <c r="AC315" s="322"/>
      <c r="AD315" s="322"/>
      <c r="AE315" s="322"/>
    </row>
    <row r="316" spans="1:31" x14ac:dyDescent="0.25">
      <c r="A316" s="1138">
        <v>307</v>
      </c>
      <c r="B316" s="1138" t="s">
        <v>41</v>
      </c>
      <c r="C316" s="1037" t="s">
        <v>116</v>
      </c>
      <c r="D316" s="1536"/>
      <c r="E316" s="1537"/>
      <c r="F316" s="1537"/>
      <c r="G316" s="1537"/>
      <c r="H316" s="1538"/>
      <c r="I316" s="917"/>
      <c r="K316" s="1174"/>
      <c r="L316" s="1022"/>
      <c r="M316" s="1175"/>
      <c r="S316" s="504"/>
      <c r="T316" s="504"/>
      <c r="U316" s="504"/>
      <c r="V316" s="504"/>
      <c r="W316" s="504"/>
      <c r="X316" s="504"/>
      <c r="Y316" s="504"/>
      <c r="Z316" s="504"/>
      <c r="AA316" s="504"/>
      <c r="AB316" s="504"/>
      <c r="AC316" s="322"/>
      <c r="AD316" s="322"/>
      <c r="AE316" s="322"/>
    </row>
    <row r="317" spans="1:31" x14ac:dyDescent="0.25">
      <c r="A317" s="1138">
        <v>308</v>
      </c>
      <c r="B317" s="1138" t="s">
        <v>41</v>
      </c>
      <c r="C317" s="1037" t="s">
        <v>116</v>
      </c>
      <c r="I317" s="917"/>
      <c r="K317" s="1174"/>
      <c r="L317" s="1022"/>
      <c r="M317" s="1175"/>
      <c r="S317" s="504"/>
      <c r="T317" s="504"/>
      <c r="U317" s="504"/>
      <c r="V317" s="504"/>
      <c r="W317" s="504"/>
      <c r="X317" s="504"/>
      <c r="Y317" s="504"/>
      <c r="Z317" s="504"/>
      <c r="AA317" s="504"/>
      <c r="AB317" s="504"/>
      <c r="AC317" s="322"/>
      <c r="AD317" s="322"/>
      <c r="AE317" s="322"/>
    </row>
    <row r="318" spans="1:31" x14ac:dyDescent="0.25">
      <c r="A318" s="1138">
        <v>309</v>
      </c>
      <c r="B318" s="1139" t="s">
        <v>41</v>
      </c>
      <c r="C318" s="950" t="s">
        <v>118</v>
      </c>
      <c r="D318" s="1044" t="s">
        <v>334</v>
      </c>
      <c r="E318" s="1011"/>
      <c r="F318" s="1011"/>
      <c r="G318" s="1010"/>
      <c r="H318" s="974" t="str" cm="1">
        <f t="array" ref="H318">IF(Hea08_Credits=AIS_credit00,AIS_statement32,"")</f>
        <v>Assessment Issue Not Applicable</v>
      </c>
      <c r="I318" s="917"/>
      <c r="K318" s="1174"/>
      <c r="L318" s="1022"/>
      <c r="M318" s="1175"/>
      <c r="S318" s="504"/>
      <c r="T318" s="504"/>
      <c r="U318" s="504"/>
      <c r="V318" s="504"/>
      <c r="W318" s="504"/>
      <c r="X318" s="504"/>
      <c r="Y318" s="504"/>
      <c r="Z318" s="504"/>
      <c r="AA318" s="504"/>
      <c r="AB318" s="504"/>
      <c r="AC318" s="322"/>
      <c r="AD318" s="322"/>
      <c r="AE318" s="322"/>
    </row>
    <row r="319" spans="1:31" x14ac:dyDescent="0.25">
      <c r="A319" s="1138">
        <v>310</v>
      </c>
      <c r="B319" s="1138" t="s">
        <v>41</v>
      </c>
      <c r="C319" s="1037" t="s">
        <v>118</v>
      </c>
      <c r="D319" s="946" t="s">
        <v>15</v>
      </c>
      <c r="E319" s="1264">
        <f>Hea08_Credits</f>
        <v>0</v>
      </c>
      <c r="F319" s="945"/>
      <c r="G319" s="944" t="s">
        <v>76</v>
      </c>
      <c r="H319" s="1266">
        <f>Hea08_07</f>
        <v>0</v>
      </c>
      <c r="I319" s="917"/>
      <c r="K319" s="1174"/>
      <c r="L319" s="1022"/>
      <c r="M319" s="1175"/>
      <c r="S319" s="504"/>
      <c r="T319" s="504"/>
      <c r="U319" s="504"/>
      <c r="V319" s="504"/>
      <c r="W319" s="504"/>
      <c r="X319" s="504"/>
      <c r="Y319" s="504"/>
      <c r="Z319" s="504"/>
      <c r="AA319" s="504"/>
      <c r="AB319" s="504"/>
      <c r="AC319" s="322"/>
      <c r="AD319" s="322"/>
      <c r="AE319" s="322"/>
    </row>
    <row r="320" spans="1:31" x14ac:dyDescent="0.25">
      <c r="A320" s="1138">
        <v>311</v>
      </c>
      <c r="B320" s="1138" t="s">
        <v>41</v>
      </c>
      <c r="C320" s="1037" t="s">
        <v>118</v>
      </c>
      <c r="D320" s="972" t="s">
        <v>1011</v>
      </c>
      <c r="E320" s="1265">
        <v>0</v>
      </c>
      <c r="F320" s="941"/>
      <c r="G320" s="940" t="s">
        <v>1010</v>
      </c>
      <c r="H320" s="1267" t="s">
        <v>13</v>
      </c>
      <c r="I320" s="917"/>
      <c r="K320" s="1174"/>
      <c r="L320" s="1022"/>
      <c r="M320" s="1175"/>
      <c r="S320" s="504"/>
      <c r="T320" s="504"/>
      <c r="U320" s="504"/>
      <c r="V320" s="504"/>
      <c r="W320" s="504"/>
      <c r="X320" s="504"/>
      <c r="Y320" s="504"/>
      <c r="Z320" s="504"/>
      <c r="AA320" s="504"/>
      <c r="AB320" s="504"/>
      <c r="AC320" s="322"/>
      <c r="AD320" s="322"/>
      <c r="AE320" s="322"/>
    </row>
    <row r="321" spans="1:31" x14ac:dyDescent="0.25">
      <c r="A321" s="1138">
        <v>312</v>
      </c>
      <c r="B321" s="1138" t="s">
        <v>41</v>
      </c>
      <c r="C321" s="1037" t="s">
        <v>118</v>
      </c>
      <c r="K321" s="1174"/>
      <c r="L321" s="1022"/>
      <c r="M321" s="1175"/>
      <c r="S321" s="504"/>
      <c r="T321" s="504"/>
      <c r="U321" s="504"/>
      <c r="V321" s="504"/>
      <c r="W321" s="504"/>
      <c r="X321" s="504"/>
      <c r="Y321" s="504"/>
      <c r="Z321" s="504"/>
      <c r="AA321" s="504"/>
      <c r="AB321" s="504"/>
      <c r="AC321" s="322"/>
      <c r="AD321" s="322"/>
      <c r="AE321" s="322"/>
    </row>
    <row r="322" spans="1:31" ht="15.75" thickBot="1" x14ac:dyDescent="0.3">
      <c r="A322" s="1138">
        <v>313</v>
      </c>
      <c r="B322" s="1138" t="s">
        <v>41</v>
      </c>
      <c r="C322" s="1037" t="s">
        <v>118</v>
      </c>
      <c r="D322" s="938" t="s">
        <v>1009</v>
      </c>
      <c r="E322" s="937" t="s">
        <v>1008</v>
      </c>
      <c r="F322" s="937" t="s">
        <v>1007</v>
      </c>
      <c r="G322" s="937" t="s">
        <v>1006</v>
      </c>
      <c r="H322" s="937" t="s">
        <v>1014</v>
      </c>
      <c r="K322" s="1174"/>
      <c r="L322" s="1022"/>
      <c r="M322" s="1175"/>
      <c r="S322" s="504"/>
      <c r="T322" s="504"/>
      <c r="U322" s="504"/>
      <c r="V322" s="504"/>
      <c r="W322" s="504"/>
      <c r="X322" s="504"/>
      <c r="Y322" s="504"/>
      <c r="Z322" s="504"/>
      <c r="AA322" s="504"/>
      <c r="AB322" s="504"/>
      <c r="AC322" s="322"/>
      <c r="AD322" s="322"/>
      <c r="AE322" s="322"/>
    </row>
    <row r="323" spans="1:31" ht="15.75" thickBot="1" x14ac:dyDescent="0.3">
      <c r="A323" s="1138">
        <v>314</v>
      </c>
      <c r="B323" s="1138" t="s">
        <v>41</v>
      </c>
      <c r="C323" s="1037" t="s">
        <v>118</v>
      </c>
      <c r="D323" s="982" t="s">
        <v>1867</v>
      </c>
      <c r="E323" s="1240" t="s">
        <v>316</v>
      </c>
      <c r="F323" s="1228">
        <f>Poeng!AB64</f>
        <v>0</v>
      </c>
      <c r="G323" s="1228">
        <f>IF(E323=AIS_Yes,F323,0)</f>
        <v>0</v>
      </c>
      <c r="H323" s="1025" t="s">
        <v>14</v>
      </c>
      <c r="K323" s="1174"/>
      <c r="L323" s="1022"/>
      <c r="M323" s="1175"/>
      <c r="S323" s="62" t="s">
        <v>1015</v>
      </c>
      <c r="T323" s="504"/>
      <c r="U323" s="504"/>
      <c r="V323" s="504"/>
      <c r="W323" s="504"/>
      <c r="X323" s="504"/>
      <c r="Y323" s="504" t="str">
        <f>$X$4</f>
        <v>No</v>
      </c>
      <c r="Z323" s="504"/>
      <c r="AA323" s="504"/>
      <c r="AB323" s="504"/>
      <c r="AC323" s="322"/>
      <c r="AD323" s="322"/>
      <c r="AE323" s="322"/>
    </row>
    <row r="324" spans="1:31" x14ac:dyDescent="0.25">
      <c r="A324" s="1138">
        <v>315</v>
      </c>
      <c r="B324" s="1138" t="s">
        <v>41</v>
      </c>
      <c r="C324" s="1037" t="s">
        <v>118</v>
      </c>
      <c r="E324" s="959"/>
      <c r="I324" s="917"/>
      <c r="K324" s="1174"/>
      <c r="L324" s="1022"/>
      <c r="M324" s="1175"/>
      <c r="S324" s="504"/>
      <c r="T324" s="504"/>
      <c r="U324" s="504"/>
      <c r="V324" s="504"/>
      <c r="W324" s="504"/>
      <c r="X324" s="504"/>
      <c r="Y324" s="504"/>
      <c r="Z324" s="504"/>
      <c r="AA324" s="504"/>
      <c r="AB324" s="504"/>
      <c r="AC324" s="322"/>
      <c r="AD324" s="322"/>
      <c r="AE324" s="322"/>
    </row>
    <row r="325" spans="1:31" x14ac:dyDescent="0.25">
      <c r="A325" s="1138">
        <v>316</v>
      </c>
      <c r="B325" s="1138" t="s">
        <v>41</v>
      </c>
      <c r="C325" s="1037" t="s">
        <v>118</v>
      </c>
      <c r="D325" s="958" t="s">
        <v>1012</v>
      </c>
      <c r="E325" s="1272">
        <f>G323</f>
        <v>0</v>
      </c>
      <c r="I325" s="917"/>
      <c r="K325" s="1174"/>
      <c r="L325" s="1022"/>
      <c r="M325" s="1175"/>
      <c r="S325" s="504"/>
      <c r="T325" s="504"/>
      <c r="U325" s="504"/>
      <c r="V325" s="504"/>
      <c r="W325" s="504"/>
      <c r="X325" s="504"/>
      <c r="Y325" s="504"/>
      <c r="Z325" s="504"/>
      <c r="AA325" s="504"/>
      <c r="AB325" s="504"/>
      <c r="AC325" s="322"/>
      <c r="AD325" s="322"/>
      <c r="AE325" s="322"/>
    </row>
    <row r="326" spans="1:31" x14ac:dyDescent="0.25">
      <c r="A326" s="1138">
        <v>317</v>
      </c>
      <c r="B326" s="1138" t="s">
        <v>41</v>
      </c>
      <c r="C326" s="1037" t="s">
        <v>118</v>
      </c>
      <c r="D326" s="924" t="s">
        <v>77</v>
      </c>
      <c r="E326" s="1273">
        <f>Hea08_contr</f>
        <v>0</v>
      </c>
      <c r="I326" s="917"/>
      <c r="K326" s="1174"/>
      <c r="L326" s="1022"/>
      <c r="M326" s="1175"/>
      <c r="S326" s="504"/>
      <c r="T326" s="504"/>
      <c r="U326" s="504"/>
      <c r="V326" s="504"/>
      <c r="W326" s="504"/>
      <c r="X326" s="504"/>
      <c r="Y326" s="504"/>
      <c r="Z326" s="504"/>
      <c r="AA326" s="504"/>
      <c r="AB326" s="504"/>
      <c r="AC326" s="322"/>
      <c r="AD326" s="322"/>
      <c r="AE326" s="322"/>
    </row>
    <row r="327" spans="1:31" x14ac:dyDescent="0.25">
      <c r="A327" s="1138">
        <v>318</v>
      </c>
      <c r="B327" s="1138" t="s">
        <v>41</v>
      </c>
      <c r="C327" s="1037" t="s">
        <v>118</v>
      </c>
      <c r="D327" s="926" t="s">
        <v>1005</v>
      </c>
      <c r="E327" s="1272" t="s">
        <v>14</v>
      </c>
      <c r="I327" s="917"/>
      <c r="K327" s="1174"/>
      <c r="L327" s="1022"/>
      <c r="M327" s="1175"/>
      <c r="S327" s="504"/>
      <c r="T327" s="504"/>
      <c r="U327" s="504"/>
      <c r="V327" s="504"/>
      <c r="W327" s="504"/>
      <c r="X327" s="504"/>
      <c r="Y327" s="504"/>
      <c r="Z327" s="504"/>
      <c r="AA327" s="504"/>
      <c r="AB327" s="504"/>
      <c r="AC327" s="322"/>
      <c r="AD327" s="322"/>
      <c r="AE327" s="322"/>
    </row>
    <row r="328" spans="1:31" x14ac:dyDescent="0.25">
      <c r="A328" s="1138">
        <v>319</v>
      </c>
      <c r="B328" s="1138" t="s">
        <v>41</v>
      </c>
      <c r="C328" s="1037" t="s">
        <v>118</v>
      </c>
      <c r="D328" s="923" t="s">
        <v>46</v>
      </c>
      <c r="E328" s="1290" t="s">
        <v>14</v>
      </c>
      <c r="I328" s="917"/>
      <c r="K328" s="1174"/>
      <c r="L328" s="1022"/>
      <c r="M328" s="1175"/>
      <c r="S328" s="504"/>
      <c r="T328" s="504"/>
      <c r="U328" s="504"/>
      <c r="V328" s="504"/>
      <c r="W328" s="504"/>
      <c r="X328" s="504"/>
      <c r="Y328" s="504"/>
      <c r="Z328" s="504"/>
      <c r="AA328" s="504"/>
      <c r="AB328" s="504"/>
      <c r="AC328" s="322"/>
      <c r="AD328" s="322"/>
      <c r="AE328" s="322"/>
    </row>
    <row r="329" spans="1:31" x14ac:dyDescent="0.25">
      <c r="A329" s="1138">
        <v>320</v>
      </c>
      <c r="B329" s="1138" t="s">
        <v>41</v>
      </c>
      <c r="C329" s="1037" t="s">
        <v>118</v>
      </c>
      <c r="I329" s="917"/>
      <c r="K329" s="1174"/>
      <c r="L329" s="1022"/>
      <c r="M329" s="1175"/>
      <c r="S329" s="504"/>
      <c r="T329" s="504"/>
      <c r="U329" s="504"/>
      <c r="V329" s="504"/>
      <c r="W329" s="504"/>
      <c r="X329" s="504"/>
      <c r="Y329" s="504"/>
      <c r="Z329" s="504"/>
      <c r="AA329" s="504"/>
      <c r="AB329" s="504"/>
      <c r="AC329" s="322"/>
      <c r="AD329" s="322"/>
      <c r="AE329" s="322"/>
    </row>
    <row r="330" spans="1:31" x14ac:dyDescent="0.25">
      <c r="A330" s="1138">
        <v>321</v>
      </c>
      <c r="B330" s="1138" t="s">
        <v>41</v>
      </c>
      <c r="C330" s="1037" t="s">
        <v>118</v>
      </c>
      <c r="D330" s="920" t="s">
        <v>1004</v>
      </c>
      <c r="E330" s="920" t="s">
        <v>1003</v>
      </c>
      <c r="F330" s="920" t="str">
        <f>HLOOKUP(C330,'Assessment References'!$H$512:$BG$513,2,FALSE)</f>
        <v/>
      </c>
      <c r="G330" s="919"/>
      <c r="H330" s="918"/>
      <c r="I330" s="917"/>
      <c r="K330" s="1174"/>
      <c r="L330" s="1022"/>
      <c r="M330" s="1175"/>
      <c r="S330" s="504"/>
      <c r="T330" s="504"/>
      <c r="U330" s="504"/>
      <c r="V330" s="504"/>
      <c r="W330" s="504"/>
      <c r="X330" s="504"/>
      <c r="Y330" s="504"/>
      <c r="Z330" s="504"/>
      <c r="AA330" s="504"/>
      <c r="AB330" s="504"/>
      <c r="AC330" s="322"/>
      <c r="AD330" s="322"/>
      <c r="AE330" s="322"/>
    </row>
    <row r="331" spans="1:31" x14ac:dyDescent="0.25">
      <c r="A331" s="1138">
        <v>322</v>
      </c>
      <c r="B331" s="1138" t="s">
        <v>41</v>
      </c>
      <c r="C331" s="1037" t="s">
        <v>118</v>
      </c>
      <c r="D331" s="1539"/>
      <c r="E331" s="1540"/>
      <c r="F331" s="1540"/>
      <c r="G331" s="1540"/>
      <c r="H331" s="1541"/>
      <c r="I331" s="917"/>
      <c r="K331" s="1174"/>
      <c r="L331" s="1022"/>
      <c r="M331" s="1175"/>
      <c r="S331" s="504"/>
      <c r="T331" s="504"/>
      <c r="U331" s="504"/>
      <c r="V331" s="504"/>
      <c r="W331" s="504"/>
      <c r="X331" s="504"/>
      <c r="Y331" s="504"/>
      <c r="Z331" s="504"/>
      <c r="AA331" s="504"/>
      <c r="AB331" s="504"/>
      <c r="AC331" s="322"/>
      <c r="AD331" s="322"/>
      <c r="AE331" s="322"/>
    </row>
    <row r="332" spans="1:31" x14ac:dyDescent="0.25">
      <c r="A332" s="1138">
        <v>323</v>
      </c>
      <c r="B332" s="1138" t="s">
        <v>41</v>
      </c>
      <c r="C332" s="1037" t="s">
        <v>118</v>
      </c>
      <c r="D332" s="1530"/>
      <c r="E332" s="1531"/>
      <c r="F332" s="1531"/>
      <c r="G332" s="1531"/>
      <c r="H332" s="1532"/>
      <c r="I332" s="917"/>
      <c r="K332" s="1174"/>
      <c r="L332" s="1022"/>
      <c r="M332" s="1175"/>
      <c r="S332" s="504"/>
      <c r="T332" s="504"/>
      <c r="U332" s="504"/>
      <c r="V332" s="504"/>
      <c r="W332" s="504"/>
      <c r="X332" s="504"/>
      <c r="Y332" s="504"/>
      <c r="Z332" s="504"/>
      <c r="AA332" s="504"/>
      <c r="AB332" s="504"/>
      <c r="AC332" s="322"/>
      <c r="AD332" s="322"/>
      <c r="AE332" s="322"/>
    </row>
    <row r="333" spans="1:31" x14ac:dyDescent="0.25">
      <c r="A333" s="1138">
        <v>324</v>
      </c>
      <c r="B333" s="1138" t="s">
        <v>41</v>
      </c>
      <c r="C333" s="1037" t="s">
        <v>118</v>
      </c>
      <c r="D333" s="1530"/>
      <c r="E333" s="1531"/>
      <c r="F333" s="1531"/>
      <c r="G333" s="1531"/>
      <c r="H333" s="1532"/>
      <c r="I333" s="917"/>
      <c r="K333" s="1174"/>
      <c r="L333" s="1022"/>
      <c r="M333" s="1175"/>
      <c r="S333" s="504"/>
      <c r="T333" s="504"/>
      <c r="U333" s="504"/>
      <c r="V333" s="504"/>
      <c r="W333" s="504"/>
      <c r="X333" s="504"/>
      <c r="Y333" s="504"/>
      <c r="Z333" s="504"/>
      <c r="AA333" s="504"/>
      <c r="AB333" s="504"/>
      <c r="AC333" s="322"/>
      <c r="AD333" s="322"/>
      <c r="AE333" s="322"/>
    </row>
    <row r="334" spans="1:31" x14ac:dyDescent="0.25">
      <c r="A334" s="1138">
        <v>325</v>
      </c>
      <c r="B334" s="1138" t="s">
        <v>41</v>
      </c>
      <c r="C334" s="1037" t="s">
        <v>118</v>
      </c>
      <c r="D334" s="1533"/>
      <c r="E334" s="1534"/>
      <c r="F334" s="1534"/>
      <c r="G334" s="1534"/>
      <c r="H334" s="1535"/>
      <c r="I334" s="917"/>
      <c r="K334" s="1174"/>
      <c r="L334" s="1022"/>
      <c r="M334" s="1175"/>
      <c r="S334" s="504"/>
      <c r="T334" s="504"/>
      <c r="U334" s="504"/>
      <c r="V334" s="504"/>
      <c r="W334" s="504"/>
      <c r="X334" s="504"/>
      <c r="Y334" s="504"/>
      <c r="Z334" s="504"/>
      <c r="AA334" s="504"/>
      <c r="AB334" s="504"/>
      <c r="AC334" s="322"/>
      <c r="AD334" s="322"/>
      <c r="AE334" s="322"/>
    </row>
    <row r="335" spans="1:31" x14ac:dyDescent="0.25">
      <c r="A335" s="1138">
        <v>326</v>
      </c>
      <c r="B335" s="1138" t="s">
        <v>41</v>
      </c>
      <c r="C335" s="1037" t="s">
        <v>118</v>
      </c>
      <c r="D335" s="1533"/>
      <c r="E335" s="1534"/>
      <c r="F335" s="1534"/>
      <c r="G335" s="1534"/>
      <c r="H335" s="1535"/>
      <c r="I335" s="917"/>
      <c r="K335" s="1174"/>
      <c r="L335" s="1022"/>
      <c r="M335" s="1175"/>
      <c r="S335" s="504"/>
      <c r="T335" s="504"/>
      <c r="U335" s="504"/>
      <c r="V335" s="504"/>
      <c r="W335" s="504"/>
      <c r="X335" s="504"/>
      <c r="Y335" s="504"/>
      <c r="Z335" s="504"/>
      <c r="AA335" s="504"/>
      <c r="AB335" s="504"/>
      <c r="AC335" s="322"/>
      <c r="AD335" s="322"/>
      <c r="AE335" s="322"/>
    </row>
    <row r="336" spans="1:31" x14ac:dyDescent="0.25">
      <c r="A336" s="1138">
        <v>327</v>
      </c>
      <c r="B336" s="1138" t="s">
        <v>41</v>
      </c>
      <c r="C336" s="1037" t="s">
        <v>118</v>
      </c>
      <c r="D336" s="1536"/>
      <c r="E336" s="1537"/>
      <c r="F336" s="1537"/>
      <c r="G336" s="1537"/>
      <c r="H336" s="1538"/>
      <c r="I336" s="917"/>
      <c r="K336" s="1174"/>
      <c r="L336" s="1022"/>
      <c r="M336" s="1175"/>
      <c r="S336" s="504"/>
      <c r="T336" s="504"/>
      <c r="U336" s="504"/>
      <c r="V336" s="504"/>
      <c r="W336" s="504"/>
      <c r="X336" s="504"/>
      <c r="Y336" s="504"/>
      <c r="Z336" s="504"/>
      <c r="AA336" s="504"/>
      <c r="AB336" s="504"/>
      <c r="AC336" s="322"/>
      <c r="AD336" s="322"/>
      <c r="AE336" s="322"/>
    </row>
    <row r="337" spans="1:37" x14ac:dyDescent="0.25">
      <c r="A337" s="1138">
        <v>328</v>
      </c>
      <c r="B337" s="1138" t="s">
        <v>41</v>
      </c>
      <c r="C337" s="1037" t="s">
        <v>118</v>
      </c>
      <c r="D337" s="1053"/>
      <c r="E337" s="1046"/>
      <c r="F337" s="1046"/>
      <c r="G337" s="1046"/>
      <c r="H337" s="1046"/>
      <c r="I337" s="917"/>
      <c r="K337" s="1174"/>
      <c r="L337" s="1022"/>
      <c r="M337" s="1175"/>
      <c r="S337" s="504"/>
      <c r="T337" s="504"/>
      <c r="U337" s="504"/>
      <c r="V337" s="504"/>
      <c r="W337" s="504"/>
      <c r="X337" s="504"/>
      <c r="Y337" s="504"/>
      <c r="Z337" s="504"/>
      <c r="AA337" s="504"/>
      <c r="AB337" s="504"/>
      <c r="AC337" s="322"/>
      <c r="AD337" s="322"/>
      <c r="AE337" s="322"/>
    </row>
    <row r="338" spans="1:37" ht="18.75" x14ac:dyDescent="0.3">
      <c r="A338" s="1138">
        <v>329</v>
      </c>
      <c r="B338" s="957" t="s">
        <v>40</v>
      </c>
      <c r="C338" s="956"/>
      <c r="D338" s="954"/>
      <c r="E338" s="954"/>
      <c r="F338" s="954"/>
      <c r="G338" s="954"/>
      <c r="H338" s="953"/>
      <c r="I338" s="1018"/>
      <c r="J338" s="1041"/>
      <c r="K338" s="1174"/>
      <c r="L338" s="1022"/>
      <c r="M338" s="1175"/>
      <c r="S338" s="504"/>
      <c r="T338" s="504"/>
      <c r="U338" s="504"/>
      <c r="V338" s="504"/>
      <c r="W338" s="504"/>
      <c r="X338" s="504"/>
      <c r="Y338" s="504"/>
      <c r="Z338" s="504"/>
      <c r="AA338" s="504"/>
      <c r="AB338" s="504"/>
      <c r="AC338" s="322"/>
      <c r="AD338" s="322"/>
      <c r="AE338" s="322"/>
    </row>
    <row r="339" spans="1:37" x14ac:dyDescent="0.25">
      <c r="A339" s="1138">
        <v>330</v>
      </c>
      <c r="B339" s="1138" t="s">
        <v>40</v>
      </c>
      <c r="C339" s="917"/>
      <c r="D339" s="1055"/>
      <c r="E339" s="1055"/>
      <c r="F339" s="1055"/>
      <c r="G339" s="1055"/>
      <c r="H339" s="1055"/>
      <c r="I339" s="1018"/>
      <c r="J339" s="1041"/>
      <c r="K339" s="1174"/>
      <c r="L339" s="1022"/>
      <c r="M339" s="1175"/>
      <c r="S339" s="504"/>
      <c r="T339" s="504"/>
      <c r="U339" s="504"/>
      <c r="V339" s="504"/>
      <c r="W339" s="504"/>
      <c r="X339" s="504"/>
      <c r="Y339" s="504"/>
      <c r="Z339" s="504"/>
      <c r="AA339" s="504"/>
      <c r="AB339" s="504"/>
      <c r="AC339" s="322"/>
      <c r="AD339" s="322"/>
      <c r="AE339" s="322"/>
    </row>
    <row r="340" spans="1:37" ht="15.75" thickBot="1" x14ac:dyDescent="0.3">
      <c r="A340" s="1138">
        <v>331</v>
      </c>
      <c r="B340" s="1139" t="s">
        <v>40</v>
      </c>
      <c r="C340" s="950" t="s">
        <v>129</v>
      </c>
      <c r="D340" s="1044" t="s">
        <v>1104</v>
      </c>
      <c r="E340" s="1011"/>
      <c r="F340" s="1011"/>
      <c r="G340" s="1010"/>
      <c r="H340" s="1010"/>
      <c r="I340" s="1018"/>
      <c r="J340" s="1041"/>
      <c r="K340" s="1174"/>
      <c r="L340" s="1022"/>
      <c r="M340" s="1175"/>
      <c r="S340" s="504"/>
      <c r="T340" s="504"/>
      <c r="U340" s="504"/>
      <c r="V340" s="504"/>
      <c r="W340" s="504"/>
      <c r="X340" s="504"/>
      <c r="Y340" s="504"/>
      <c r="Z340" s="504"/>
      <c r="AA340" s="504"/>
      <c r="AB340" s="504"/>
      <c r="AC340" s="322"/>
      <c r="AD340" s="322"/>
      <c r="AE340" s="322"/>
    </row>
    <row r="341" spans="1:37" x14ac:dyDescent="0.25">
      <c r="A341" s="1138">
        <v>332</v>
      </c>
      <c r="B341" s="1138" t="s">
        <v>40</v>
      </c>
      <c r="C341" s="1037" t="s">
        <v>129</v>
      </c>
      <c r="D341" s="946" t="s">
        <v>15</v>
      </c>
      <c r="E341" s="1264">
        <f>Ene01_credits</f>
        <v>12</v>
      </c>
      <c r="F341" s="945"/>
      <c r="G341" s="944" t="s">
        <v>76</v>
      </c>
      <c r="H341" s="1266">
        <f>Ene01_41</f>
        <v>6.2222222222222234E-2</v>
      </c>
      <c r="I341" s="1018"/>
      <c r="J341" s="1041"/>
      <c r="K341" s="947" t="str">
        <f>C341</f>
        <v>Ene 01</v>
      </c>
      <c r="L341" s="1022"/>
      <c r="M341" s="1175"/>
      <c r="S341" s="504"/>
      <c r="T341" s="504"/>
      <c r="U341" s="504"/>
      <c r="V341" s="504"/>
      <c r="W341" s="504"/>
      <c r="X341" s="504"/>
      <c r="Y341" s="504"/>
      <c r="Z341" s="504"/>
      <c r="AA341" s="504"/>
      <c r="AB341" s="504"/>
      <c r="AC341" s="322"/>
      <c r="AD341" s="322"/>
      <c r="AE341" s="322"/>
    </row>
    <row r="342" spans="1:37" x14ac:dyDescent="0.25">
      <c r="A342" s="1138">
        <v>333</v>
      </c>
      <c r="B342" s="1138" t="s">
        <v>40</v>
      </c>
      <c r="C342" s="1037" t="s">
        <v>129</v>
      </c>
      <c r="D342" s="972" t="s">
        <v>1011</v>
      </c>
      <c r="E342" s="1265">
        <f>Inn05_credits+Inn06_credits</f>
        <v>3</v>
      </c>
      <c r="F342" s="941"/>
      <c r="G342" s="940" t="s">
        <v>1010</v>
      </c>
      <c r="H342" s="1267" t="s">
        <v>12</v>
      </c>
      <c r="I342" s="1018"/>
      <c r="J342" s="1041"/>
      <c r="K342" s="1174"/>
      <c r="L342" s="1022"/>
      <c r="M342" s="1175"/>
      <c r="S342" s="504"/>
      <c r="T342" s="504"/>
      <c r="U342" s="504"/>
      <c r="V342" s="504"/>
      <c r="W342" s="504"/>
      <c r="X342" s="504"/>
      <c r="Y342" s="504"/>
      <c r="Z342" s="504"/>
      <c r="AA342" s="504"/>
      <c r="AB342" s="504"/>
      <c r="AC342" s="322"/>
      <c r="AD342" s="322"/>
      <c r="AE342" s="322"/>
    </row>
    <row r="343" spans="1:37" x14ac:dyDescent="0.25">
      <c r="A343" s="1138">
        <v>334</v>
      </c>
      <c r="B343" s="1138" t="s">
        <v>40</v>
      </c>
      <c r="C343" s="1037" t="s">
        <v>129</v>
      </c>
      <c r="I343" s="1018"/>
      <c r="J343" s="1041"/>
      <c r="K343" s="1174"/>
      <c r="L343" s="1022"/>
      <c r="M343" s="1175"/>
      <c r="S343" s="504"/>
      <c r="T343" s="504"/>
      <c r="U343" s="504"/>
      <c r="V343" s="504"/>
      <c r="W343" s="504"/>
      <c r="X343" s="504"/>
      <c r="Y343" s="504"/>
      <c r="Z343" s="504"/>
      <c r="AA343" s="504"/>
      <c r="AB343" s="504"/>
      <c r="AC343" s="322"/>
      <c r="AD343" s="322"/>
      <c r="AE343" s="322"/>
    </row>
    <row r="344" spans="1:37" ht="15.75" thickBot="1" x14ac:dyDescent="0.3">
      <c r="A344" s="1138">
        <v>335</v>
      </c>
      <c r="B344" s="1138" t="s">
        <v>40</v>
      </c>
      <c r="C344" s="1037" t="s">
        <v>129</v>
      </c>
      <c r="D344" s="938" t="s">
        <v>1009</v>
      </c>
      <c r="E344" s="937" t="s">
        <v>1008</v>
      </c>
      <c r="F344" s="937" t="s">
        <v>1007</v>
      </c>
      <c r="G344" s="937" t="s">
        <v>1006</v>
      </c>
      <c r="H344" s="937" t="s">
        <v>1014</v>
      </c>
      <c r="I344" s="1018"/>
      <c r="J344" s="1041"/>
      <c r="K344" s="1174"/>
      <c r="L344" s="1022"/>
      <c r="M344" s="1175"/>
      <c r="S344" s="504"/>
      <c r="T344" s="504"/>
      <c r="U344" s="504"/>
      <c r="V344" s="504"/>
      <c r="W344" s="504"/>
      <c r="X344" s="504"/>
      <c r="Y344" s="504"/>
      <c r="Z344" s="504"/>
      <c r="AA344" s="504"/>
      <c r="AB344" s="504"/>
      <c r="AC344" s="322"/>
      <c r="AD344" s="322"/>
      <c r="AE344" s="322"/>
    </row>
    <row r="345" spans="1:37" ht="15.75" thickBot="1" x14ac:dyDescent="0.3">
      <c r="A345" s="1138">
        <v>336</v>
      </c>
      <c r="B345" s="1138" t="s">
        <v>40</v>
      </c>
      <c r="C345" s="1037" t="s">
        <v>129</v>
      </c>
      <c r="D345" s="1168" t="s">
        <v>1441</v>
      </c>
      <c r="E345" s="1268" t="s">
        <v>316</v>
      </c>
      <c r="F345" s="1223">
        <f>Poeng!AB70</f>
        <v>2</v>
      </c>
      <c r="G345" s="1223">
        <f>IF(E345=AIS_Yes,F345,0)*L354</f>
        <v>0</v>
      </c>
      <c r="H345" s="1057" t="s">
        <v>14</v>
      </c>
      <c r="I345" s="1018"/>
      <c r="J345" s="1041"/>
      <c r="K345" s="992" t="s">
        <v>316</v>
      </c>
      <c r="L345" s="1183"/>
      <c r="M345" s="1175"/>
      <c r="S345" s="846">
        <v>1</v>
      </c>
      <c r="T345" s="846">
        <v>0</v>
      </c>
      <c r="U345" s="968">
        <v>1</v>
      </c>
      <c r="V345" s="146" t="str">
        <f>IF($X$4=AIS_Yes,S345,AIS_NA)</f>
        <v>N/A</v>
      </c>
      <c r="W345" s="43" t="str">
        <f>IF($X$4=AIS_Yes,T345,AIS_NA)</f>
        <v>N/A</v>
      </c>
      <c r="X345" s="163" t="str">
        <f>IF($X$4=AIS_Yes,U345,AIS_NA)</f>
        <v>N/A</v>
      </c>
      <c r="Y345" s="967" t="str">
        <f>IF(AND($X$4=AIS_Yes,OR(V345&lt;&gt;AIS_NA,W345&lt;&gt;AIS_NA,X345&lt;&gt;AIS_NA)),AIS_Yes,AIS_No)</f>
        <v>No</v>
      </c>
      <c r="Z345" s="146" t="e">
        <f>AIS_option01</f>
        <v>#NAME?</v>
      </c>
      <c r="AA345" s="43" t="e">
        <f>AIS_option02a</f>
        <v>#NAME?</v>
      </c>
      <c r="AB345" s="147" t="e">
        <f>AIS_option03</f>
        <v>#NAME?</v>
      </c>
      <c r="AC345" s="966"/>
      <c r="AD345" s="965"/>
      <c r="AE345" s="962" t="str">
        <f>IF(Y345=AIS_Yes,Z345,AIS_NA)</f>
        <v>N/A</v>
      </c>
      <c r="AF345" s="962" t="str">
        <f>IF(Y345=AIS_Yes,AA345,AIS_NA)</f>
        <v>N/A</v>
      </c>
      <c r="AG345" s="964" t="str">
        <f>IF(Y345=AIS_Yes,AB345,AIS_NA)</f>
        <v>N/A</v>
      </c>
      <c r="AH345" s="963" t="str">
        <f>C345</f>
        <v>Ene 01</v>
      </c>
      <c r="AI345" s="1026" t="str">
        <f>D340</f>
        <v>Energy efficiency</v>
      </c>
      <c r="AJ345" s="961" t="str">
        <f>H345</f>
        <v>N/A</v>
      </c>
      <c r="AK345" s="1016">
        <f>IF(Y345=AIS_No,1,IF(H345=AE345,V345,IF(H345=AF345,W345,IF(H345=AG345,X345,1))))</f>
        <v>1</v>
      </c>
    </row>
    <row r="346" spans="1:37" x14ac:dyDescent="0.25">
      <c r="A346" s="1138">
        <v>337</v>
      </c>
      <c r="B346" s="1138" t="s">
        <v>40</v>
      </c>
      <c r="C346" s="1037" t="s">
        <v>129</v>
      </c>
      <c r="D346" s="1293" t="s">
        <v>1442</v>
      </c>
      <c r="E346" s="1271" t="s">
        <v>316</v>
      </c>
      <c r="F346" s="1270">
        <f>Poeng!AB71</f>
        <v>1</v>
      </c>
      <c r="G346" s="1270">
        <f>IF(E346=AIS_Yes,F346,0)</f>
        <v>0</v>
      </c>
      <c r="H346" s="987" t="s">
        <v>14</v>
      </c>
      <c r="I346" s="1018"/>
      <c r="J346" s="1041"/>
      <c r="K346" s="1184" t="s">
        <v>1444</v>
      </c>
      <c r="L346" s="1183">
        <v>0</v>
      </c>
      <c r="M346" s="1175"/>
      <c r="S346" s="213"/>
      <c r="T346" s="213"/>
      <c r="U346" s="213"/>
      <c r="V346"/>
      <c r="W346"/>
      <c r="X346"/>
      <c r="Y346" s="504"/>
      <c r="Z346"/>
      <c r="AA346"/>
      <c r="AB346"/>
      <c r="AC346"/>
      <c r="AD346"/>
      <c r="AE346"/>
      <c r="AF346"/>
      <c r="AG346"/>
    </row>
    <row r="347" spans="1:37" x14ac:dyDescent="0.25">
      <c r="A347" s="1138">
        <v>338</v>
      </c>
      <c r="B347" s="1138" t="s">
        <v>40</v>
      </c>
      <c r="C347" s="1037" t="s">
        <v>129</v>
      </c>
      <c r="D347" s="1293" t="s">
        <v>1448</v>
      </c>
      <c r="E347" s="1271" t="s">
        <v>316</v>
      </c>
      <c r="F347" s="1302">
        <f>Poeng!AB72</f>
        <v>4</v>
      </c>
      <c r="G347" s="1302">
        <f>IF(E348=AIS_Yes,VLOOKUP(E347,K345:L352,2,FALSE),0)</f>
        <v>0</v>
      </c>
      <c r="H347" s="987" t="s">
        <v>14</v>
      </c>
      <c r="I347" s="1018"/>
      <c r="J347" s="1041"/>
      <c r="K347" s="1184" t="s">
        <v>1445</v>
      </c>
      <c r="L347" s="1183">
        <f>IF(F347=4,1)</f>
        <v>1</v>
      </c>
      <c r="M347" s="1175"/>
      <c r="S347" s="213"/>
      <c r="T347" s="213"/>
      <c r="U347" s="213"/>
      <c r="V347"/>
      <c r="W347"/>
      <c r="X347"/>
      <c r="Y347" s="504"/>
      <c r="Z347"/>
      <c r="AA347"/>
      <c r="AB347"/>
      <c r="AC347"/>
      <c r="AD347"/>
      <c r="AE347"/>
      <c r="AF347"/>
      <c r="AG347"/>
    </row>
    <row r="348" spans="1:37" x14ac:dyDescent="0.25">
      <c r="A348" s="1138">
        <v>339</v>
      </c>
      <c r="B348" s="1138" t="s">
        <v>40</v>
      </c>
      <c r="C348" s="1037" t="s">
        <v>129</v>
      </c>
      <c r="D348" s="1293" t="str">
        <f>Poeng!E253</f>
        <v>EU taxonomy requirements: criterion 9 and 10</v>
      </c>
      <c r="E348" s="1271" t="s">
        <v>316</v>
      </c>
      <c r="F348" s="1302"/>
      <c r="G348" s="1302"/>
      <c r="H348" s="987" t="s">
        <v>14</v>
      </c>
      <c r="J348" s="1041"/>
      <c r="K348" s="1184" t="s">
        <v>1446</v>
      </c>
      <c r="L348" s="1183">
        <f>IF(F347=4,2)</f>
        <v>2</v>
      </c>
      <c r="M348" s="1175"/>
      <c r="S348" s="213"/>
      <c r="T348" s="213"/>
      <c r="U348" s="213"/>
      <c r="V348"/>
      <c r="W348"/>
      <c r="X348"/>
      <c r="Y348" s="504"/>
      <c r="Z348"/>
      <c r="AA348"/>
      <c r="AB348"/>
      <c r="AC348"/>
      <c r="AD348"/>
      <c r="AE348"/>
      <c r="AF348"/>
      <c r="AG348"/>
    </row>
    <row r="349" spans="1:37" x14ac:dyDescent="0.25">
      <c r="A349" s="1138">
        <v>340</v>
      </c>
      <c r="B349" s="1138" t="s">
        <v>40</v>
      </c>
      <c r="C349" s="1037" t="s">
        <v>129</v>
      </c>
      <c r="D349" s="1293" t="str">
        <f>Poeng!E73</f>
        <v>Adaptation to EU taxonomy</v>
      </c>
      <c r="E349" s="1269" t="s">
        <v>316</v>
      </c>
      <c r="F349" s="1270">
        <f>Poeng!AB73</f>
        <v>1</v>
      </c>
      <c r="G349" s="1270">
        <f>IF(E349=AIS_Yes,F349,0)</f>
        <v>0</v>
      </c>
      <c r="H349" s="987" t="s">
        <v>14</v>
      </c>
      <c r="I349" s="1018"/>
      <c r="J349" s="1041"/>
      <c r="K349" s="1184" t="s">
        <v>1443</v>
      </c>
      <c r="L349" s="1183">
        <f>IF(F347=4,3)</f>
        <v>3</v>
      </c>
      <c r="M349" s="1175"/>
      <c r="S349" s="213"/>
      <c r="T349" s="213"/>
      <c r="U349" s="213"/>
      <c r="V349"/>
      <c r="W349"/>
      <c r="X349"/>
      <c r="Y349" s="504"/>
      <c r="Z349"/>
      <c r="AA349"/>
      <c r="AB349"/>
      <c r="AC349"/>
      <c r="AD349"/>
      <c r="AE349"/>
      <c r="AF349"/>
      <c r="AG349"/>
    </row>
    <row r="350" spans="1:37" x14ac:dyDescent="0.25">
      <c r="A350" s="1138">
        <v>341</v>
      </c>
      <c r="B350" s="1138" t="s">
        <v>40</v>
      </c>
      <c r="C350" s="1037"/>
      <c r="D350" s="1296" t="str">
        <f>Poeng!E257</f>
        <v>EU taxonomy requirements: criterion 12</v>
      </c>
      <c r="E350" s="1303" t="s">
        <v>316</v>
      </c>
      <c r="F350" s="1302"/>
      <c r="G350" s="1302"/>
      <c r="H350" s="987" t="s">
        <v>14</v>
      </c>
      <c r="I350" s="1018"/>
      <c r="J350" s="1041"/>
      <c r="K350" s="1184"/>
      <c r="L350" s="1183"/>
      <c r="M350" s="1175"/>
      <c r="S350" s="213"/>
      <c r="T350" s="213"/>
      <c r="U350" s="213"/>
      <c r="V350"/>
      <c r="W350"/>
      <c r="X350"/>
      <c r="Y350" s="504"/>
      <c r="Z350"/>
      <c r="AA350"/>
      <c r="AB350"/>
      <c r="AC350"/>
      <c r="AD350"/>
      <c r="AE350"/>
      <c r="AF350"/>
      <c r="AG350"/>
    </row>
    <row r="351" spans="1:37" ht="15.75" thickBot="1" x14ac:dyDescent="0.3">
      <c r="A351" s="1138">
        <v>342</v>
      </c>
      <c r="B351" s="1138" t="s">
        <v>40</v>
      </c>
      <c r="C351" s="1037" t="s">
        <v>129</v>
      </c>
      <c r="D351" s="1170" t="s">
        <v>1449</v>
      </c>
      <c r="E351" s="1275" t="s">
        <v>316</v>
      </c>
      <c r="F351" s="1227">
        <f>Poeng!AB74</f>
        <v>4</v>
      </c>
      <c r="G351" s="1227">
        <f>IF(E351=AIS_Yes,F351,0)</f>
        <v>0</v>
      </c>
      <c r="H351" s="986" t="s">
        <v>14</v>
      </c>
      <c r="I351" s="1018"/>
      <c r="J351" s="1041"/>
      <c r="K351" s="1184" t="s">
        <v>1447</v>
      </c>
      <c r="L351" s="1185">
        <f>F347</f>
        <v>4</v>
      </c>
      <c r="M351" s="1175"/>
      <c r="S351" s="213"/>
      <c r="T351" s="213"/>
      <c r="U351" s="213"/>
      <c r="V351"/>
      <c r="W351"/>
      <c r="X351"/>
      <c r="Y351" s="504"/>
      <c r="Z351"/>
      <c r="AA351"/>
      <c r="AB351"/>
      <c r="AC351"/>
      <c r="AD351"/>
      <c r="AE351"/>
      <c r="AF351"/>
      <c r="AG351"/>
    </row>
    <row r="352" spans="1:37" ht="15.75" thickBot="1" x14ac:dyDescent="0.3">
      <c r="A352" s="1138">
        <v>343</v>
      </c>
      <c r="B352" s="1138" t="s">
        <v>40</v>
      </c>
      <c r="C352" s="1037" t="s">
        <v>129</v>
      </c>
      <c r="D352"/>
      <c r="E352"/>
      <c r="F352"/>
      <c r="G352"/>
      <c r="H352"/>
      <c r="I352" s="1018"/>
      <c r="J352" s="1041"/>
      <c r="K352" s="991" t="s">
        <v>312</v>
      </c>
      <c r="L352" s="991">
        <v>0</v>
      </c>
      <c r="M352" s="1175"/>
      <c r="S352" s="213"/>
      <c r="T352" s="213"/>
      <c r="U352" s="213"/>
      <c r="V352"/>
      <c r="W352"/>
      <c r="X352"/>
      <c r="Y352" s="504"/>
      <c r="Z352"/>
      <c r="AA352"/>
      <c r="AB352"/>
      <c r="AC352"/>
      <c r="AD352"/>
      <c r="AE352"/>
      <c r="AF352"/>
      <c r="AG352"/>
    </row>
    <row r="353" spans="1:33" ht="15.75" thickBot="1" x14ac:dyDescent="0.3">
      <c r="A353" s="1138">
        <v>344</v>
      </c>
      <c r="B353" s="1138" t="s">
        <v>40</v>
      </c>
      <c r="C353" s="1037" t="s">
        <v>129</v>
      </c>
      <c r="D353" s="938" t="s">
        <v>1856</v>
      </c>
      <c r="E353" s="937" t="s">
        <v>1008</v>
      </c>
      <c r="F353" s="937" t="s">
        <v>1007</v>
      </c>
      <c r="G353" s="937" t="s">
        <v>1006</v>
      </c>
      <c r="H353" s="937" t="s">
        <v>1014</v>
      </c>
      <c r="I353" s="1018"/>
      <c r="J353" s="1041"/>
      <c r="K353" s="1174"/>
      <c r="L353" s="1022"/>
      <c r="M353" s="1175"/>
      <c r="S353" s="213"/>
      <c r="T353" s="213"/>
      <c r="U353" s="213"/>
      <c r="V353"/>
      <c r="W353"/>
      <c r="X353"/>
      <c r="Y353" s="504"/>
      <c r="Z353"/>
      <c r="AA353"/>
      <c r="AB353"/>
      <c r="AC353"/>
      <c r="AD353"/>
      <c r="AE353"/>
      <c r="AF353"/>
      <c r="AG353"/>
    </row>
    <row r="354" spans="1:33" x14ac:dyDescent="0.25">
      <c r="A354" s="1138">
        <v>345</v>
      </c>
      <c r="B354" s="1138" t="s">
        <v>40</v>
      </c>
      <c r="C354" s="1037" t="s">
        <v>129</v>
      </c>
      <c r="D354" s="1304" t="s">
        <v>1857</v>
      </c>
      <c r="E354" s="1268" t="s">
        <v>316</v>
      </c>
      <c r="F354" s="1223">
        <f>Inn05_credits</f>
        <v>2</v>
      </c>
      <c r="G354" s="1223">
        <f>IF(E354=AIS_Yes,F354,0)</f>
        <v>0</v>
      </c>
      <c r="H354" s="1057" t="s">
        <v>14</v>
      </c>
      <c r="I354" s="1018"/>
      <c r="J354" s="1041"/>
      <c r="K354" s="1184" t="s">
        <v>113</v>
      </c>
      <c r="L354" s="1185">
        <f>G248</f>
        <v>0</v>
      </c>
      <c r="M354" s="1175"/>
      <c r="S354" s="213"/>
      <c r="T354" s="213"/>
      <c r="U354" s="213"/>
      <c r="V354"/>
      <c r="W354"/>
      <c r="X354"/>
      <c r="Y354" s="504"/>
      <c r="Z354"/>
      <c r="AA354"/>
      <c r="AB354"/>
      <c r="AC354"/>
      <c r="AD354"/>
      <c r="AE354"/>
      <c r="AF354"/>
      <c r="AG354"/>
    </row>
    <row r="355" spans="1:33" ht="15.75" thickBot="1" x14ac:dyDescent="0.3">
      <c r="A355" s="1138">
        <v>346</v>
      </c>
      <c r="B355" s="1138" t="s">
        <v>40</v>
      </c>
      <c r="C355" s="1037" t="s">
        <v>129</v>
      </c>
      <c r="D355" s="1305" t="s">
        <v>1858</v>
      </c>
      <c r="E355" s="1301" t="s">
        <v>316</v>
      </c>
      <c r="F355" s="1227">
        <f>Inn06_credits</f>
        <v>1</v>
      </c>
      <c r="G355" s="1227">
        <f>IF(E355=AIS_Yes,F355,0)</f>
        <v>0</v>
      </c>
      <c r="H355" s="986" t="s">
        <v>14</v>
      </c>
      <c r="I355" s="1018"/>
      <c r="J355" s="1041"/>
      <c r="K355" s="1174"/>
      <c r="L355" s="1022"/>
      <c r="M355" s="1175"/>
      <c r="S355" s="213"/>
      <c r="T355" s="213"/>
      <c r="U355" s="213"/>
      <c r="V355"/>
      <c r="W355"/>
      <c r="X355"/>
      <c r="Y355" s="504"/>
      <c r="Z355"/>
      <c r="AA355"/>
      <c r="AB355"/>
      <c r="AC355"/>
      <c r="AD355"/>
      <c r="AE355"/>
      <c r="AF355"/>
      <c r="AG355"/>
    </row>
    <row r="356" spans="1:33" x14ac:dyDescent="0.25">
      <c r="A356" s="1138">
        <v>347</v>
      </c>
      <c r="B356" s="1138" t="s">
        <v>40</v>
      </c>
      <c r="C356" s="1037" t="s">
        <v>129</v>
      </c>
      <c r="D356"/>
      <c r="E356"/>
      <c r="F356"/>
      <c r="G356"/>
      <c r="H356"/>
      <c r="I356" s="1018"/>
      <c r="J356" s="1041"/>
      <c r="K356" s="1174"/>
      <c r="L356" s="1022"/>
      <c r="M356" s="1175"/>
      <c r="S356" s="213"/>
      <c r="T356" s="213"/>
      <c r="U356" s="213"/>
      <c r="V356"/>
      <c r="W356"/>
      <c r="X356"/>
      <c r="Y356" s="504"/>
      <c r="Z356"/>
      <c r="AA356"/>
      <c r="AB356"/>
      <c r="AC356"/>
      <c r="AD356"/>
      <c r="AE356"/>
      <c r="AF356"/>
      <c r="AG356"/>
    </row>
    <row r="357" spans="1:33" ht="15.75" thickBot="1" x14ac:dyDescent="0.3">
      <c r="A357" s="1138">
        <v>348</v>
      </c>
      <c r="B357" s="1138" t="s">
        <v>40</v>
      </c>
      <c r="C357" s="1037" t="s">
        <v>129</v>
      </c>
      <c r="D357" s="938" t="s">
        <v>1572</v>
      </c>
      <c r="E357" s="937"/>
      <c r="I357" s="1018"/>
      <c r="J357" s="1041"/>
      <c r="K357" s="1174"/>
      <c r="L357" s="1022"/>
      <c r="M357" s="1175"/>
      <c r="S357" s="504"/>
      <c r="T357" s="504"/>
      <c r="U357" s="504"/>
      <c r="V357" s="504"/>
      <c r="W357" s="504"/>
      <c r="X357" s="504"/>
      <c r="Y357" s="504"/>
      <c r="Z357" s="504"/>
      <c r="AA357" s="504"/>
      <c r="AB357" s="504"/>
      <c r="AC357" s="322"/>
      <c r="AD357" s="322"/>
      <c r="AE357" s="322"/>
    </row>
    <row r="358" spans="1:33" x14ac:dyDescent="0.25">
      <c r="A358" s="1138">
        <v>349</v>
      </c>
      <c r="B358" s="1138" t="s">
        <v>40</v>
      </c>
      <c r="C358" s="1037" t="s">
        <v>129</v>
      </c>
      <c r="D358" s="1168" t="s">
        <v>1843</v>
      </c>
      <c r="E358" s="1268"/>
      <c r="F358" s="192" t="s">
        <v>1600</v>
      </c>
      <c r="I358" s="1018"/>
      <c r="J358" s="1041"/>
      <c r="K358" s="992" t="s">
        <v>316</v>
      </c>
      <c r="L358" s="992" t="s">
        <v>316</v>
      </c>
      <c r="M358" s="992" t="s">
        <v>316</v>
      </c>
      <c r="S358" s="504"/>
      <c r="T358" s="504"/>
      <c r="U358" s="504"/>
      <c r="V358" s="504"/>
      <c r="W358" s="504"/>
      <c r="X358" s="504"/>
      <c r="Y358" s="504"/>
      <c r="Z358" s="504"/>
      <c r="AA358" s="504"/>
      <c r="AB358" s="504"/>
      <c r="AC358" s="322"/>
      <c r="AD358" s="322"/>
      <c r="AE358" s="322"/>
    </row>
    <row r="359" spans="1:33" x14ac:dyDescent="0.25">
      <c r="A359" s="1138">
        <v>350</v>
      </c>
      <c r="B359" s="1138" t="s">
        <v>40</v>
      </c>
      <c r="C359" s="1037" t="s">
        <v>129</v>
      </c>
      <c r="D359" s="1293" t="s">
        <v>1598</v>
      </c>
      <c r="E359" s="1271"/>
      <c r="F359" s="375" t="str">
        <f>IF(KPI_ny_39=K362,K363,"")</f>
        <v/>
      </c>
      <c r="G359" s="504"/>
      <c r="I359" s="1018"/>
      <c r="J359" s="1041"/>
      <c r="K359" s="1174" t="s">
        <v>1597</v>
      </c>
      <c r="L359" s="1174" t="s">
        <v>1601</v>
      </c>
      <c r="M359" s="1175" t="s">
        <v>1606</v>
      </c>
      <c r="S359" s="504"/>
      <c r="T359" s="504"/>
      <c r="U359" s="504"/>
      <c r="V359" s="504"/>
      <c r="W359" s="504"/>
      <c r="X359" s="504"/>
      <c r="Y359" s="504"/>
      <c r="Z359" s="504"/>
      <c r="AA359" s="504"/>
      <c r="AB359" s="504"/>
      <c r="AC359" s="322"/>
      <c r="AD359" s="322"/>
      <c r="AE359" s="322"/>
    </row>
    <row r="360" spans="1:33" x14ac:dyDescent="0.25">
      <c r="A360" s="1138">
        <v>351</v>
      </c>
      <c r="B360" s="1138" t="s">
        <v>40</v>
      </c>
      <c r="C360" s="1037" t="s">
        <v>129</v>
      </c>
      <c r="D360" s="1293" t="s">
        <v>1595</v>
      </c>
      <c r="E360" s="1271"/>
      <c r="F360" s="375" t="str">
        <f>IF(OR(E345=AIS_No,E345=AIS_PS),"","kWh/m2yr")</f>
        <v/>
      </c>
      <c r="G360" s="504"/>
      <c r="I360" s="1018"/>
      <c r="J360" s="1041"/>
      <c r="K360" s="1174" t="s">
        <v>1751</v>
      </c>
      <c r="L360" s="1174" t="s">
        <v>1602</v>
      </c>
      <c r="M360" s="1175" t="s">
        <v>1105</v>
      </c>
      <c r="S360" s="504"/>
      <c r="T360" s="504"/>
      <c r="U360" s="504"/>
      <c r="V360" s="504"/>
      <c r="W360" s="504"/>
      <c r="X360" s="504"/>
      <c r="Y360" s="504"/>
      <c r="Z360" s="504"/>
      <c r="AA360" s="504"/>
      <c r="AB360" s="504"/>
      <c r="AC360" s="322"/>
      <c r="AD360" s="322"/>
      <c r="AE360" s="322"/>
    </row>
    <row r="361" spans="1:33" x14ac:dyDescent="0.25">
      <c r="A361" s="1138">
        <v>352</v>
      </c>
      <c r="B361" s="1138" t="s">
        <v>40</v>
      </c>
      <c r="C361" s="1037" t="s">
        <v>129</v>
      </c>
      <c r="D361" s="1293" t="s">
        <v>1607</v>
      </c>
      <c r="E361" s="1271" t="s">
        <v>316</v>
      </c>
      <c r="G361" s="504"/>
      <c r="I361" s="1018"/>
      <c r="J361" s="1041"/>
      <c r="K361" s="1174" t="s">
        <v>1752</v>
      </c>
      <c r="L361" s="1022" t="s">
        <v>1603</v>
      </c>
      <c r="M361" s="1175" t="s">
        <v>1106</v>
      </c>
      <c r="S361" s="504"/>
      <c r="T361" s="504"/>
      <c r="U361" s="504"/>
      <c r="V361" s="504"/>
      <c r="W361" s="504"/>
      <c r="X361" s="504"/>
      <c r="Y361" s="504"/>
      <c r="Z361" s="504"/>
      <c r="AA361" s="504"/>
      <c r="AB361" s="504"/>
      <c r="AC361" s="322"/>
      <c r="AD361" s="322"/>
      <c r="AE361" s="322"/>
    </row>
    <row r="362" spans="1:33" x14ac:dyDescent="0.25">
      <c r="A362" s="1138">
        <v>353</v>
      </c>
      <c r="B362" s="1138" t="s">
        <v>40</v>
      </c>
      <c r="C362" s="1037" t="s">
        <v>129</v>
      </c>
      <c r="D362" s="1169" t="s">
        <v>1608</v>
      </c>
      <c r="E362" s="1271" t="s">
        <v>316</v>
      </c>
      <c r="G362" s="504"/>
      <c r="I362" s="1018"/>
      <c r="J362" s="1041"/>
      <c r="K362" s="1174" t="s">
        <v>1753</v>
      </c>
      <c r="L362" s="1022" t="s">
        <v>1604</v>
      </c>
      <c r="M362" s="1175"/>
      <c r="S362" s="504"/>
      <c r="T362" s="504"/>
      <c r="U362" s="504"/>
      <c r="V362" s="504"/>
      <c r="W362" s="504"/>
      <c r="X362" s="504"/>
      <c r="Y362" s="504"/>
      <c r="Z362" s="504"/>
      <c r="AA362" s="504"/>
      <c r="AB362" s="504"/>
      <c r="AC362" s="322"/>
      <c r="AD362" s="322"/>
      <c r="AE362" s="322"/>
    </row>
    <row r="363" spans="1:33" x14ac:dyDescent="0.25">
      <c r="A363" s="1138">
        <v>354</v>
      </c>
      <c r="B363" s="1138" t="s">
        <v>40</v>
      </c>
      <c r="C363" s="1037" t="s">
        <v>129</v>
      </c>
      <c r="D363" s="1381" t="s">
        <v>1609</v>
      </c>
      <c r="E363" s="1271" t="s">
        <v>316</v>
      </c>
      <c r="G363" s="504"/>
      <c r="I363" s="1018"/>
      <c r="J363" s="1041"/>
      <c r="K363" s="212" t="s">
        <v>1754</v>
      </c>
      <c r="L363" s="1022" t="s">
        <v>1605</v>
      </c>
      <c r="M363" s="1175"/>
      <c r="S363" s="504"/>
      <c r="T363" s="504"/>
      <c r="U363" s="504"/>
      <c r="V363" s="504"/>
      <c r="W363" s="504"/>
      <c r="X363" s="504"/>
      <c r="Y363" s="504"/>
      <c r="Z363" s="504"/>
      <c r="AA363" s="504"/>
      <c r="AB363" s="504"/>
      <c r="AC363" s="322"/>
      <c r="AD363" s="322"/>
      <c r="AE363" s="322"/>
    </row>
    <row r="364" spans="1:33" ht="15.75" thickBot="1" x14ac:dyDescent="0.3">
      <c r="A364" s="1138">
        <v>355</v>
      </c>
      <c r="B364" s="1138" t="s">
        <v>40</v>
      </c>
      <c r="C364" s="1037" t="s">
        <v>129</v>
      </c>
      <c r="D364" s="1381" t="s">
        <v>1847</v>
      </c>
      <c r="E364" s="1271"/>
      <c r="F364" s="375" t="s">
        <v>1899</v>
      </c>
      <c r="G364" s="504"/>
      <c r="I364" s="1018"/>
      <c r="J364" s="1041"/>
      <c r="L364" s="1022"/>
      <c r="M364" s="1175"/>
      <c r="S364" s="504"/>
      <c r="T364" s="504"/>
      <c r="U364" s="504"/>
      <c r="V364" s="504"/>
      <c r="W364" s="504"/>
      <c r="X364" s="504"/>
      <c r="Y364" s="504"/>
      <c r="Z364" s="504"/>
      <c r="AA364" s="504"/>
      <c r="AB364" s="504"/>
      <c r="AC364" s="322"/>
      <c r="AD364" s="322"/>
      <c r="AE364" s="322"/>
    </row>
    <row r="365" spans="1:33" x14ac:dyDescent="0.25">
      <c r="A365" s="1138">
        <v>356</v>
      </c>
      <c r="B365" s="1138" t="s">
        <v>40</v>
      </c>
      <c r="C365" s="1037" t="s">
        <v>129</v>
      </c>
      <c r="D365" s="1382" t="s">
        <v>1610</v>
      </c>
      <c r="E365" s="1271"/>
      <c r="F365" s="375" t="s">
        <v>1899</v>
      </c>
      <c r="G365" s="504"/>
      <c r="I365" s="1018"/>
      <c r="J365" s="1041"/>
      <c r="K365" s="992" t="s">
        <v>316</v>
      </c>
      <c r="L365" s="1022"/>
      <c r="M365" s="1175"/>
      <c r="S365" s="504"/>
      <c r="T365" s="504"/>
      <c r="U365" s="504"/>
      <c r="V365" s="504"/>
      <c r="W365" s="504"/>
      <c r="X365" s="504"/>
      <c r="Y365" s="504"/>
      <c r="Z365" s="504"/>
      <c r="AA365" s="504"/>
      <c r="AB365" s="504"/>
      <c r="AC365" s="322"/>
      <c r="AD365" s="322"/>
      <c r="AE365" s="322"/>
    </row>
    <row r="366" spans="1:33" x14ac:dyDescent="0.25">
      <c r="A366" s="1138">
        <v>357</v>
      </c>
      <c r="B366" s="1138" t="s">
        <v>40</v>
      </c>
      <c r="C366" s="1037" t="s">
        <v>129</v>
      </c>
      <c r="D366" s="1381" t="s">
        <v>1750</v>
      </c>
      <c r="E366" s="1500">
        <f>IFERROR(1-(E365/E364),0)</f>
        <v>0</v>
      </c>
      <c r="F366" s="375" t="s">
        <v>1111</v>
      </c>
      <c r="G366" s="504"/>
      <c r="I366" s="1018"/>
      <c r="J366" s="1041"/>
      <c r="K366" s="1174" t="s">
        <v>1016</v>
      </c>
      <c r="L366" s="1022"/>
      <c r="M366" s="1175"/>
      <c r="S366" s="504"/>
      <c r="T366" s="504"/>
      <c r="U366" s="504"/>
      <c r="V366" s="504"/>
      <c r="W366" s="504"/>
      <c r="X366" s="504"/>
      <c r="Y366" s="504"/>
      <c r="Z366" s="504"/>
      <c r="AA366" s="504"/>
      <c r="AB366" s="504"/>
      <c r="AC366" s="322"/>
      <c r="AD366" s="322"/>
      <c r="AE366" s="322"/>
    </row>
    <row r="367" spans="1:33" x14ac:dyDescent="0.25">
      <c r="A367" s="1138">
        <v>358</v>
      </c>
      <c r="B367" s="1138" t="s">
        <v>40</v>
      </c>
      <c r="C367" s="1037" t="s">
        <v>129</v>
      </c>
      <c r="D367" s="1382" t="s">
        <v>1596</v>
      </c>
      <c r="E367" s="1271"/>
      <c r="F367" s="375" t="str">
        <f>IF(OR(E345=AIS_No,E345=AIS_PS),"","kWh/m2yr")</f>
        <v/>
      </c>
      <c r="G367" s="504"/>
      <c r="I367" s="1018"/>
      <c r="J367" s="1041"/>
      <c r="K367" s="1174" t="s">
        <v>1017</v>
      </c>
      <c r="L367" s="1022"/>
      <c r="M367" s="1175"/>
      <c r="S367" s="504"/>
      <c r="T367" s="504"/>
      <c r="U367" s="504"/>
      <c r="V367" s="504"/>
      <c r="W367" s="504"/>
      <c r="X367" s="504"/>
      <c r="Y367" s="504"/>
      <c r="Z367" s="504"/>
      <c r="AA367" s="504"/>
      <c r="AB367" s="504"/>
      <c r="AC367" s="322"/>
      <c r="AD367" s="322"/>
      <c r="AE367" s="322"/>
    </row>
    <row r="368" spans="1:33" ht="15.75" thickBot="1" x14ac:dyDescent="0.3">
      <c r="A368" s="1138">
        <v>359</v>
      </c>
      <c r="B368" s="1138" t="s">
        <v>40</v>
      </c>
      <c r="C368" s="1037" t="s">
        <v>129</v>
      </c>
      <c r="D368" s="1383" t="s">
        <v>1900</v>
      </c>
      <c r="E368" s="1436"/>
      <c r="F368" s="375" t="s">
        <v>1111</v>
      </c>
      <c r="G368" s="504"/>
      <c r="I368" s="1018"/>
      <c r="J368" s="1041"/>
      <c r="K368" s="1174"/>
      <c r="L368" s="1022"/>
      <c r="M368" s="1175"/>
      <c r="S368" s="504"/>
      <c r="T368" s="504"/>
      <c r="U368" s="504"/>
      <c r="V368" s="504"/>
      <c r="W368" s="504"/>
      <c r="X368" s="504"/>
      <c r="Y368" s="504"/>
      <c r="Z368" s="504"/>
      <c r="AA368" s="504"/>
      <c r="AB368" s="504"/>
      <c r="AC368" s="322"/>
      <c r="AD368" s="322"/>
      <c r="AE368" s="322"/>
    </row>
    <row r="369" spans="1:31" x14ac:dyDescent="0.25">
      <c r="A369" s="1138">
        <v>360</v>
      </c>
      <c r="B369" s="1138" t="s">
        <v>40</v>
      </c>
      <c r="C369" s="1037" t="s">
        <v>129</v>
      </c>
      <c r="I369" s="1018"/>
      <c r="J369" s="1041"/>
      <c r="K369" s="1174"/>
      <c r="L369" s="1022"/>
      <c r="M369" s="1175"/>
      <c r="S369" s="504"/>
      <c r="T369" s="504"/>
      <c r="U369" s="504"/>
      <c r="V369" s="504"/>
      <c r="W369" s="504"/>
      <c r="X369" s="504"/>
      <c r="Y369" s="504"/>
      <c r="Z369" s="504"/>
      <c r="AA369" s="504"/>
      <c r="AB369" s="504"/>
      <c r="AC369" s="322"/>
      <c r="AD369" s="322"/>
      <c r="AE369" s="322"/>
    </row>
    <row r="370" spans="1:31" x14ac:dyDescent="0.25">
      <c r="A370" s="1138">
        <v>361</v>
      </c>
      <c r="B370" s="1138" t="s">
        <v>40</v>
      </c>
      <c r="C370" s="1037" t="s">
        <v>129</v>
      </c>
      <c r="D370" s="958" t="s">
        <v>1012</v>
      </c>
      <c r="E370" s="1272">
        <f>G345+G346+G347+G349+G351</f>
        <v>0</v>
      </c>
      <c r="I370" s="917"/>
      <c r="J370" s="1041"/>
      <c r="K370" s="1174"/>
      <c r="L370" s="1022"/>
      <c r="M370" s="1175"/>
      <c r="S370" s="504"/>
      <c r="T370" s="504"/>
      <c r="U370" s="504"/>
      <c r="V370" s="504"/>
      <c r="W370" s="504"/>
      <c r="X370" s="504"/>
      <c r="Y370" s="504"/>
      <c r="Z370" s="504"/>
      <c r="AA370" s="504"/>
      <c r="AB370" s="504"/>
      <c r="AC370" s="322"/>
      <c r="AD370" s="322"/>
      <c r="AE370" s="322"/>
    </row>
    <row r="371" spans="1:31" x14ac:dyDescent="0.25">
      <c r="A371" s="1138">
        <v>362</v>
      </c>
      <c r="B371" s="1138" t="s">
        <v>40</v>
      </c>
      <c r="C371" s="1037" t="s">
        <v>129</v>
      </c>
      <c r="D371" s="924" t="s">
        <v>77</v>
      </c>
      <c r="E371" s="1273">
        <f>Ene01_42</f>
        <v>0</v>
      </c>
      <c r="I371" s="1018"/>
      <c r="J371" s="1041"/>
      <c r="K371" s="1174"/>
      <c r="L371" s="1022"/>
      <c r="M371" s="1175"/>
      <c r="S371" s="504"/>
      <c r="T371" s="504"/>
      <c r="U371" s="504"/>
      <c r="V371" s="504"/>
      <c r="W371" s="504"/>
      <c r="X371" s="504"/>
      <c r="Y371" s="504"/>
      <c r="Z371" s="504"/>
      <c r="AA371" s="504"/>
      <c r="AB371" s="504"/>
      <c r="AC371" s="322"/>
      <c r="AD371" s="322"/>
      <c r="AE371" s="322"/>
    </row>
    <row r="372" spans="1:31" x14ac:dyDescent="0.25">
      <c r="A372" s="1138">
        <v>363</v>
      </c>
      <c r="B372" s="1138" t="s">
        <v>40</v>
      </c>
      <c r="C372" s="1037" t="s">
        <v>129</v>
      </c>
      <c r="D372" s="926" t="s">
        <v>1005</v>
      </c>
      <c r="E372" s="1272">
        <f>G354+G355</f>
        <v>0</v>
      </c>
      <c r="I372" s="1018"/>
      <c r="J372" s="1041"/>
      <c r="K372" s="1174"/>
      <c r="L372" s="1022"/>
      <c r="M372" s="1175"/>
      <c r="S372" s="504"/>
      <c r="T372" s="504"/>
      <c r="U372" s="504"/>
      <c r="V372" s="504"/>
      <c r="W372" s="504"/>
      <c r="X372" s="504"/>
      <c r="Y372" s="504"/>
      <c r="Z372" s="504"/>
      <c r="AA372" s="504"/>
      <c r="AB372" s="504"/>
      <c r="AC372" s="322"/>
      <c r="AD372" s="322"/>
      <c r="AE372" s="322"/>
    </row>
    <row r="373" spans="1:31" x14ac:dyDescent="0.25">
      <c r="A373" s="1138">
        <v>364</v>
      </c>
      <c r="B373" s="1138" t="s">
        <v>40</v>
      </c>
      <c r="C373" s="1037" t="s">
        <v>129</v>
      </c>
      <c r="D373" s="923" t="s">
        <v>46</v>
      </c>
      <c r="E373" s="1306" t="str">
        <f>VLOOKUP(MIN(Poeng!BD69:BD74),Poeng!$BO$285:$BP$291,2,FALSE)</f>
        <v>Very Good</v>
      </c>
      <c r="I373" s="1018"/>
      <c r="J373" s="1041"/>
      <c r="K373" s="1174"/>
      <c r="L373" s="1022"/>
      <c r="M373" s="1175"/>
      <c r="S373" s="504"/>
      <c r="T373" s="504"/>
      <c r="U373" s="504"/>
      <c r="V373" s="504"/>
      <c r="W373" s="504"/>
      <c r="X373" s="504"/>
      <c r="Y373" s="504"/>
      <c r="Z373" s="504"/>
      <c r="AA373" s="504"/>
      <c r="AB373" s="504"/>
      <c r="AC373" s="322"/>
      <c r="AD373" s="322"/>
      <c r="AE373" s="322"/>
    </row>
    <row r="374" spans="1:31" x14ac:dyDescent="0.25">
      <c r="A374" s="1138">
        <v>365</v>
      </c>
      <c r="B374" s="1138" t="s">
        <v>40</v>
      </c>
      <c r="C374" s="1037" t="s">
        <v>129</v>
      </c>
      <c r="I374" s="1018"/>
      <c r="J374" s="1041"/>
      <c r="K374" s="1174"/>
      <c r="L374" s="1022"/>
      <c r="M374" s="1175"/>
      <c r="S374" s="504"/>
      <c r="T374" s="504"/>
      <c r="U374" s="504"/>
      <c r="V374" s="504"/>
      <c r="W374" s="504"/>
      <c r="X374" s="504"/>
      <c r="Y374" s="504"/>
      <c r="Z374" s="504"/>
      <c r="AA374" s="504"/>
      <c r="AB374" s="504"/>
      <c r="AC374" s="322"/>
      <c r="AD374" s="322"/>
      <c r="AE374" s="322"/>
    </row>
    <row r="375" spans="1:31" x14ac:dyDescent="0.25">
      <c r="A375" s="1138">
        <v>366</v>
      </c>
      <c r="B375" s="1138" t="s">
        <v>40</v>
      </c>
      <c r="C375" s="1037" t="s">
        <v>129</v>
      </c>
      <c r="D375" s="920" t="s">
        <v>1004</v>
      </c>
      <c r="E375" s="920" t="s">
        <v>1003</v>
      </c>
      <c r="F375" s="920" t="str">
        <f>HLOOKUP(C375,'Assessment References'!$H$512:$BG$513,2,FALSE)</f>
        <v/>
      </c>
      <c r="G375" s="919"/>
      <c r="H375" s="918"/>
      <c r="I375" s="1018"/>
      <c r="J375" s="1041"/>
      <c r="K375" s="1174"/>
      <c r="L375" s="1022"/>
      <c r="M375" s="1175"/>
      <c r="S375" s="504"/>
      <c r="T375" s="504"/>
      <c r="U375" s="504"/>
      <c r="V375" s="504"/>
      <c r="W375" s="504"/>
      <c r="X375" s="504"/>
      <c r="Y375" s="504"/>
      <c r="Z375" s="504"/>
      <c r="AA375" s="504"/>
      <c r="AB375" s="504"/>
      <c r="AC375" s="322"/>
      <c r="AD375" s="322"/>
      <c r="AE375" s="322"/>
    </row>
    <row r="376" spans="1:31" x14ac:dyDescent="0.25">
      <c r="A376" s="1138">
        <v>367</v>
      </c>
      <c r="B376" s="1138" t="s">
        <v>40</v>
      </c>
      <c r="C376" s="1037" t="s">
        <v>129</v>
      </c>
      <c r="D376" s="1539"/>
      <c r="E376" s="1540"/>
      <c r="F376" s="1540"/>
      <c r="G376" s="1540"/>
      <c r="H376" s="1541"/>
      <c r="I376" s="1018"/>
      <c r="J376" s="1041"/>
      <c r="K376" s="1174"/>
      <c r="L376" s="1022"/>
      <c r="M376" s="1175"/>
      <c r="S376" s="504"/>
      <c r="T376" s="504"/>
      <c r="U376" s="504"/>
      <c r="V376" s="504"/>
      <c r="W376" s="504"/>
      <c r="X376" s="504"/>
      <c r="Y376" s="504"/>
      <c r="Z376" s="504"/>
      <c r="AA376" s="504"/>
      <c r="AB376" s="504"/>
      <c r="AC376" s="322"/>
      <c r="AD376" s="322"/>
      <c r="AE376" s="322"/>
    </row>
    <row r="377" spans="1:31" x14ac:dyDescent="0.25">
      <c r="A377" s="1138">
        <v>368</v>
      </c>
      <c r="B377" s="1138" t="s">
        <v>40</v>
      </c>
      <c r="C377" s="1037" t="s">
        <v>129</v>
      </c>
      <c r="D377" s="1530"/>
      <c r="E377" s="1531"/>
      <c r="F377" s="1531"/>
      <c r="G377" s="1531"/>
      <c r="H377" s="1532"/>
      <c r="I377" s="1018"/>
      <c r="J377" s="1041"/>
      <c r="K377" s="1174"/>
      <c r="L377" s="1022"/>
      <c r="M377" s="1175"/>
      <c r="S377" s="504"/>
      <c r="T377" s="504"/>
      <c r="U377" s="504"/>
      <c r="V377" s="504"/>
      <c r="W377" s="504"/>
      <c r="X377" s="504"/>
      <c r="Y377" s="504"/>
      <c r="Z377" s="504"/>
      <c r="AA377" s="504"/>
      <c r="AB377" s="504"/>
      <c r="AC377" s="322"/>
      <c r="AD377" s="322"/>
      <c r="AE377" s="322"/>
    </row>
    <row r="378" spans="1:31" x14ac:dyDescent="0.25">
      <c r="A378" s="1138">
        <v>369</v>
      </c>
      <c r="B378" s="1138" t="s">
        <v>40</v>
      </c>
      <c r="C378" s="1037" t="s">
        <v>129</v>
      </c>
      <c r="D378" s="1530"/>
      <c r="E378" s="1531"/>
      <c r="F378" s="1531"/>
      <c r="G378" s="1531"/>
      <c r="H378" s="1532"/>
      <c r="I378" s="1018"/>
      <c r="J378" s="1041"/>
      <c r="K378" s="1174"/>
      <c r="L378" s="1022"/>
      <c r="M378" s="1175"/>
      <c r="S378" s="504"/>
      <c r="T378" s="504"/>
      <c r="U378" s="504"/>
      <c r="V378" s="504"/>
      <c r="W378" s="504"/>
      <c r="X378" s="504"/>
      <c r="Y378" s="504"/>
      <c r="Z378" s="504"/>
      <c r="AA378" s="504"/>
      <c r="AB378" s="504"/>
      <c r="AC378" s="322"/>
      <c r="AD378" s="322"/>
      <c r="AE378" s="322"/>
    </row>
    <row r="379" spans="1:31" x14ac:dyDescent="0.25">
      <c r="A379" s="1138">
        <v>370</v>
      </c>
      <c r="B379" s="1138" t="s">
        <v>40</v>
      </c>
      <c r="C379" s="1037" t="s">
        <v>129</v>
      </c>
      <c r="D379" s="1533"/>
      <c r="E379" s="1534"/>
      <c r="F379" s="1534"/>
      <c r="G379" s="1534"/>
      <c r="H379" s="1535"/>
      <c r="I379" s="1018"/>
      <c r="J379" s="1041"/>
      <c r="K379" s="1174"/>
      <c r="L379" s="1022"/>
      <c r="M379" s="1175"/>
      <c r="S379" s="504"/>
      <c r="T379" s="504"/>
      <c r="U379" s="504"/>
      <c r="V379" s="504"/>
      <c r="W379" s="504"/>
      <c r="X379" s="504"/>
      <c r="Y379" s="504"/>
      <c r="Z379" s="504"/>
      <c r="AA379" s="504"/>
      <c r="AB379" s="504"/>
      <c r="AC379" s="322"/>
      <c r="AD379" s="322"/>
      <c r="AE379" s="322"/>
    </row>
    <row r="380" spans="1:31" x14ac:dyDescent="0.25">
      <c r="A380" s="1138">
        <v>371</v>
      </c>
      <c r="B380" s="1138" t="s">
        <v>40</v>
      </c>
      <c r="C380" s="1037" t="s">
        <v>129</v>
      </c>
      <c r="D380" s="1533"/>
      <c r="E380" s="1534"/>
      <c r="F380" s="1534"/>
      <c r="G380" s="1534"/>
      <c r="H380" s="1535"/>
      <c r="I380" s="1018"/>
      <c r="J380" s="1041"/>
      <c r="K380" s="1174"/>
      <c r="L380" s="1022"/>
      <c r="M380" s="1175"/>
      <c r="S380" s="504"/>
      <c r="T380" s="504"/>
      <c r="U380" s="504"/>
      <c r="V380" s="504"/>
      <c r="W380" s="504"/>
      <c r="X380" s="504"/>
      <c r="Y380" s="504"/>
      <c r="Z380" s="504"/>
      <c r="AA380" s="504"/>
      <c r="AB380" s="504"/>
      <c r="AC380" s="322"/>
      <c r="AD380" s="322"/>
      <c r="AE380" s="322"/>
    </row>
    <row r="381" spans="1:31" x14ac:dyDescent="0.25">
      <c r="A381" s="1138">
        <v>372</v>
      </c>
      <c r="B381" s="1138" t="s">
        <v>40</v>
      </c>
      <c r="C381" s="1037" t="s">
        <v>129</v>
      </c>
      <c r="D381" s="1536"/>
      <c r="E381" s="1537"/>
      <c r="F381" s="1537"/>
      <c r="G381" s="1537"/>
      <c r="H381" s="1538"/>
      <c r="I381" s="1018"/>
      <c r="J381" s="1041"/>
      <c r="K381" s="1174"/>
      <c r="L381" s="1022"/>
      <c r="M381" s="1175"/>
      <c r="S381" s="504"/>
      <c r="T381" s="504"/>
      <c r="U381" s="504"/>
      <c r="V381" s="504"/>
      <c r="W381" s="504"/>
      <c r="X381" s="504"/>
      <c r="Y381" s="504"/>
      <c r="Z381" s="504"/>
      <c r="AA381" s="504"/>
      <c r="AB381" s="504"/>
      <c r="AC381" s="322"/>
      <c r="AD381" s="322"/>
      <c r="AE381" s="322"/>
    </row>
    <row r="382" spans="1:31" x14ac:dyDescent="0.25">
      <c r="A382" s="1138">
        <v>373</v>
      </c>
      <c r="B382" s="1138" t="s">
        <v>40</v>
      </c>
      <c r="C382" s="1037" t="s">
        <v>129</v>
      </c>
      <c r="D382" s="1055"/>
      <c r="E382" s="1055"/>
      <c r="F382" s="1055"/>
      <c r="G382" s="1055"/>
      <c r="H382" s="1055"/>
      <c r="I382" s="1018"/>
      <c r="J382" s="1041"/>
      <c r="K382" s="1174"/>
      <c r="L382" s="1022"/>
      <c r="M382" s="1175"/>
      <c r="S382" s="504"/>
      <c r="T382" s="504"/>
      <c r="U382" s="504"/>
      <c r="V382" s="504"/>
      <c r="W382" s="504"/>
      <c r="X382" s="504"/>
      <c r="Y382" s="504"/>
      <c r="Z382" s="504"/>
      <c r="AA382" s="504"/>
      <c r="AB382" s="504"/>
      <c r="AC382" s="322"/>
      <c r="AD382" s="322"/>
      <c r="AE382" s="322"/>
    </row>
    <row r="383" spans="1:31" x14ac:dyDescent="0.25">
      <c r="A383" s="1138">
        <v>374</v>
      </c>
      <c r="B383" s="1139" t="s">
        <v>40</v>
      </c>
      <c r="C383" s="1012" t="s">
        <v>130</v>
      </c>
      <c r="D383" s="1051" t="s">
        <v>1101</v>
      </c>
      <c r="E383" s="1011"/>
      <c r="F383" s="1011"/>
      <c r="G383" s="1010"/>
      <c r="H383" s="1010"/>
      <c r="I383" s="1018"/>
      <c r="J383" s="1041"/>
      <c r="K383" s="1174"/>
      <c r="L383" s="1022"/>
      <c r="M383" s="1175"/>
      <c r="S383" s="504"/>
      <c r="T383" s="504"/>
      <c r="U383" s="504"/>
      <c r="V383" s="504"/>
      <c r="W383" s="504"/>
      <c r="X383" s="504"/>
      <c r="Y383" s="504"/>
      <c r="Z383" s="504"/>
      <c r="AA383" s="504"/>
      <c r="AB383" s="504"/>
      <c r="AC383" s="322"/>
      <c r="AD383" s="322"/>
      <c r="AE383" s="322"/>
    </row>
    <row r="384" spans="1:31" x14ac:dyDescent="0.25">
      <c r="A384" s="1138">
        <v>375</v>
      </c>
      <c r="B384" s="1138" t="s">
        <v>40</v>
      </c>
      <c r="C384" s="1037" t="s">
        <v>130</v>
      </c>
      <c r="D384" s="946" t="s">
        <v>15</v>
      </c>
      <c r="E384" s="1264">
        <f>Ene02_credits</f>
        <v>2</v>
      </c>
      <c r="F384" s="945"/>
      <c r="G384" s="944" t="s">
        <v>76</v>
      </c>
      <c r="H384" s="1266">
        <f>Ene02_10</f>
        <v>1.0370370370370372E-2</v>
      </c>
      <c r="I384" s="1018"/>
      <c r="J384" s="1041"/>
      <c r="K384" s="1174"/>
      <c r="L384" s="1022"/>
      <c r="M384" s="1175"/>
      <c r="S384" s="504"/>
      <c r="T384" s="504"/>
      <c r="U384" s="504"/>
      <c r="V384" s="504"/>
      <c r="W384" s="504"/>
      <c r="X384" s="504"/>
      <c r="Y384" s="504"/>
      <c r="Z384" s="504"/>
      <c r="AA384" s="504"/>
      <c r="AB384" s="504"/>
      <c r="AC384" s="322"/>
      <c r="AD384" s="322"/>
      <c r="AE384" s="322"/>
    </row>
    <row r="385" spans="1:39" x14ac:dyDescent="0.25">
      <c r="A385" s="1138">
        <v>376</v>
      </c>
      <c r="B385" s="1138" t="s">
        <v>40</v>
      </c>
      <c r="C385" s="1037" t="s">
        <v>130</v>
      </c>
      <c r="D385" s="972" t="s">
        <v>1011</v>
      </c>
      <c r="E385" s="1265">
        <v>0</v>
      </c>
      <c r="F385" s="941"/>
      <c r="G385" s="940" t="s">
        <v>1010</v>
      </c>
      <c r="H385" s="1267" t="s">
        <v>13</v>
      </c>
      <c r="I385" s="1018"/>
      <c r="J385" s="1041"/>
      <c r="K385" s="1174"/>
      <c r="L385" s="1022"/>
      <c r="M385" s="1175"/>
      <c r="S385" s="504"/>
      <c r="T385" s="504"/>
      <c r="U385" s="504"/>
      <c r="V385" s="504"/>
      <c r="W385" s="504"/>
      <c r="X385" s="504"/>
      <c r="Y385" s="504"/>
      <c r="Z385" s="504"/>
      <c r="AA385" s="504"/>
      <c r="AB385" s="504"/>
      <c r="AC385" s="322"/>
      <c r="AD385" s="322"/>
      <c r="AE385" s="322"/>
    </row>
    <row r="386" spans="1:39" ht="17.25" customHeight="1" x14ac:dyDescent="0.25">
      <c r="A386" s="1138">
        <v>377</v>
      </c>
      <c r="B386" s="1138" t="s">
        <v>40</v>
      </c>
      <c r="C386" s="1037" t="s">
        <v>130</v>
      </c>
      <c r="I386" s="1018"/>
      <c r="J386" s="1041"/>
      <c r="K386" s="1174"/>
      <c r="L386" s="1022"/>
      <c r="M386" s="1175"/>
      <c r="S386" s="504"/>
      <c r="T386" s="504"/>
      <c r="U386" s="504"/>
      <c r="V386" s="504"/>
      <c r="W386" s="504"/>
      <c r="X386" s="504"/>
      <c r="Y386" s="504"/>
      <c r="Z386" s="504"/>
      <c r="AA386" s="504"/>
      <c r="AB386" s="504"/>
      <c r="AC386" s="322"/>
      <c r="AD386" s="322"/>
      <c r="AE386" s="322"/>
    </row>
    <row r="387" spans="1:39" ht="15.75" thickBot="1" x14ac:dyDescent="0.3">
      <c r="A387" s="1138">
        <v>378</v>
      </c>
      <c r="B387" s="1138" t="s">
        <v>40</v>
      </c>
      <c r="C387" s="1037" t="s">
        <v>130</v>
      </c>
      <c r="D387" s="938" t="s">
        <v>1009</v>
      </c>
      <c r="E387" s="937" t="s">
        <v>1008</v>
      </c>
      <c r="F387" s="937" t="s">
        <v>1007</v>
      </c>
      <c r="G387" s="937" t="s">
        <v>1006</v>
      </c>
      <c r="H387" s="937" t="s">
        <v>1014</v>
      </c>
      <c r="I387" s="1018"/>
      <c r="J387" s="1041"/>
      <c r="K387" s="1174"/>
      <c r="L387" s="1022"/>
      <c r="M387" s="1175"/>
      <c r="S387" s="504"/>
      <c r="T387" s="504"/>
      <c r="U387" s="504"/>
      <c r="V387" s="504"/>
      <c r="W387" s="504"/>
      <c r="X387" s="504"/>
      <c r="Y387" s="504"/>
      <c r="Z387" s="504"/>
      <c r="AA387" s="504"/>
      <c r="AB387" s="504"/>
      <c r="AC387" s="322"/>
      <c r="AD387" s="322"/>
      <c r="AE387" s="322"/>
      <c r="AM387" s="375" t="s">
        <v>1100</v>
      </c>
    </row>
    <row r="388" spans="1:39" ht="15.75" thickBot="1" x14ac:dyDescent="0.3">
      <c r="A388" s="1138">
        <v>379</v>
      </c>
      <c r="B388" s="1138" t="s">
        <v>40</v>
      </c>
      <c r="C388" s="1037" t="s">
        <v>130</v>
      </c>
      <c r="D388" s="1168" t="s">
        <v>1450</v>
      </c>
      <c r="E388" s="1268" t="s">
        <v>316</v>
      </c>
      <c r="F388" s="1223">
        <f>Poeng!AB76</f>
        <v>1</v>
      </c>
      <c r="G388" s="1223">
        <f>IF(E388=AIS_Yes,F388,0)</f>
        <v>0</v>
      </c>
      <c r="H388" s="1057" t="s">
        <v>14</v>
      </c>
      <c r="I388" s="1045"/>
      <c r="J388" s="1041"/>
      <c r="K388" s="1174"/>
      <c r="L388" s="1022"/>
      <c r="M388" s="1175"/>
      <c r="S388" s="846">
        <v>1</v>
      </c>
      <c r="T388" s="846">
        <v>0.5</v>
      </c>
      <c r="U388" s="968">
        <v>1</v>
      </c>
      <c r="V388" s="146" t="str">
        <f t="shared" ref="V388:X390" si="2">IF($X$4=AIS_Yes,S388,AIS_NA)</f>
        <v>N/A</v>
      </c>
      <c r="W388" s="43" t="str">
        <f t="shared" si="2"/>
        <v>N/A</v>
      </c>
      <c r="X388" s="163" t="str">
        <f t="shared" si="2"/>
        <v>N/A</v>
      </c>
      <c r="Y388" s="967" t="str">
        <f>IF(AND(E387=AIS_Yes,E388=AIS_Yes),AIS_No,IF(AND($X$4=AIS_Yes,OR(V388&lt;&gt;AIS_NA,W388&lt;&gt;AIS_NA,X388&lt;&gt;AIS_NA)),AIS_Yes,AIS_No))</f>
        <v>No</v>
      </c>
      <c r="Z388" s="146" t="e">
        <f>AIS_option01</f>
        <v>#NAME?</v>
      </c>
      <c r="AA388" s="43" t="e">
        <f>AIS_option02_50</f>
        <v>#NAME?</v>
      </c>
      <c r="AB388" s="147" t="e">
        <f>AIS_option03</f>
        <v>#NAME?</v>
      </c>
      <c r="AC388" s="966"/>
      <c r="AD388" s="965"/>
      <c r="AE388" s="962" t="str">
        <f>IF(Y388=AIS_Yes,Z388,AIS_NA)</f>
        <v>N/A</v>
      </c>
      <c r="AF388" s="962" t="str">
        <f>IF(Y388=AIS_Yes,AA388,AIS_NA)</f>
        <v>N/A</v>
      </c>
      <c r="AG388" s="964" t="str">
        <f>IF(Y388=AIS_Yes,AB388,AIS_NA)</f>
        <v>N/A</v>
      </c>
      <c r="AH388" s="963" t="str">
        <f t="shared" ref="AH388:AI390" si="3">C388</f>
        <v>Ene 02</v>
      </c>
      <c r="AI388" s="1026" t="str">
        <f t="shared" si="3"/>
        <v>Compliant criteria sub-metering of end-use categories</v>
      </c>
      <c r="AJ388" s="961" t="str">
        <f>H388</f>
        <v>N/A</v>
      </c>
      <c r="AK388" s="375">
        <f>IF(Y388=AIS_No,1,IF(H388=AE388,V388,IF(H388=AF388,W388,IF(H388=AG388,X388,1))))</f>
        <v>1</v>
      </c>
      <c r="AM388" s="375">
        <f>IF(AND(E388=AIS_Yes,OR(E389=AIS_No,E389=AIS_PS)),F388,0)</f>
        <v>0</v>
      </c>
    </row>
    <row r="389" spans="1:39" ht="15.75" thickBot="1" x14ac:dyDescent="0.3">
      <c r="A389" s="1138">
        <v>380</v>
      </c>
      <c r="B389" s="1138" t="s">
        <v>40</v>
      </c>
      <c r="C389" s="1037" t="s">
        <v>130</v>
      </c>
      <c r="D389" s="1296" t="s">
        <v>1451</v>
      </c>
      <c r="E389" s="1271" t="s">
        <v>316</v>
      </c>
      <c r="F389" s="1270">
        <f>Poeng!AB77</f>
        <v>1</v>
      </c>
      <c r="G389" s="1270">
        <f>IF(E389=AIS_Yes,F389,0)</f>
        <v>0</v>
      </c>
      <c r="H389" s="987" t="s">
        <v>14</v>
      </c>
      <c r="I389" s="1045"/>
      <c r="J389" s="1041"/>
      <c r="K389" s="1174"/>
      <c r="L389" s="1022"/>
      <c r="M389" s="1175"/>
      <c r="S389" s="846">
        <v>1</v>
      </c>
      <c r="T389" s="846">
        <v>0.5</v>
      </c>
      <c r="U389" s="968">
        <v>1</v>
      </c>
      <c r="V389" s="146" t="str">
        <f t="shared" si="2"/>
        <v>N/A</v>
      </c>
      <c r="W389" s="43" t="str">
        <f t="shared" si="2"/>
        <v>N/A</v>
      </c>
      <c r="X389" s="163" t="str">
        <f t="shared" si="2"/>
        <v>N/A</v>
      </c>
      <c r="Y389" s="967" t="str">
        <f>IF(AND(E388=AIS_Yes,E389=AIS_Yes),AIS_No,IF(AND($X$4=AIS_Yes,OR(V389&lt;&gt;AIS_NA,W389&lt;&gt;AIS_NA,X389&lt;&gt;AIS_NA)),AIS_Yes,AIS_No))</f>
        <v>No</v>
      </c>
      <c r="Z389" s="146" t="e">
        <f>AIS_option01</f>
        <v>#NAME?</v>
      </c>
      <c r="AA389" s="43" t="e">
        <f>AIS_option02_50</f>
        <v>#NAME?</v>
      </c>
      <c r="AB389" s="147" t="e">
        <f>AIS_option03</f>
        <v>#NAME?</v>
      </c>
      <c r="AC389" s="966"/>
      <c r="AD389" s="965"/>
      <c r="AE389" s="962" t="str">
        <f>IF(Y389=AIS_Yes,Z389,AIS_NA)</f>
        <v>N/A</v>
      </c>
      <c r="AF389" s="962" t="str">
        <f>IF(Y389=AIS_Yes,AA389,AIS_NA)</f>
        <v>N/A</v>
      </c>
      <c r="AG389" s="964" t="str">
        <f>IF(Y389=AIS_Yes,AB389,AIS_NA)</f>
        <v>N/A</v>
      </c>
      <c r="AH389" s="963" t="str">
        <f t="shared" si="3"/>
        <v>Ene 02</v>
      </c>
      <c r="AI389" s="1026" t="str">
        <f t="shared" si="3"/>
        <v>Compliant criteria sub-metering of high energy loads and tenancy areas</v>
      </c>
      <c r="AJ389" s="961" t="str">
        <f>H389</f>
        <v>N/A</v>
      </c>
      <c r="AK389" s="375">
        <f>IF(Y389=AIS_No,1,IF(H389=AE389,V389,IF(H389=AF389,W389,IF(H389=AG389,X389,1))))</f>
        <v>1</v>
      </c>
      <c r="AM389" s="375">
        <f>IF(AND(OR(E388=AIS_No,E388=AIS_PS),E389=AIS_Yes),F389,0)</f>
        <v>0</v>
      </c>
    </row>
    <row r="390" spans="1:39" ht="15.75" thickBot="1" x14ac:dyDescent="0.3">
      <c r="A390" s="1138">
        <v>381</v>
      </c>
      <c r="B390" s="1138" t="s">
        <v>40</v>
      </c>
      <c r="C390" s="1037" t="s">
        <v>130</v>
      </c>
      <c r="D390" s="1170" t="s">
        <v>1452</v>
      </c>
      <c r="E390" s="1275" t="s">
        <v>316</v>
      </c>
      <c r="F390" s="1226">
        <f>Poeng!AB78</f>
        <v>0</v>
      </c>
      <c r="G390" s="1227">
        <f>IF(E390=AIS_Yes,F390,0)</f>
        <v>0</v>
      </c>
      <c r="H390" s="986" t="s">
        <v>14</v>
      </c>
      <c r="I390" s="1018"/>
      <c r="J390" s="1041"/>
      <c r="K390" s="1174"/>
      <c r="L390" s="1022"/>
      <c r="M390" s="1175"/>
      <c r="S390" s="846">
        <v>1</v>
      </c>
      <c r="T390" s="846">
        <v>0.5</v>
      </c>
      <c r="U390" s="968">
        <v>1</v>
      </c>
      <c r="V390" s="146" t="str">
        <f t="shared" si="2"/>
        <v>N/A</v>
      </c>
      <c r="W390" s="43" t="str">
        <f t="shared" si="2"/>
        <v>N/A</v>
      </c>
      <c r="X390" s="163" t="str">
        <f t="shared" si="2"/>
        <v>N/A</v>
      </c>
      <c r="Y390" s="967" t="str">
        <f>IF(AND($X$4=AIS_Yes,OR(V390&lt;&gt;AIS_NA,W390&lt;&gt;AIS_NA,X390&lt;&gt;AIS_NA)),AIS_Yes,AIS_No)</f>
        <v>No</v>
      </c>
      <c r="Z390" s="146" t="s">
        <v>14</v>
      </c>
      <c r="AA390" s="43" t="s">
        <v>12</v>
      </c>
      <c r="AB390" s="147" t="s">
        <v>13</v>
      </c>
      <c r="AC390" s="966"/>
      <c r="AD390" s="965"/>
      <c r="AE390" s="962" t="str">
        <f>IF(Y390=AIS_Yes,Z390,AIS_NA)</f>
        <v>N/A</v>
      </c>
      <c r="AF390" s="962" t="str">
        <f>IF(Y390=AIS_Yes,AA390,AIS_NA)</f>
        <v>N/A</v>
      </c>
      <c r="AG390" s="964" t="str">
        <f>IF(Y390=AIS_Yes,AB390,AIS_NA)</f>
        <v>N/A</v>
      </c>
      <c r="AH390" s="963" t="str">
        <f t="shared" si="3"/>
        <v>Ene 02</v>
      </c>
      <c r="AI390" s="1026" t="str">
        <f t="shared" si="3"/>
        <v>Compliant criteria sub-metering of energy consumption in residential buildings</v>
      </c>
      <c r="AJ390" s="961" t="str">
        <f>H390</f>
        <v>N/A</v>
      </c>
      <c r="AK390" s="375">
        <f>IF(Y390=AIS_No,1,IF(H390=AE390,V390,IF(H390=AF390,W390,IF(H390=AG390,X390,1))))</f>
        <v>1</v>
      </c>
      <c r="AM390" s="375">
        <f>IF(E390=AIS_Yes,F390,0)</f>
        <v>0</v>
      </c>
    </row>
    <row r="391" spans="1:39" x14ac:dyDescent="0.25">
      <c r="A391" s="1138">
        <v>382</v>
      </c>
      <c r="B391" s="1138" t="s">
        <v>40</v>
      </c>
      <c r="C391" s="1037" t="s">
        <v>130</v>
      </c>
      <c r="I391" s="1018"/>
      <c r="J391" s="1041"/>
      <c r="K391" s="1174"/>
      <c r="L391" s="1022"/>
      <c r="M391" s="1175"/>
      <c r="S391" s="504"/>
      <c r="T391" s="504"/>
      <c r="U391" s="504"/>
      <c r="V391" s="504"/>
      <c r="W391" s="504"/>
      <c r="X391" s="504"/>
      <c r="Y391" s="504"/>
      <c r="Z391" s="504"/>
      <c r="AA391" s="504"/>
      <c r="AB391" s="504"/>
      <c r="AC391" s="322"/>
      <c r="AD391" s="322"/>
      <c r="AE391" s="322"/>
      <c r="AM391" s="375">
        <f>AM388+AM389+AM390</f>
        <v>0</v>
      </c>
    </row>
    <row r="392" spans="1:39" x14ac:dyDescent="0.25">
      <c r="A392" s="1138">
        <v>383</v>
      </c>
      <c r="B392" s="1138" t="s">
        <v>40</v>
      </c>
      <c r="C392" s="1037" t="s">
        <v>130</v>
      </c>
      <c r="D392" s="958" t="s">
        <v>1012</v>
      </c>
      <c r="E392" s="1272">
        <f>G388+G389+G390</f>
        <v>0</v>
      </c>
      <c r="I392" s="917"/>
      <c r="J392" s="1041"/>
      <c r="K392" s="1174"/>
      <c r="L392" s="1022"/>
      <c r="M392" s="1175"/>
      <c r="S392" s="504"/>
      <c r="T392" s="504"/>
      <c r="U392" s="504"/>
      <c r="V392" s="504"/>
      <c r="W392" s="504"/>
      <c r="X392" s="504"/>
      <c r="Y392" s="504"/>
      <c r="Z392" s="504"/>
      <c r="AA392" s="504"/>
      <c r="AB392" s="504"/>
      <c r="AC392" s="322"/>
      <c r="AD392" s="322"/>
      <c r="AE392" s="322"/>
    </row>
    <row r="393" spans="1:39" x14ac:dyDescent="0.25">
      <c r="A393" s="1138">
        <v>384</v>
      </c>
      <c r="B393" s="1138" t="s">
        <v>40</v>
      </c>
      <c r="C393" s="1037" t="s">
        <v>130</v>
      </c>
      <c r="D393" s="924" t="s">
        <v>77</v>
      </c>
      <c r="E393" s="1273">
        <f>Ene02_13</f>
        <v>0</v>
      </c>
      <c r="I393" s="1018"/>
      <c r="J393" s="1041"/>
      <c r="K393" s="1174"/>
      <c r="L393" s="1022"/>
      <c r="M393" s="1175"/>
      <c r="S393" s="504"/>
      <c r="T393" s="504"/>
      <c r="U393" s="504"/>
      <c r="V393" s="504"/>
      <c r="W393" s="504"/>
      <c r="X393" s="504"/>
      <c r="Y393" s="504"/>
      <c r="Z393" s="504"/>
      <c r="AA393" s="504"/>
      <c r="AB393" s="504"/>
      <c r="AC393" s="322"/>
      <c r="AD393" s="322"/>
      <c r="AE393" s="322"/>
    </row>
    <row r="394" spans="1:39" x14ac:dyDescent="0.25">
      <c r="A394" s="1138">
        <v>385</v>
      </c>
      <c r="B394" s="1138" t="s">
        <v>40</v>
      </c>
      <c r="C394" s="1037" t="s">
        <v>130</v>
      </c>
      <c r="D394" s="926" t="s">
        <v>1005</v>
      </c>
      <c r="E394" s="1272" t="s">
        <v>14</v>
      </c>
      <c r="I394" s="1018"/>
      <c r="J394" s="1041"/>
      <c r="K394" s="1174"/>
      <c r="L394" s="1022"/>
      <c r="M394" s="1175"/>
      <c r="S394" s="504"/>
      <c r="T394" s="504"/>
      <c r="U394" s="504"/>
      <c r="V394" s="504"/>
      <c r="W394" s="504"/>
      <c r="X394" s="504"/>
      <c r="Y394" s="504"/>
      <c r="Z394" s="504"/>
      <c r="AA394" s="504"/>
      <c r="AB394" s="504"/>
      <c r="AC394" s="322"/>
      <c r="AD394" s="322"/>
      <c r="AE394" s="322"/>
    </row>
    <row r="395" spans="1:39" x14ac:dyDescent="0.25">
      <c r="A395" s="1138">
        <v>386</v>
      </c>
      <c r="B395" s="1138" t="s">
        <v>40</v>
      </c>
      <c r="C395" s="1037" t="s">
        <v>130</v>
      </c>
      <c r="D395" s="923" t="s">
        <v>46</v>
      </c>
      <c r="E395" s="1290" t="s">
        <v>14</v>
      </c>
      <c r="I395" s="1018"/>
      <c r="J395" s="1041"/>
      <c r="K395" s="1174"/>
      <c r="L395" s="1022"/>
      <c r="M395" s="1175"/>
      <c r="S395" s="504"/>
      <c r="T395" s="504"/>
      <c r="U395" s="504"/>
      <c r="V395" s="504"/>
      <c r="W395" s="504"/>
      <c r="X395" s="504"/>
      <c r="Y395" s="504"/>
      <c r="Z395" s="504"/>
      <c r="AA395" s="504"/>
      <c r="AB395" s="504"/>
      <c r="AC395" s="322"/>
      <c r="AD395" s="322"/>
      <c r="AE395" s="322"/>
    </row>
    <row r="396" spans="1:39" x14ac:dyDescent="0.25">
      <c r="A396" s="1138">
        <v>387</v>
      </c>
      <c r="B396" s="1138" t="s">
        <v>40</v>
      </c>
      <c r="C396" s="1037" t="s">
        <v>130</v>
      </c>
      <c r="I396" s="1018"/>
      <c r="J396" s="1041"/>
      <c r="K396" s="1174"/>
      <c r="L396" s="1022"/>
      <c r="M396" s="1175"/>
      <c r="S396" s="504"/>
      <c r="T396" s="504"/>
      <c r="U396" s="504"/>
      <c r="V396" s="504"/>
      <c r="W396" s="504"/>
      <c r="X396" s="504"/>
      <c r="Y396" s="504"/>
      <c r="Z396" s="504"/>
      <c r="AA396" s="504"/>
      <c r="AB396" s="504"/>
      <c r="AC396" s="322"/>
      <c r="AD396" s="322"/>
      <c r="AE396" s="322"/>
    </row>
    <row r="397" spans="1:39" x14ac:dyDescent="0.25">
      <c r="A397" s="1138">
        <v>388</v>
      </c>
      <c r="B397" s="1138" t="s">
        <v>40</v>
      </c>
      <c r="C397" s="1037" t="s">
        <v>130</v>
      </c>
      <c r="D397" s="920" t="s">
        <v>1004</v>
      </c>
      <c r="E397" s="920" t="s">
        <v>1003</v>
      </c>
      <c r="F397" s="920" t="str">
        <f>HLOOKUP(C397,'Assessment References'!$H$512:$BG$513,2,FALSE)</f>
        <v/>
      </c>
      <c r="G397" s="919"/>
      <c r="H397" s="918"/>
      <c r="I397" s="1018"/>
      <c r="J397" s="1041"/>
      <c r="K397" s="1174"/>
      <c r="L397" s="1022"/>
      <c r="M397" s="1175"/>
      <c r="S397" s="504"/>
      <c r="T397" s="504"/>
      <c r="U397" s="504"/>
      <c r="V397" s="504"/>
      <c r="W397" s="504"/>
      <c r="X397" s="504"/>
      <c r="Y397" s="504"/>
      <c r="Z397" s="504"/>
      <c r="AA397" s="504"/>
      <c r="AB397" s="504"/>
      <c r="AC397" s="322"/>
      <c r="AD397" s="322"/>
      <c r="AE397" s="322"/>
    </row>
    <row r="398" spans="1:39" x14ac:dyDescent="0.25">
      <c r="A398" s="1138">
        <v>389</v>
      </c>
      <c r="B398" s="1138" t="s">
        <v>40</v>
      </c>
      <c r="C398" s="1037" t="s">
        <v>130</v>
      </c>
      <c r="D398" s="1539"/>
      <c r="E398" s="1540"/>
      <c r="F398" s="1540"/>
      <c r="G398" s="1540"/>
      <c r="H398" s="1541"/>
      <c r="I398" s="1018"/>
      <c r="J398" s="1041"/>
      <c r="K398" s="1174"/>
      <c r="L398" s="1022"/>
      <c r="M398" s="1175"/>
      <c r="S398" s="504"/>
      <c r="T398" s="504"/>
      <c r="U398" s="504"/>
      <c r="V398" s="504"/>
      <c r="W398" s="504"/>
      <c r="X398" s="504"/>
      <c r="Y398" s="504"/>
      <c r="Z398" s="504"/>
      <c r="AA398" s="504"/>
      <c r="AB398" s="504"/>
      <c r="AC398" s="322"/>
      <c r="AD398" s="322"/>
      <c r="AE398" s="322"/>
    </row>
    <row r="399" spans="1:39" x14ac:dyDescent="0.25">
      <c r="A399" s="1138">
        <v>390</v>
      </c>
      <c r="B399" s="1138" t="s">
        <v>40</v>
      </c>
      <c r="C399" s="1037" t="s">
        <v>130</v>
      </c>
      <c r="D399" s="1530"/>
      <c r="E399" s="1531"/>
      <c r="F399" s="1531"/>
      <c r="G399" s="1531"/>
      <c r="H399" s="1532"/>
      <c r="I399" s="1018"/>
      <c r="J399" s="1041"/>
      <c r="K399" s="1174"/>
      <c r="L399" s="1022"/>
      <c r="M399" s="1175"/>
      <c r="S399" s="504"/>
      <c r="T399" s="504"/>
      <c r="U399" s="504"/>
      <c r="V399" s="504"/>
      <c r="W399" s="504"/>
      <c r="X399" s="504"/>
      <c r="Y399" s="504"/>
      <c r="Z399" s="504"/>
      <c r="AA399" s="504"/>
      <c r="AB399" s="504"/>
      <c r="AC399" s="322"/>
      <c r="AD399" s="322"/>
      <c r="AE399" s="322"/>
    </row>
    <row r="400" spans="1:39" x14ac:dyDescent="0.25">
      <c r="A400" s="1138">
        <v>391</v>
      </c>
      <c r="B400" s="1138" t="s">
        <v>40</v>
      </c>
      <c r="C400" s="1037" t="s">
        <v>130</v>
      </c>
      <c r="D400" s="1530"/>
      <c r="E400" s="1531"/>
      <c r="F400" s="1531"/>
      <c r="G400" s="1531"/>
      <c r="H400" s="1532"/>
      <c r="I400" s="1018"/>
      <c r="J400" s="1041"/>
      <c r="K400" s="1174"/>
      <c r="L400" s="1022"/>
      <c r="M400" s="1175"/>
      <c r="S400" s="504"/>
      <c r="T400" s="504"/>
      <c r="U400" s="504"/>
      <c r="V400" s="504"/>
      <c r="W400" s="504"/>
      <c r="X400" s="504"/>
      <c r="Y400" s="504"/>
      <c r="Z400" s="504"/>
      <c r="AA400" s="504"/>
      <c r="AB400" s="504"/>
      <c r="AC400" s="322"/>
      <c r="AD400" s="322"/>
      <c r="AE400" s="322"/>
    </row>
    <row r="401" spans="1:37" x14ac:dyDescent="0.25">
      <c r="A401" s="1138">
        <v>392</v>
      </c>
      <c r="B401" s="1138" t="s">
        <v>40</v>
      </c>
      <c r="C401" s="1037" t="s">
        <v>130</v>
      </c>
      <c r="D401" s="1533"/>
      <c r="E401" s="1534"/>
      <c r="F401" s="1534"/>
      <c r="G401" s="1534"/>
      <c r="H401" s="1535"/>
      <c r="I401" s="1018"/>
      <c r="J401" s="1041"/>
      <c r="K401" s="1174"/>
      <c r="L401" s="1022"/>
      <c r="M401" s="1175"/>
      <c r="S401" s="504"/>
      <c r="T401" s="504"/>
      <c r="U401" s="504"/>
      <c r="V401" s="504"/>
      <c r="W401" s="504"/>
      <c r="X401" s="504"/>
      <c r="Y401" s="504"/>
      <c r="Z401" s="504"/>
      <c r="AA401" s="504"/>
      <c r="AB401" s="504"/>
      <c r="AC401" s="322"/>
      <c r="AD401" s="322"/>
      <c r="AE401" s="322"/>
    </row>
    <row r="402" spans="1:37" x14ac:dyDescent="0.25">
      <c r="A402" s="1138">
        <v>393</v>
      </c>
      <c r="B402" s="1138" t="s">
        <v>40</v>
      </c>
      <c r="C402" s="1037" t="s">
        <v>130</v>
      </c>
      <c r="D402" s="1533"/>
      <c r="E402" s="1534"/>
      <c r="F402" s="1534"/>
      <c r="G402" s="1534"/>
      <c r="H402" s="1535"/>
      <c r="I402" s="1018"/>
      <c r="J402" s="1041"/>
      <c r="K402" s="1174"/>
      <c r="L402" s="1022"/>
      <c r="M402" s="1175"/>
      <c r="S402" s="504"/>
      <c r="T402" s="504"/>
      <c r="U402" s="504"/>
      <c r="V402" s="504"/>
      <c r="W402" s="504"/>
      <c r="X402" s="504"/>
      <c r="Y402" s="504"/>
      <c r="Z402" s="504"/>
      <c r="AA402" s="504"/>
      <c r="AB402" s="504"/>
      <c r="AC402" s="322"/>
      <c r="AD402" s="322"/>
      <c r="AE402" s="322"/>
    </row>
    <row r="403" spans="1:37" x14ac:dyDescent="0.25">
      <c r="A403" s="1138">
        <v>394</v>
      </c>
      <c r="B403" s="1138" t="s">
        <v>40</v>
      </c>
      <c r="C403" s="1037" t="s">
        <v>130</v>
      </c>
      <c r="D403" s="1536"/>
      <c r="E403" s="1537"/>
      <c r="F403" s="1537"/>
      <c r="G403" s="1537"/>
      <c r="H403" s="1538"/>
      <c r="I403" s="1018"/>
      <c r="J403" s="1041"/>
      <c r="K403" s="1174"/>
      <c r="L403" s="1022"/>
      <c r="M403" s="1175"/>
      <c r="S403" s="504"/>
      <c r="T403" s="504"/>
      <c r="U403" s="504"/>
      <c r="V403" s="504"/>
      <c r="W403" s="504"/>
      <c r="X403" s="504"/>
      <c r="Y403" s="504"/>
      <c r="Z403" s="504"/>
      <c r="AA403" s="504"/>
      <c r="AB403" s="504"/>
      <c r="AC403" s="322"/>
      <c r="AD403" s="322"/>
      <c r="AE403" s="322"/>
    </row>
    <row r="404" spans="1:37" x14ac:dyDescent="0.25">
      <c r="A404" s="1138">
        <v>395</v>
      </c>
      <c r="B404" s="1138" t="s">
        <v>40</v>
      </c>
      <c r="C404" s="1037" t="s">
        <v>130</v>
      </c>
      <c r="I404" s="1018"/>
      <c r="J404" s="1041"/>
      <c r="K404" s="1174"/>
      <c r="L404" s="1022"/>
      <c r="M404" s="1175"/>
      <c r="S404" s="504"/>
      <c r="T404" s="504"/>
      <c r="U404" s="504"/>
      <c r="V404" s="504"/>
      <c r="W404" s="504"/>
      <c r="X404" s="504"/>
      <c r="Y404" s="504"/>
      <c r="Z404" s="504"/>
      <c r="AA404" s="504"/>
      <c r="AB404" s="504"/>
      <c r="AC404" s="322"/>
      <c r="AD404" s="322"/>
      <c r="AE404" s="322"/>
    </row>
    <row r="405" spans="1:37" x14ac:dyDescent="0.25">
      <c r="A405" s="1138">
        <v>396</v>
      </c>
      <c r="B405" s="1139" t="s">
        <v>40</v>
      </c>
      <c r="C405" s="950" t="s">
        <v>131</v>
      </c>
      <c r="D405" s="1044" t="s">
        <v>1099</v>
      </c>
      <c r="E405" s="1011"/>
      <c r="F405" s="1011"/>
      <c r="G405" s="1010"/>
      <c r="H405" s="1010"/>
      <c r="I405" s="1018"/>
      <c r="J405" s="1041"/>
      <c r="K405" s="1174"/>
      <c r="L405" s="1022"/>
      <c r="M405" s="1175"/>
      <c r="S405" s="504"/>
      <c r="T405" s="504"/>
      <c r="U405" s="504"/>
      <c r="V405" s="504"/>
      <c r="W405" s="504"/>
      <c r="X405" s="504"/>
      <c r="Y405" s="504"/>
      <c r="Z405" s="504"/>
      <c r="AA405" s="504"/>
      <c r="AB405" s="504"/>
      <c r="AC405" s="322"/>
      <c r="AD405" s="322"/>
      <c r="AE405" s="322"/>
    </row>
    <row r="406" spans="1:37" x14ac:dyDescent="0.25">
      <c r="A406" s="1138">
        <v>397</v>
      </c>
      <c r="B406" s="1138" t="s">
        <v>40</v>
      </c>
      <c r="C406" s="1037" t="s">
        <v>131</v>
      </c>
      <c r="D406" s="946" t="s">
        <v>15</v>
      </c>
      <c r="E406" s="1264">
        <f>Ene03_credits</f>
        <v>1</v>
      </c>
      <c r="F406" s="945"/>
      <c r="G406" s="944" t="s">
        <v>76</v>
      </c>
      <c r="H406" s="1266">
        <f>Ene03_05</f>
        <v>5.1851851851851859E-3</v>
      </c>
      <c r="I406" s="1018"/>
      <c r="J406" s="1041"/>
      <c r="K406" s="1174"/>
      <c r="L406" s="1022"/>
      <c r="M406" s="1175"/>
      <c r="S406" s="504"/>
      <c r="T406" s="504"/>
      <c r="U406" s="504"/>
      <c r="V406" s="504"/>
      <c r="W406" s="504"/>
      <c r="X406" s="504"/>
      <c r="Y406" s="504"/>
      <c r="Z406" s="504"/>
      <c r="AA406" s="504"/>
      <c r="AB406" s="504"/>
      <c r="AC406" s="322"/>
      <c r="AD406" s="322"/>
      <c r="AE406" s="322"/>
    </row>
    <row r="407" spans="1:37" x14ac:dyDescent="0.25">
      <c r="A407" s="1138">
        <v>398</v>
      </c>
      <c r="B407" s="1138" t="s">
        <v>40</v>
      </c>
      <c r="C407" s="1037" t="s">
        <v>131</v>
      </c>
      <c r="D407" s="972" t="s">
        <v>1011</v>
      </c>
      <c r="E407" s="1265">
        <v>0</v>
      </c>
      <c r="F407" s="941"/>
      <c r="G407" s="940" t="s">
        <v>1010</v>
      </c>
      <c r="H407" s="1267" t="s">
        <v>13</v>
      </c>
      <c r="I407" s="1018"/>
      <c r="J407" s="1041"/>
      <c r="K407" s="1174"/>
      <c r="L407" s="1022"/>
      <c r="M407" s="1175"/>
      <c r="S407" s="504"/>
      <c r="T407" s="504"/>
      <c r="U407" s="504"/>
      <c r="V407" s="504"/>
      <c r="W407" s="504"/>
      <c r="X407" s="504"/>
      <c r="Y407" s="504"/>
      <c r="Z407" s="504"/>
      <c r="AA407" s="504"/>
      <c r="AB407" s="504"/>
      <c r="AC407" s="322"/>
      <c r="AD407" s="322"/>
      <c r="AE407" s="322"/>
    </row>
    <row r="408" spans="1:37" x14ac:dyDescent="0.25">
      <c r="A408" s="1138">
        <v>399</v>
      </c>
      <c r="B408" s="1138" t="s">
        <v>40</v>
      </c>
      <c r="C408" s="1037" t="s">
        <v>131</v>
      </c>
      <c r="I408" s="1018"/>
      <c r="J408" s="1041"/>
      <c r="K408" s="1174"/>
      <c r="L408" s="1022"/>
      <c r="M408" s="1175"/>
      <c r="S408" s="504"/>
      <c r="T408" s="504"/>
      <c r="U408" s="504"/>
      <c r="V408" s="504"/>
      <c r="W408" s="504"/>
      <c r="X408" s="504"/>
      <c r="Y408" s="504"/>
      <c r="Z408" s="504"/>
      <c r="AA408" s="504"/>
      <c r="AB408" s="504"/>
      <c r="AC408" s="322"/>
      <c r="AD408" s="322"/>
      <c r="AE408" s="322"/>
    </row>
    <row r="409" spans="1:37" ht="15.75" thickBot="1" x14ac:dyDescent="0.3">
      <c r="A409" s="1138">
        <v>400</v>
      </c>
      <c r="B409" s="1138" t="s">
        <v>40</v>
      </c>
      <c r="C409" s="1037" t="s">
        <v>131</v>
      </c>
      <c r="D409" s="938" t="s">
        <v>1009</v>
      </c>
      <c r="E409" s="937" t="s">
        <v>1008</v>
      </c>
      <c r="F409" s="937" t="s">
        <v>1007</v>
      </c>
      <c r="G409" s="937" t="s">
        <v>1006</v>
      </c>
      <c r="H409" s="937" t="s">
        <v>1014</v>
      </c>
      <c r="I409" s="1018"/>
      <c r="J409" s="1041"/>
      <c r="K409" s="1174"/>
      <c r="L409" s="1022"/>
      <c r="M409" s="1175"/>
      <c r="S409" s="504"/>
      <c r="T409" s="504"/>
      <c r="U409" s="504"/>
      <c r="V409" s="504"/>
      <c r="W409" s="504"/>
      <c r="X409" s="504"/>
      <c r="Y409" s="504"/>
      <c r="Z409" s="504"/>
      <c r="AA409" s="504"/>
      <c r="AB409" s="504"/>
      <c r="AC409" s="322"/>
      <c r="AD409" s="322"/>
      <c r="AE409" s="322"/>
    </row>
    <row r="410" spans="1:37" ht="15.75" thickBot="1" x14ac:dyDescent="0.3">
      <c r="A410" s="1138">
        <v>401</v>
      </c>
      <c r="B410" s="1138" t="s">
        <v>40</v>
      </c>
      <c r="C410" s="1037" t="s">
        <v>131</v>
      </c>
      <c r="D410" s="1168" t="s">
        <v>608</v>
      </c>
      <c r="E410" s="1268" t="s">
        <v>316</v>
      </c>
      <c r="F410" s="1223">
        <f>Poeng!AB80</f>
        <v>1</v>
      </c>
      <c r="G410" s="1223">
        <f>IF(E410=AIS_Yes,F410,0)</f>
        <v>0</v>
      </c>
      <c r="H410" s="1057" t="s">
        <v>14</v>
      </c>
      <c r="I410" s="1018"/>
      <c r="J410" s="1041"/>
      <c r="K410" s="1174"/>
      <c r="L410" s="1022"/>
      <c r="M410" s="1175"/>
      <c r="S410" s="846">
        <v>1</v>
      </c>
      <c r="T410" s="846">
        <v>0.5</v>
      </c>
      <c r="U410" s="968">
        <v>1</v>
      </c>
      <c r="V410" s="146" t="str">
        <f>IF($X$4=AIS_Yes,S410,AIS_NA)</f>
        <v>N/A</v>
      </c>
      <c r="W410" s="43" t="str">
        <f>IF($X$4=AIS_Yes,T410,AIS_NA)</f>
        <v>N/A</v>
      </c>
      <c r="X410" s="163" t="str">
        <f>IF($X$4=AIS_Yes,U410,AIS_NA)</f>
        <v>N/A</v>
      </c>
      <c r="Y410" s="967" t="str">
        <f>IF(AND($X$4=AIS_Yes,OR(V410&lt;&gt;AIS_NA,W410&lt;&gt;AIS_NA,X410&lt;&gt;AIS_NA)),AIS_Yes,AIS_No)</f>
        <v>No</v>
      </c>
      <c r="Z410" s="146" t="e">
        <f>AIS_option01</f>
        <v>#NAME?</v>
      </c>
      <c r="AA410" s="43" t="e">
        <f>AIS_option02_50</f>
        <v>#NAME?</v>
      </c>
      <c r="AB410" s="147" t="e">
        <f>AIS_option03</f>
        <v>#NAME?</v>
      </c>
      <c r="AC410" s="966"/>
      <c r="AD410" s="965" t="str">
        <f>AIS_NA</f>
        <v>N/A</v>
      </c>
      <c r="AE410" s="962" t="str">
        <f>IF(Y410=AIS_Yes,Z410,AIS_NA)</f>
        <v>N/A</v>
      </c>
      <c r="AF410" s="962" t="str">
        <f>IF(Y410=AIS_Yes,AA410,AIS_NA)</f>
        <v>N/A</v>
      </c>
      <c r="AG410" s="964" t="str">
        <f>IF(Y410=AIS_Yes,AB410,AIS_NA)</f>
        <v>N/A</v>
      </c>
      <c r="AH410" s="963" t="str">
        <f>C410</f>
        <v>Ene 03</v>
      </c>
      <c r="AI410" s="1026" t="str">
        <f>D405</f>
        <v>External lighting</v>
      </c>
      <c r="AJ410" s="961" t="str">
        <f>H410</f>
        <v>N/A</v>
      </c>
      <c r="AK410" s="375">
        <f>IF(Y410=AIS_No,1,IF(H410=AE410,V410,IF(H410=AF410,W410,IF(H410=AG410,X410,1))))</f>
        <v>1</v>
      </c>
    </row>
    <row r="411" spans="1:37" ht="15.75" thickBot="1" x14ac:dyDescent="0.3">
      <c r="A411" s="1138">
        <v>402</v>
      </c>
      <c r="B411" s="1138" t="s">
        <v>40</v>
      </c>
      <c r="C411" s="1037" t="s">
        <v>131</v>
      </c>
      <c r="D411" s="1170" t="s">
        <v>609</v>
      </c>
      <c r="E411" s="1275" t="s">
        <v>316</v>
      </c>
      <c r="F411" s="1227">
        <f>Poeng!AB81</f>
        <v>0</v>
      </c>
      <c r="G411" s="1227">
        <f>IF(E411=AIS_Yes,F411,0)</f>
        <v>0</v>
      </c>
      <c r="H411" s="986" t="s">
        <v>14</v>
      </c>
      <c r="I411" s="1018"/>
      <c r="J411" s="1041"/>
      <c r="K411" s="1174"/>
      <c r="L411" s="1022"/>
      <c r="M411" s="1175"/>
      <c r="S411" s="504"/>
      <c r="T411" s="504"/>
      <c r="U411" s="504"/>
      <c r="V411" s="504"/>
      <c r="W411" s="504"/>
      <c r="X411" s="504"/>
      <c r="Y411" s="504" t="str">
        <f>Y410</f>
        <v>No</v>
      </c>
      <c r="Z411" s="504"/>
      <c r="AA411" s="504"/>
      <c r="AB411" s="504"/>
      <c r="AC411" s="322"/>
      <c r="AD411" s="322"/>
      <c r="AE411" s="322"/>
    </row>
    <row r="412" spans="1:37" x14ac:dyDescent="0.25">
      <c r="A412" s="1138">
        <v>403</v>
      </c>
      <c r="B412" s="1138" t="s">
        <v>40</v>
      </c>
      <c r="C412" s="1037" t="s">
        <v>131</v>
      </c>
      <c r="E412" s="959"/>
      <c r="I412" s="1018"/>
      <c r="J412" s="1041"/>
      <c r="K412" s="1174"/>
      <c r="L412" s="1022"/>
      <c r="M412" s="1175"/>
      <c r="S412" s="504"/>
      <c r="T412" s="504"/>
      <c r="U412" s="504"/>
      <c r="V412" s="504"/>
      <c r="W412" s="504"/>
      <c r="X412" s="504"/>
      <c r="Y412" s="504"/>
      <c r="Z412" s="504"/>
      <c r="AA412" s="504"/>
      <c r="AB412" s="504"/>
      <c r="AC412" s="322"/>
      <c r="AD412" s="322"/>
      <c r="AE412" s="322"/>
    </row>
    <row r="413" spans="1:37" x14ac:dyDescent="0.25">
      <c r="A413" s="1138">
        <v>404</v>
      </c>
      <c r="B413" s="1138" t="s">
        <v>40</v>
      </c>
      <c r="C413" s="1037" t="s">
        <v>131</v>
      </c>
      <c r="D413" s="958" t="s">
        <v>1012</v>
      </c>
      <c r="E413" s="1307">
        <f>IF(G410+G411&gt;E406,E406,G410+G411)</f>
        <v>0</v>
      </c>
      <c r="I413" s="917"/>
      <c r="J413" s="1041"/>
      <c r="K413" s="1174"/>
      <c r="L413" s="1022"/>
      <c r="M413" s="1175"/>
      <c r="S413" s="504"/>
      <c r="T413" s="504"/>
      <c r="U413" s="504"/>
      <c r="V413" s="504"/>
      <c r="W413" s="504"/>
      <c r="X413" s="504"/>
      <c r="Y413" s="504"/>
      <c r="Z413" s="504"/>
      <c r="AA413" s="504"/>
      <c r="AB413" s="504"/>
      <c r="AC413" s="322"/>
      <c r="AD413" s="322"/>
      <c r="AE413" s="322"/>
    </row>
    <row r="414" spans="1:37" x14ac:dyDescent="0.25">
      <c r="A414" s="1138">
        <v>405</v>
      </c>
      <c r="B414" s="1138" t="s">
        <v>40</v>
      </c>
      <c r="C414" s="1037" t="s">
        <v>131</v>
      </c>
      <c r="D414" s="924" t="s">
        <v>77</v>
      </c>
      <c r="E414" s="1273">
        <f>Ene03_06</f>
        <v>0</v>
      </c>
      <c r="I414" s="1018"/>
      <c r="J414" s="1041"/>
      <c r="K414" s="1174"/>
      <c r="L414" s="1022"/>
      <c r="M414" s="1175"/>
      <c r="S414" s="504"/>
      <c r="T414" s="504"/>
      <c r="U414" s="504"/>
      <c r="V414" s="504"/>
      <c r="W414" s="504"/>
      <c r="X414" s="504"/>
      <c r="Y414" s="504"/>
      <c r="Z414" s="504"/>
      <c r="AA414" s="504"/>
      <c r="AB414" s="504"/>
      <c r="AC414" s="322"/>
      <c r="AD414" s="322"/>
      <c r="AE414" s="322"/>
    </row>
    <row r="415" spans="1:37" x14ac:dyDescent="0.25">
      <c r="A415" s="1138">
        <v>406</v>
      </c>
      <c r="B415" s="1138" t="s">
        <v>40</v>
      </c>
      <c r="C415" s="1037" t="s">
        <v>131</v>
      </c>
      <c r="D415" s="926" t="s">
        <v>1005</v>
      </c>
      <c r="E415" s="1272" t="s">
        <v>14</v>
      </c>
      <c r="I415" s="1018"/>
      <c r="J415" s="1041"/>
      <c r="K415" s="1174"/>
      <c r="L415" s="1022"/>
      <c r="M415" s="1175"/>
      <c r="S415" s="504"/>
      <c r="T415" s="504"/>
      <c r="U415" s="504"/>
      <c r="V415" s="504"/>
      <c r="W415" s="504"/>
      <c r="X415" s="504"/>
      <c r="Y415" s="504"/>
      <c r="Z415" s="504"/>
      <c r="AA415" s="504"/>
      <c r="AB415" s="504"/>
      <c r="AC415" s="322"/>
      <c r="AD415" s="322"/>
      <c r="AE415" s="322"/>
    </row>
    <row r="416" spans="1:37" x14ac:dyDescent="0.25">
      <c r="A416" s="1138">
        <v>407</v>
      </c>
      <c r="B416" s="1138" t="s">
        <v>40</v>
      </c>
      <c r="C416" s="1037" t="s">
        <v>131</v>
      </c>
      <c r="D416" s="923" t="s">
        <v>46</v>
      </c>
      <c r="E416" s="1290" t="s">
        <v>14</v>
      </c>
      <c r="I416" s="1018"/>
      <c r="J416" s="1041"/>
      <c r="K416" s="1174"/>
      <c r="L416" s="1022"/>
      <c r="M416" s="1175"/>
      <c r="S416" s="504"/>
      <c r="T416" s="504"/>
      <c r="U416" s="504"/>
      <c r="V416" s="504"/>
      <c r="W416" s="504"/>
      <c r="X416" s="504"/>
      <c r="Y416" s="504"/>
      <c r="Z416" s="504"/>
      <c r="AA416" s="504"/>
      <c r="AB416" s="504"/>
      <c r="AC416" s="322"/>
      <c r="AD416" s="322"/>
      <c r="AE416" s="322"/>
    </row>
    <row r="417" spans="1:37" x14ac:dyDescent="0.25">
      <c r="A417" s="1138">
        <v>408</v>
      </c>
      <c r="B417" s="1138" t="s">
        <v>40</v>
      </c>
      <c r="C417" s="1037" t="s">
        <v>131</v>
      </c>
      <c r="I417" s="1018"/>
      <c r="J417" s="1041"/>
      <c r="K417" s="1174"/>
      <c r="L417" s="1022"/>
      <c r="M417" s="1175"/>
      <c r="S417" s="504"/>
      <c r="T417" s="504"/>
      <c r="U417" s="504"/>
      <c r="V417" s="504"/>
      <c r="W417" s="504"/>
      <c r="X417" s="504"/>
      <c r="Y417" s="504"/>
      <c r="Z417" s="504"/>
      <c r="AA417" s="504"/>
      <c r="AB417" s="504"/>
      <c r="AC417" s="322"/>
      <c r="AD417" s="322"/>
      <c r="AE417" s="322"/>
    </row>
    <row r="418" spans="1:37" x14ac:dyDescent="0.25">
      <c r="A418" s="1138">
        <v>409</v>
      </c>
      <c r="B418" s="1138" t="s">
        <v>40</v>
      </c>
      <c r="C418" s="1037" t="s">
        <v>131</v>
      </c>
      <c r="D418" s="920" t="s">
        <v>1004</v>
      </c>
      <c r="E418" s="920" t="s">
        <v>1003</v>
      </c>
      <c r="F418" s="920" t="str">
        <f>HLOOKUP(C418,'Assessment References'!$H$512:$BG$513,2,FALSE)</f>
        <v/>
      </c>
      <c r="G418" s="919"/>
      <c r="H418" s="918"/>
      <c r="I418" s="1018"/>
      <c r="J418" s="1041"/>
      <c r="K418" s="1174"/>
      <c r="L418" s="1022"/>
      <c r="M418" s="1175"/>
      <c r="S418" s="504"/>
      <c r="T418" s="504"/>
      <c r="U418" s="504"/>
      <c r="V418" s="504"/>
      <c r="W418" s="504"/>
      <c r="X418" s="504"/>
      <c r="Y418" s="504"/>
      <c r="Z418" s="504"/>
      <c r="AA418" s="504"/>
      <c r="AB418" s="504"/>
      <c r="AC418" s="322"/>
      <c r="AD418" s="322"/>
      <c r="AE418" s="322"/>
    </row>
    <row r="419" spans="1:37" x14ac:dyDescent="0.25">
      <c r="A419" s="1138">
        <v>410</v>
      </c>
      <c r="B419" s="1138" t="s">
        <v>40</v>
      </c>
      <c r="C419" s="1037" t="s">
        <v>131</v>
      </c>
      <c r="D419" s="1539"/>
      <c r="E419" s="1540"/>
      <c r="F419" s="1540"/>
      <c r="G419" s="1540"/>
      <c r="H419" s="1541"/>
      <c r="I419" s="1018"/>
      <c r="J419" s="1041"/>
      <c r="K419" s="1174"/>
      <c r="L419" s="1022"/>
      <c r="M419" s="1175"/>
      <c r="S419" s="504"/>
      <c r="T419" s="504"/>
      <c r="U419" s="504"/>
      <c r="V419" s="504"/>
      <c r="W419" s="504"/>
      <c r="X419" s="504"/>
      <c r="Y419" s="504"/>
      <c r="Z419" s="504"/>
      <c r="AA419" s="504"/>
      <c r="AB419" s="504"/>
      <c r="AC419" s="322"/>
      <c r="AD419" s="322"/>
      <c r="AE419" s="322"/>
    </row>
    <row r="420" spans="1:37" x14ac:dyDescent="0.25">
      <c r="A420" s="1138">
        <v>411</v>
      </c>
      <c r="B420" s="1138" t="s">
        <v>40</v>
      </c>
      <c r="C420" s="1037" t="s">
        <v>131</v>
      </c>
      <c r="D420" s="1530"/>
      <c r="E420" s="1531"/>
      <c r="F420" s="1531"/>
      <c r="G420" s="1531"/>
      <c r="H420" s="1532"/>
      <c r="I420" s="1018"/>
      <c r="J420" s="1041"/>
      <c r="K420" s="1174"/>
      <c r="L420" s="1022"/>
      <c r="M420" s="1175"/>
      <c r="S420" s="504"/>
      <c r="T420" s="504"/>
      <c r="U420" s="504"/>
      <c r="V420" s="504"/>
      <c r="W420" s="504"/>
      <c r="X420" s="504"/>
      <c r="Y420" s="504"/>
      <c r="Z420" s="504"/>
      <c r="AA420" s="504"/>
      <c r="AB420" s="504"/>
      <c r="AC420" s="322"/>
      <c r="AD420" s="322"/>
      <c r="AE420" s="322"/>
    </row>
    <row r="421" spans="1:37" x14ac:dyDescent="0.25">
      <c r="A421" s="1138">
        <v>412</v>
      </c>
      <c r="B421" s="1138" t="s">
        <v>40</v>
      </c>
      <c r="C421" s="1037" t="s">
        <v>131</v>
      </c>
      <c r="D421" s="1530"/>
      <c r="E421" s="1531"/>
      <c r="F421" s="1531"/>
      <c r="G421" s="1531"/>
      <c r="H421" s="1532"/>
      <c r="I421" s="1018"/>
      <c r="J421" s="1041"/>
      <c r="K421" s="1174"/>
      <c r="L421" s="1022"/>
      <c r="M421" s="1175"/>
      <c r="S421" s="504"/>
      <c r="T421" s="504"/>
      <c r="U421" s="504"/>
      <c r="V421" s="504"/>
      <c r="W421" s="504"/>
      <c r="X421" s="504"/>
      <c r="Y421" s="504"/>
      <c r="Z421" s="504"/>
      <c r="AA421" s="504"/>
      <c r="AB421" s="504"/>
      <c r="AC421" s="322"/>
      <c r="AD421" s="322"/>
      <c r="AE421" s="322"/>
    </row>
    <row r="422" spans="1:37" x14ac:dyDescent="0.25">
      <c r="A422" s="1138">
        <v>413</v>
      </c>
      <c r="B422" s="1138" t="s">
        <v>40</v>
      </c>
      <c r="C422" s="1037" t="s">
        <v>131</v>
      </c>
      <c r="D422" s="1533"/>
      <c r="E422" s="1534"/>
      <c r="F422" s="1534"/>
      <c r="G422" s="1534"/>
      <c r="H422" s="1535"/>
      <c r="I422" s="1018"/>
      <c r="J422" s="1041"/>
      <c r="K422" s="1174"/>
      <c r="L422" s="1022"/>
      <c r="M422" s="1175"/>
      <c r="S422" s="504"/>
      <c r="T422" s="504"/>
      <c r="U422" s="504"/>
      <c r="V422" s="504"/>
      <c r="W422" s="504"/>
      <c r="X422" s="504"/>
      <c r="Y422" s="504"/>
      <c r="Z422" s="504"/>
      <c r="AA422" s="504"/>
      <c r="AB422" s="504"/>
      <c r="AC422" s="322"/>
      <c r="AD422" s="322"/>
      <c r="AE422" s="322"/>
    </row>
    <row r="423" spans="1:37" x14ac:dyDescent="0.25">
      <c r="A423" s="1138">
        <v>414</v>
      </c>
      <c r="B423" s="1138" t="s">
        <v>40</v>
      </c>
      <c r="C423" s="1037" t="s">
        <v>131</v>
      </c>
      <c r="D423" s="1533"/>
      <c r="E423" s="1534"/>
      <c r="F423" s="1534"/>
      <c r="G423" s="1534"/>
      <c r="H423" s="1535"/>
      <c r="I423" s="1018"/>
      <c r="J423" s="1041"/>
      <c r="K423" s="1174"/>
      <c r="L423" s="1022"/>
      <c r="M423" s="1175"/>
      <c r="S423" s="504"/>
      <c r="T423" s="504"/>
      <c r="U423" s="504"/>
      <c r="V423" s="504"/>
      <c r="W423" s="504"/>
      <c r="X423" s="504"/>
      <c r="Y423" s="504"/>
      <c r="Z423" s="504"/>
      <c r="AA423" s="504"/>
      <c r="AB423" s="504"/>
      <c r="AC423" s="322"/>
      <c r="AD423" s="322"/>
      <c r="AE423" s="322"/>
    </row>
    <row r="424" spans="1:37" x14ac:dyDescent="0.25">
      <c r="A424" s="1138">
        <v>415</v>
      </c>
      <c r="B424" s="1138" t="s">
        <v>40</v>
      </c>
      <c r="C424" s="1037" t="s">
        <v>131</v>
      </c>
      <c r="D424" s="1536"/>
      <c r="E424" s="1537"/>
      <c r="F424" s="1537"/>
      <c r="G424" s="1537"/>
      <c r="H424" s="1538"/>
      <c r="I424" s="1018"/>
      <c r="J424" s="1041"/>
      <c r="K424" s="1174"/>
      <c r="L424" s="1022"/>
      <c r="M424" s="1175"/>
      <c r="S424" s="1054"/>
      <c r="T424" s="1054"/>
      <c r="U424" s="1054"/>
      <c r="V424" s="1054"/>
      <c r="W424" s="1054"/>
      <c r="X424" s="1054"/>
      <c r="Y424" s="1054"/>
      <c r="Z424" s="1054"/>
      <c r="AA424" s="1054"/>
      <c r="AB424" s="1054"/>
      <c r="AC424" s="1053"/>
      <c r="AD424" s="1053"/>
      <c r="AE424" s="1053"/>
    </row>
    <row r="425" spans="1:37" x14ac:dyDescent="0.25">
      <c r="A425" s="1138">
        <v>416</v>
      </c>
      <c r="B425" s="1138" t="s">
        <v>40</v>
      </c>
      <c r="C425" s="1037" t="s">
        <v>131</v>
      </c>
      <c r="D425" s="1053"/>
      <c r="E425" s="1046"/>
      <c r="F425" s="1046"/>
      <c r="G425" s="1046"/>
      <c r="H425" s="1046"/>
      <c r="I425" s="1018"/>
      <c r="J425" s="1041"/>
      <c r="K425" s="1174"/>
      <c r="L425" s="1022"/>
      <c r="M425" s="1175"/>
      <c r="S425" s="504"/>
      <c r="T425" s="504"/>
      <c r="U425" s="504"/>
      <c r="V425" s="504"/>
      <c r="W425" s="504"/>
      <c r="X425" s="504"/>
      <c r="Y425" s="504"/>
      <c r="Z425" s="504"/>
      <c r="AA425" s="504"/>
      <c r="AB425" s="504"/>
      <c r="AC425" s="322"/>
      <c r="AD425" s="322"/>
      <c r="AE425" s="322"/>
    </row>
    <row r="426" spans="1:37" x14ac:dyDescent="0.25">
      <c r="A426" s="1138">
        <v>417</v>
      </c>
      <c r="B426" s="1140" t="s">
        <v>40</v>
      </c>
      <c r="C426" s="1012" t="s">
        <v>133</v>
      </c>
      <c r="D426" s="1051" t="s">
        <v>338</v>
      </c>
      <c r="E426" s="1011"/>
      <c r="F426" s="1011"/>
      <c r="G426" s="1010"/>
      <c r="H426" s="1308"/>
      <c r="I426" s="430"/>
      <c r="J426" s="430"/>
      <c r="K426" s="1174" t="str" cm="1">
        <f t="array" ref="K426">IF(Ene05_credits=AIS_credit00,AIS_statement32,"")</f>
        <v/>
      </c>
      <c r="L426" s="1022"/>
      <c r="M426" s="1175"/>
      <c r="S426" s="504"/>
      <c r="T426" s="504"/>
      <c r="U426" s="504"/>
      <c r="V426" s="504"/>
      <c r="W426" s="504"/>
      <c r="X426" s="504"/>
      <c r="Y426" s="504"/>
      <c r="Z426" s="504"/>
      <c r="AA426" s="504"/>
      <c r="AB426" s="504"/>
      <c r="AC426" s="322"/>
      <c r="AD426" s="322"/>
      <c r="AE426" s="322"/>
    </row>
    <row r="427" spans="1:37" x14ac:dyDescent="0.25">
      <c r="A427" s="1138">
        <v>418</v>
      </c>
      <c r="B427" s="1138" t="s">
        <v>40</v>
      </c>
      <c r="C427" s="1037" t="s">
        <v>133</v>
      </c>
      <c r="D427" s="946" t="s">
        <v>15</v>
      </c>
      <c r="E427" s="1264">
        <f>Ene05_credits</f>
        <v>2</v>
      </c>
      <c r="F427" s="945"/>
      <c r="G427" s="944" t="s">
        <v>76</v>
      </c>
      <c r="H427" s="1266">
        <f>Ene05_20</f>
        <v>1.0370370370370372E-2</v>
      </c>
      <c r="I427" s="1018"/>
      <c r="J427" s="1041"/>
      <c r="K427" s="1174"/>
      <c r="L427" s="1022"/>
      <c r="M427" s="1175"/>
      <c r="S427" s="504"/>
      <c r="T427" s="504"/>
      <c r="U427" s="504"/>
      <c r="V427" s="504"/>
      <c r="W427" s="504"/>
      <c r="X427" s="504"/>
      <c r="Y427" s="504"/>
      <c r="Z427" s="504"/>
      <c r="AA427" s="504"/>
      <c r="AB427" s="504"/>
      <c r="AC427" s="322"/>
      <c r="AD427" s="322"/>
      <c r="AE427" s="322"/>
    </row>
    <row r="428" spans="1:37" x14ac:dyDescent="0.25">
      <c r="A428" s="1138">
        <v>419</v>
      </c>
      <c r="B428" s="1138" t="s">
        <v>40</v>
      </c>
      <c r="C428" s="1037" t="s">
        <v>133</v>
      </c>
      <c r="D428" s="972" t="s">
        <v>1011</v>
      </c>
      <c r="E428" s="1265">
        <v>0</v>
      </c>
      <c r="F428" s="941"/>
      <c r="G428" s="940" t="s">
        <v>1010</v>
      </c>
      <c r="H428" s="1267" t="s">
        <v>13</v>
      </c>
      <c r="I428" s="1018"/>
      <c r="J428" s="1041"/>
      <c r="K428" s="1174"/>
      <c r="L428" s="1022"/>
      <c r="M428" s="1175"/>
      <c r="S428" s="504"/>
      <c r="T428" s="504"/>
      <c r="U428" s="504"/>
      <c r="V428" s="504"/>
      <c r="W428" s="504"/>
      <c r="X428" s="504"/>
      <c r="Y428" s="504"/>
      <c r="Z428" s="504"/>
      <c r="AA428" s="504"/>
      <c r="AB428" s="504"/>
      <c r="AC428" s="322"/>
      <c r="AD428" s="322"/>
      <c r="AE428" s="322"/>
    </row>
    <row r="429" spans="1:37" x14ac:dyDescent="0.25">
      <c r="A429" s="1138">
        <v>420</v>
      </c>
      <c r="B429" s="1138" t="s">
        <v>40</v>
      </c>
      <c r="C429" s="1037" t="s">
        <v>133</v>
      </c>
      <c r="I429" s="1018"/>
      <c r="J429" s="1041"/>
      <c r="K429" s="1174"/>
      <c r="L429" s="1022"/>
      <c r="M429" s="1175"/>
      <c r="S429" s="504"/>
      <c r="T429" s="504"/>
      <c r="U429" s="504"/>
      <c r="V429" s="504"/>
      <c r="W429" s="504"/>
      <c r="X429" s="504"/>
      <c r="Y429" s="504"/>
      <c r="Z429" s="504"/>
      <c r="AA429" s="504"/>
      <c r="AB429" s="504"/>
      <c r="AC429" s="322"/>
      <c r="AD429" s="322"/>
      <c r="AE429" s="322"/>
    </row>
    <row r="430" spans="1:37" ht="15.75" thickBot="1" x14ac:dyDescent="0.3">
      <c r="A430" s="1138">
        <v>421</v>
      </c>
      <c r="B430" s="1138" t="s">
        <v>40</v>
      </c>
      <c r="C430" s="1037" t="s">
        <v>133</v>
      </c>
      <c r="D430" s="938" t="s">
        <v>1009</v>
      </c>
      <c r="E430" s="937" t="s">
        <v>1008</v>
      </c>
      <c r="F430" s="937" t="s">
        <v>1007</v>
      </c>
      <c r="G430" s="937" t="s">
        <v>1006</v>
      </c>
      <c r="H430" s="937" t="s">
        <v>1014</v>
      </c>
      <c r="I430" s="1018"/>
      <c r="J430" s="1041"/>
      <c r="K430" s="1174"/>
      <c r="L430" s="1022"/>
      <c r="M430" s="1175"/>
      <c r="S430" s="504"/>
      <c r="T430" s="504"/>
      <c r="U430" s="504"/>
      <c r="V430" s="504"/>
      <c r="W430" s="504"/>
      <c r="X430" s="504"/>
      <c r="Y430" s="504"/>
      <c r="Z430" s="504"/>
      <c r="AA430" s="504"/>
      <c r="AB430" s="504"/>
      <c r="AC430" s="322"/>
      <c r="AD430" s="322"/>
      <c r="AE430" s="322"/>
    </row>
    <row r="431" spans="1:37" ht="15.75" thickBot="1" x14ac:dyDescent="0.3">
      <c r="A431" s="1138">
        <v>422</v>
      </c>
      <c r="B431" s="1138" t="s">
        <v>40</v>
      </c>
      <c r="C431" s="1037" t="s">
        <v>133</v>
      </c>
      <c r="D431" s="1168" t="s">
        <v>1453</v>
      </c>
      <c r="E431" s="1268" t="s">
        <v>316</v>
      </c>
      <c r="F431" s="1223">
        <f>Poeng!AB84</f>
        <v>1</v>
      </c>
      <c r="G431" s="1223">
        <f>IF(E431=AIS_Yes,F431,0)</f>
        <v>0</v>
      </c>
      <c r="H431" s="1057" t="s">
        <v>14</v>
      </c>
      <c r="I431" s="1018"/>
      <c r="J431" s="1041"/>
      <c r="K431" s="1174"/>
      <c r="L431" s="1022"/>
      <c r="M431" s="1175"/>
      <c r="S431" s="846">
        <v>1</v>
      </c>
      <c r="T431" s="846">
        <v>0.5</v>
      </c>
      <c r="U431" s="968">
        <v>1</v>
      </c>
      <c r="V431" s="146" t="str">
        <f t="shared" ref="V431:X432" si="4">IF($X$4=AIS_Yes,S431,AIS_NA)</f>
        <v>N/A</v>
      </c>
      <c r="W431" s="43" t="str">
        <f t="shared" si="4"/>
        <v>N/A</v>
      </c>
      <c r="X431" s="163" t="str">
        <f t="shared" si="4"/>
        <v>N/A</v>
      </c>
      <c r="Y431" s="967" t="str">
        <f>IF($E$427=0,AIS_No,IF(AND($X$4=AIS_Yes,OR(V431&lt;&gt;AIS_NA,W431&lt;&gt;AIS_NA,X431&lt;&gt;AIS_NA)),AIS_Yes,AIS_No))</f>
        <v>No</v>
      </c>
      <c r="Z431" s="146" t="e">
        <f>AIS_option01</f>
        <v>#NAME?</v>
      </c>
      <c r="AA431" s="43" t="e">
        <f>AIS_option02_50</f>
        <v>#NAME?</v>
      </c>
      <c r="AB431" s="147" t="e">
        <f>AIS_option03</f>
        <v>#NAME?</v>
      </c>
      <c r="AC431" s="966"/>
      <c r="AD431" s="965" t="str">
        <f>AIS_NA</f>
        <v>N/A</v>
      </c>
      <c r="AE431" s="962" t="str">
        <f>IF(Y431=AIS_Yes,Z431,AIS_NA)</f>
        <v>N/A</v>
      </c>
      <c r="AF431" s="962" t="str">
        <f>IF(Y431=AIS_Yes,AA431,AIS_NA)</f>
        <v>N/A</v>
      </c>
      <c r="AG431" s="964" t="str">
        <f>IF(Y431=AIS_Yes,AB431,AIS_NA)</f>
        <v>N/A</v>
      </c>
      <c r="AH431" s="963" t="str">
        <f t="shared" ref="AH431:AI432" si="5">C431</f>
        <v>Ene 05</v>
      </c>
      <c r="AI431" s="1026" t="str">
        <f t="shared" si="5"/>
        <v>Design of energy efficient cold storage</v>
      </c>
      <c r="AJ431" s="961" t="str">
        <f>H431</f>
        <v>N/A</v>
      </c>
      <c r="AK431" s="375">
        <f>IF(Y431=AIS_No,1,IF(H431=AE431,V431,IF(H431=AF431,W431,IF(H431=AG431,X431,1))))</f>
        <v>1</v>
      </c>
    </row>
    <row r="432" spans="1:37" ht="15.75" thickBot="1" x14ac:dyDescent="0.3">
      <c r="A432" s="1138">
        <v>423</v>
      </c>
      <c r="B432" s="1138" t="s">
        <v>40</v>
      </c>
      <c r="C432" s="1037" t="s">
        <v>133</v>
      </c>
      <c r="D432" s="1170" t="s">
        <v>1098</v>
      </c>
      <c r="E432" s="1275" t="s">
        <v>316</v>
      </c>
      <c r="F432" s="1227">
        <f>Poeng!AB85</f>
        <v>1</v>
      </c>
      <c r="G432" s="1227">
        <f>IF(E432=AIS_Yes,F432,0)</f>
        <v>0</v>
      </c>
      <c r="H432" s="986" t="s">
        <v>14</v>
      </c>
      <c r="I432" s="430"/>
      <c r="J432" s="430"/>
      <c r="K432" s="1174"/>
      <c r="L432" s="1022"/>
      <c r="M432" s="1175"/>
      <c r="S432" s="846">
        <v>1</v>
      </c>
      <c r="T432" s="846">
        <v>0.5</v>
      </c>
      <c r="U432" s="968">
        <v>1</v>
      </c>
      <c r="V432" s="146" t="str">
        <f t="shared" si="4"/>
        <v>N/A</v>
      </c>
      <c r="W432" s="43" t="str">
        <f t="shared" si="4"/>
        <v>N/A</v>
      </c>
      <c r="X432" s="163" t="str">
        <f t="shared" si="4"/>
        <v>N/A</v>
      </c>
      <c r="Y432" s="967" t="str">
        <f>IF($E$427=0,AIS_No,IF(AND($X$4=AIS_Yes,OR(V432&lt;&gt;AIS_NA,W432&lt;&gt;AIS_NA,X432&lt;&gt;AIS_NA)),AIS_Yes,AIS_No))</f>
        <v>No</v>
      </c>
      <c r="Z432" s="146" t="e">
        <f>AIS_option01</f>
        <v>#NAME?</v>
      </c>
      <c r="AA432" s="43" t="e">
        <f>AIS_option02_50</f>
        <v>#NAME?</v>
      </c>
      <c r="AB432" s="147" t="e">
        <f>AIS_option03</f>
        <v>#NAME?</v>
      </c>
      <c r="AC432" s="966"/>
      <c r="AD432" s="965" t="str">
        <f>AIS_NA</f>
        <v>N/A</v>
      </c>
      <c r="AE432" s="962" t="str">
        <f>IF(Y432=AIS_Yes,Z432,AIS_NA)</f>
        <v>N/A</v>
      </c>
      <c r="AF432" s="962" t="str">
        <f>IF(Y432=AIS_Yes,AA432,AIS_NA)</f>
        <v>N/A</v>
      </c>
      <c r="AG432" s="964" t="str">
        <f>IF(Y432=AIS_Yes,AB432,AIS_NA)</f>
        <v>N/A</v>
      </c>
      <c r="AH432" s="963" t="str">
        <f t="shared" si="5"/>
        <v>Ene 05</v>
      </c>
      <c r="AI432" s="1026" t="str">
        <f t="shared" si="5"/>
        <v>Indirect operational greenhouse gas emissions</v>
      </c>
      <c r="AJ432" s="961" t="str">
        <f>H432</f>
        <v>N/A</v>
      </c>
      <c r="AK432" s="375">
        <f>IF(Y432=AIS_No,1,IF(H432=AE432,V432,IF(H432=AF432,W432,IF(H432=AG432,X432,1))))</f>
        <v>1</v>
      </c>
    </row>
    <row r="433" spans="1:31" x14ac:dyDescent="0.25">
      <c r="A433" s="1138">
        <v>424</v>
      </c>
      <c r="B433" s="1138" t="s">
        <v>40</v>
      </c>
      <c r="C433" s="1037" t="s">
        <v>133</v>
      </c>
      <c r="I433" s="1018"/>
      <c r="J433" s="1041"/>
      <c r="K433" s="1174"/>
      <c r="L433" s="1022"/>
      <c r="M433" s="1175"/>
      <c r="S433" s="504"/>
      <c r="T433" s="504"/>
      <c r="U433" s="504"/>
      <c r="V433" s="504"/>
      <c r="W433" s="504"/>
      <c r="X433" s="504"/>
      <c r="Y433" s="504"/>
      <c r="Z433" s="504"/>
      <c r="AA433" s="504"/>
      <c r="AB433" s="504"/>
      <c r="AC433" s="322"/>
      <c r="AD433" s="322"/>
      <c r="AE433" s="322"/>
    </row>
    <row r="434" spans="1:31" x14ac:dyDescent="0.25">
      <c r="A434" s="1138">
        <v>425</v>
      </c>
      <c r="B434" s="1138" t="s">
        <v>40</v>
      </c>
      <c r="C434" s="1037" t="s">
        <v>133</v>
      </c>
      <c r="D434" s="958" t="s">
        <v>1012</v>
      </c>
      <c r="E434" s="1272">
        <f>G431+G432</f>
        <v>0</v>
      </c>
      <c r="I434" s="917"/>
      <c r="J434" s="1041"/>
      <c r="K434" s="1174"/>
      <c r="L434" s="1022"/>
      <c r="M434" s="1175"/>
      <c r="S434" s="504"/>
      <c r="T434" s="504"/>
      <c r="U434" s="504"/>
      <c r="V434" s="504"/>
      <c r="W434" s="504"/>
      <c r="X434" s="504"/>
      <c r="Y434" s="504"/>
      <c r="Z434" s="504"/>
      <c r="AA434" s="504"/>
      <c r="AB434" s="504"/>
      <c r="AC434" s="322"/>
      <c r="AD434" s="322"/>
      <c r="AE434" s="322"/>
    </row>
    <row r="435" spans="1:31" x14ac:dyDescent="0.25">
      <c r="A435" s="1138">
        <v>426</v>
      </c>
      <c r="B435" s="1138" t="s">
        <v>40</v>
      </c>
      <c r="C435" s="1037" t="s">
        <v>133</v>
      </c>
      <c r="D435" s="924" t="s">
        <v>77</v>
      </c>
      <c r="E435" s="1273">
        <f>Ene05_21</f>
        <v>0</v>
      </c>
      <c r="I435" s="1018"/>
      <c r="J435" s="1041"/>
      <c r="K435" s="1174"/>
      <c r="L435" s="1022"/>
      <c r="M435" s="1175"/>
      <c r="S435" s="504"/>
      <c r="T435" s="504"/>
      <c r="U435" s="504"/>
      <c r="V435" s="504"/>
      <c r="W435" s="504"/>
      <c r="X435" s="504"/>
      <c r="Y435" s="504"/>
      <c r="Z435" s="504"/>
      <c r="AA435" s="504"/>
      <c r="AB435" s="504"/>
      <c r="AC435" s="322"/>
      <c r="AD435" s="322"/>
      <c r="AE435" s="322"/>
    </row>
    <row r="436" spans="1:31" x14ac:dyDescent="0.25">
      <c r="A436" s="1138">
        <v>427</v>
      </c>
      <c r="B436" s="1138" t="s">
        <v>40</v>
      </c>
      <c r="C436" s="1037" t="s">
        <v>133</v>
      </c>
      <c r="D436" s="926" t="s">
        <v>1005</v>
      </c>
      <c r="E436" s="1272" t="s">
        <v>14</v>
      </c>
      <c r="I436" s="1018"/>
      <c r="J436" s="1041"/>
      <c r="K436" s="1174"/>
      <c r="L436" s="1022"/>
      <c r="M436" s="1175"/>
      <c r="S436" s="504"/>
      <c r="T436" s="504"/>
      <c r="U436" s="504"/>
      <c r="V436" s="504"/>
      <c r="W436" s="504"/>
      <c r="X436" s="504"/>
      <c r="Y436" s="504"/>
      <c r="Z436" s="504"/>
      <c r="AA436" s="504"/>
      <c r="AB436" s="504"/>
      <c r="AC436" s="322"/>
      <c r="AD436" s="322"/>
      <c r="AE436" s="322"/>
    </row>
    <row r="437" spans="1:31" x14ac:dyDescent="0.25">
      <c r="A437" s="1138">
        <v>428</v>
      </c>
      <c r="B437" s="1138" t="s">
        <v>40</v>
      </c>
      <c r="C437" s="1037" t="s">
        <v>133</v>
      </c>
      <c r="D437" s="923" t="s">
        <v>46</v>
      </c>
      <c r="E437" s="1306" t="s">
        <v>14</v>
      </c>
      <c r="I437" s="1018"/>
      <c r="J437" s="1041"/>
      <c r="K437" s="1174"/>
      <c r="L437" s="1022"/>
      <c r="M437" s="1175"/>
      <c r="S437" s="504"/>
      <c r="T437" s="504"/>
      <c r="U437" s="504"/>
      <c r="V437" s="504"/>
      <c r="W437" s="504"/>
      <c r="X437" s="504"/>
      <c r="Y437" s="504"/>
      <c r="Z437" s="504"/>
      <c r="AA437" s="504"/>
      <c r="AB437" s="504"/>
      <c r="AC437" s="322"/>
      <c r="AD437" s="322"/>
      <c r="AE437" s="322"/>
    </row>
    <row r="438" spans="1:31" x14ac:dyDescent="0.25">
      <c r="A438" s="1138">
        <v>429</v>
      </c>
      <c r="B438" s="1138" t="s">
        <v>40</v>
      </c>
      <c r="C438" s="1037" t="s">
        <v>133</v>
      </c>
      <c r="I438" s="1018"/>
      <c r="J438" s="1041"/>
      <c r="K438" s="1174"/>
      <c r="L438" s="1022"/>
      <c r="M438" s="1175"/>
      <c r="S438" s="504"/>
      <c r="T438" s="504"/>
      <c r="U438" s="504"/>
      <c r="V438" s="504"/>
      <c r="W438" s="504"/>
      <c r="X438" s="504"/>
      <c r="Y438" s="504"/>
      <c r="Z438" s="504"/>
      <c r="AA438" s="504"/>
      <c r="AB438" s="504"/>
      <c r="AC438" s="322"/>
      <c r="AD438" s="322"/>
      <c r="AE438" s="322"/>
    </row>
    <row r="439" spans="1:31" x14ac:dyDescent="0.25">
      <c r="A439" s="1138">
        <v>430</v>
      </c>
      <c r="B439" s="1138" t="s">
        <v>40</v>
      </c>
      <c r="C439" s="1037" t="s">
        <v>133</v>
      </c>
      <c r="D439" s="920" t="s">
        <v>1004</v>
      </c>
      <c r="E439" s="920" t="s">
        <v>1003</v>
      </c>
      <c r="F439" s="920" t="str">
        <f>HLOOKUP(C439,'Assessment References'!$H$512:$BG$513,2,FALSE)</f>
        <v/>
      </c>
      <c r="G439" s="919"/>
      <c r="H439" s="918"/>
      <c r="I439" s="1018"/>
      <c r="J439" s="1041"/>
      <c r="K439" s="1174"/>
      <c r="L439" s="1022"/>
      <c r="M439" s="1175"/>
      <c r="S439" s="504"/>
      <c r="T439" s="504"/>
      <c r="U439" s="504"/>
      <c r="V439" s="504"/>
      <c r="W439" s="504"/>
      <c r="X439" s="504"/>
      <c r="Y439" s="504"/>
      <c r="Z439" s="504"/>
      <c r="AA439" s="504"/>
      <c r="AB439" s="504"/>
      <c r="AC439" s="322"/>
      <c r="AD439" s="322"/>
      <c r="AE439" s="322"/>
    </row>
    <row r="440" spans="1:31" x14ac:dyDescent="0.25">
      <c r="A440" s="1138">
        <v>431</v>
      </c>
      <c r="B440" s="1138" t="s">
        <v>40</v>
      </c>
      <c r="C440" s="1037" t="s">
        <v>133</v>
      </c>
      <c r="D440" s="1539"/>
      <c r="E440" s="1540"/>
      <c r="F440" s="1540"/>
      <c r="G440" s="1540"/>
      <c r="H440" s="1541"/>
      <c r="I440" s="1018"/>
      <c r="J440" s="1041"/>
      <c r="K440" s="1174"/>
      <c r="L440" s="1022"/>
      <c r="M440" s="1175"/>
      <c r="S440" s="504"/>
      <c r="T440" s="504"/>
      <c r="U440" s="504"/>
      <c r="V440" s="504"/>
      <c r="W440" s="504"/>
      <c r="X440" s="504"/>
      <c r="Y440" s="504"/>
      <c r="Z440" s="504"/>
      <c r="AA440" s="504"/>
      <c r="AB440" s="504"/>
      <c r="AC440" s="322"/>
      <c r="AD440" s="322"/>
      <c r="AE440" s="322"/>
    </row>
    <row r="441" spans="1:31" x14ac:dyDescent="0.25">
      <c r="A441" s="1138">
        <v>432</v>
      </c>
      <c r="B441" s="1138" t="s">
        <v>40</v>
      </c>
      <c r="C441" s="1037" t="s">
        <v>133</v>
      </c>
      <c r="D441" s="1530"/>
      <c r="E441" s="1531"/>
      <c r="F441" s="1531"/>
      <c r="G441" s="1531"/>
      <c r="H441" s="1532"/>
      <c r="I441" s="1018"/>
      <c r="J441" s="1041"/>
      <c r="K441" s="1174"/>
      <c r="L441" s="1022"/>
      <c r="M441" s="1175"/>
      <c r="S441" s="504"/>
      <c r="T441" s="504"/>
      <c r="U441" s="504"/>
      <c r="V441" s="504"/>
      <c r="W441" s="504"/>
      <c r="X441" s="504"/>
      <c r="Y441" s="504"/>
      <c r="Z441" s="504"/>
      <c r="AA441" s="504"/>
      <c r="AB441" s="504"/>
      <c r="AC441" s="322"/>
      <c r="AD441" s="322"/>
      <c r="AE441" s="322"/>
    </row>
    <row r="442" spans="1:31" x14ac:dyDescent="0.25">
      <c r="A442" s="1138">
        <v>433</v>
      </c>
      <c r="B442" s="1138" t="s">
        <v>40</v>
      </c>
      <c r="C442" s="1037" t="s">
        <v>133</v>
      </c>
      <c r="D442" s="1530"/>
      <c r="E442" s="1531"/>
      <c r="F442" s="1531"/>
      <c r="G442" s="1531"/>
      <c r="H442" s="1532"/>
      <c r="I442" s="1018"/>
      <c r="J442" s="1041"/>
      <c r="K442" s="1174"/>
      <c r="L442" s="1022"/>
      <c r="M442" s="1175"/>
      <c r="S442" s="504"/>
      <c r="T442" s="504"/>
      <c r="U442" s="504"/>
      <c r="V442" s="504"/>
      <c r="W442" s="504"/>
      <c r="X442" s="504"/>
      <c r="Y442" s="504"/>
      <c r="Z442" s="504"/>
      <c r="AA442" s="504"/>
      <c r="AB442" s="504"/>
      <c r="AC442" s="322"/>
      <c r="AD442" s="322"/>
      <c r="AE442" s="322"/>
    </row>
    <row r="443" spans="1:31" x14ac:dyDescent="0.25">
      <c r="A443" s="1138">
        <v>434</v>
      </c>
      <c r="B443" s="1138" t="s">
        <v>40</v>
      </c>
      <c r="C443" s="1037" t="s">
        <v>133</v>
      </c>
      <c r="D443" s="1533"/>
      <c r="E443" s="1534"/>
      <c r="F443" s="1534"/>
      <c r="G443" s="1534"/>
      <c r="H443" s="1535"/>
      <c r="I443" s="1018"/>
      <c r="J443" s="1041"/>
      <c r="K443" s="1174"/>
      <c r="L443" s="1022"/>
      <c r="M443" s="1175"/>
      <c r="S443" s="504"/>
      <c r="T443" s="504"/>
      <c r="U443" s="504"/>
      <c r="V443" s="504"/>
      <c r="W443" s="504"/>
      <c r="X443" s="504"/>
      <c r="Y443" s="504"/>
      <c r="Z443" s="504"/>
      <c r="AA443" s="504"/>
      <c r="AB443" s="504"/>
      <c r="AC443" s="322"/>
      <c r="AD443" s="322"/>
      <c r="AE443" s="322"/>
    </row>
    <row r="444" spans="1:31" x14ac:dyDescent="0.25">
      <c r="A444" s="1138">
        <v>435</v>
      </c>
      <c r="B444" s="1138" t="s">
        <v>40</v>
      </c>
      <c r="C444" s="1037" t="s">
        <v>133</v>
      </c>
      <c r="D444" s="1533"/>
      <c r="E444" s="1534"/>
      <c r="F444" s="1534"/>
      <c r="G444" s="1534"/>
      <c r="H444" s="1535"/>
      <c r="I444" s="1018"/>
      <c r="J444" s="1041"/>
      <c r="K444" s="1174"/>
      <c r="L444" s="1022"/>
      <c r="M444" s="1175"/>
      <c r="S444" s="504"/>
      <c r="T444" s="504"/>
      <c r="U444" s="504"/>
      <c r="V444" s="504"/>
      <c r="W444" s="504"/>
      <c r="X444" s="504"/>
      <c r="Y444" s="504"/>
      <c r="Z444" s="504"/>
      <c r="AA444" s="504"/>
      <c r="AB444" s="504"/>
      <c r="AC444" s="322"/>
      <c r="AD444" s="322"/>
      <c r="AE444" s="322"/>
    </row>
    <row r="445" spans="1:31" x14ac:dyDescent="0.25">
      <c r="A445" s="1138">
        <v>436</v>
      </c>
      <c r="B445" s="1138" t="s">
        <v>40</v>
      </c>
      <c r="C445" s="1037" t="s">
        <v>133</v>
      </c>
      <c r="D445" s="1536"/>
      <c r="E445" s="1537"/>
      <c r="F445" s="1537"/>
      <c r="G445" s="1537"/>
      <c r="H445" s="1538"/>
      <c r="I445" s="1018"/>
      <c r="J445" s="1041"/>
      <c r="K445" s="1174"/>
      <c r="L445" s="1022"/>
      <c r="M445" s="1175"/>
      <c r="S445" s="504"/>
      <c r="T445" s="504"/>
      <c r="U445" s="504"/>
      <c r="V445" s="504"/>
      <c r="W445" s="504"/>
      <c r="X445" s="504"/>
      <c r="Y445" s="504"/>
      <c r="Z445" s="504"/>
      <c r="AA445" s="504"/>
      <c r="AB445" s="504"/>
      <c r="AC445" s="322"/>
      <c r="AD445" s="322"/>
      <c r="AE445" s="322"/>
    </row>
    <row r="446" spans="1:31" x14ac:dyDescent="0.25">
      <c r="A446" s="1138">
        <v>437</v>
      </c>
      <c r="B446" s="1138" t="s">
        <v>40</v>
      </c>
      <c r="C446" s="1037" t="s">
        <v>133</v>
      </c>
      <c r="D446" s="1040"/>
      <c r="E446" s="1039"/>
      <c r="F446" s="1039"/>
      <c r="G446" s="1039"/>
      <c r="H446" s="1039"/>
      <c r="I446" s="1018"/>
      <c r="J446" s="1041"/>
      <c r="K446" s="1174"/>
      <c r="L446" s="1022"/>
      <c r="M446" s="1175"/>
      <c r="S446" s="504"/>
      <c r="T446" s="504"/>
      <c r="U446" s="504"/>
      <c r="V446" s="504"/>
      <c r="W446" s="504"/>
      <c r="X446" s="504"/>
      <c r="Y446" s="504"/>
      <c r="Z446" s="504"/>
      <c r="AA446" s="504"/>
      <c r="AB446" s="504"/>
      <c r="AC446" s="322"/>
      <c r="AD446" s="322"/>
      <c r="AE446" s="322"/>
    </row>
    <row r="447" spans="1:31" x14ac:dyDescent="0.25">
      <c r="A447" s="1138">
        <v>438</v>
      </c>
      <c r="B447" s="1140" t="s">
        <v>40</v>
      </c>
      <c r="C447" s="1012" t="s">
        <v>134</v>
      </c>
      <c r="D447" s="1051" t="s">
        <v>339</v>
      </c>
      <c r="E447" s="1011"/>
      <c r="F447" s="1011"/>
      <c r="G447" s="1010"/>
      <c r="H447" s="1308"/>
      <c r="I447" s="430"/>
      <c r="J447" s="430"/>
      <c r="K447" s="1174" t="str" cm="1">
        <f t="array" ref="K447">IF(Ene06_credits=AIS_credit00,AIS_statement32,"")</f>
        <v/>
      </c>
      <c r="L447" s="1022"/>
      <c r="M447" s="1175"/>
      <c r="S447" s="504"/>
      <c r="T447" s="504"/>
      <c r="U447" s="504"/>
      <c r="V447" s="504"/>
      <c r="W447" s="504"/>
      <c r="X447" s="504"/>
      <c r="Y447" s="504"/>
      <c r="Z447" s="504"/>
      <c r="AA447" s="504"/>
      <c r="AB447" s="504"/>
      <c r="AC447" s="322"/>
      <c r="AD447" s="322"/>
      <c r="AE447" s="322"/>
    </row>
    <row r="448" spans="1:31" x14ac:dyDescent="0.25">
      <c r="A448" s="1138">
        <v>439</v>
      </c>
      <c r="B448" s="1138" t="s">
        <v>40</v>
      </c>
      <c r="C448" s="1037" t="s">
        <v>134</v>
      </c>
      <c r="D448" s="946" t="s">
        <v>15</v>
      </c>
      <c r="E448" s="1264">
        <f>Ene06_credits</f>
        <v>3</v>
      </c>
      <c r="F448" s="945"/>
      <c r="G448" s="944" t="s">
        <v>76</v>
      </c>
      <c r="H448" s="1266">
        <f>Ene06_11</f>
        <v>1.5555555555555559E-2</v>
      </c>
      <c r="I448" s="1018"/>
      <c r="J448" s="1432" t="s">
        <v>209</v>
      </c>
      <c r="K448" s="1174"/>
      <c r="L448" s="1022"/>
      <c r="M448" s="1175"/>
      <c r="S448" s="504"/>
      <c r="T448" s="504"/>
      <c r="U448" s="504"/>
      <c r="V448" s="504"/>
      <c r="W448" s="504"/>
      <c r="X448" s="504"/>
      <c r="Y448" s="504"/>
      <c r="Z448" s="504"/>
      <c r="AA448" s="504"/>
      <c r="AB448" s="504"/>
      <c r="AC448" s="322"/>
      <c r="AD448" s="322"/>
      <c r="AE448" s="322"/>
    </row>
    <row r="449" spans="1:37" x14ac:dyDescent="0.25">
      <c r="A449" s="1138">
        <v>440</v>
      </c>
      <c r="B449" s="1138" t="s">
        <v>40</v>
      </c>
      <c r="C449" s="1037" t="s">
        <v>134</v>
      </c>
      <c r="D449" s="972" t="s">
        <v>1011</v>
      </c>
      <c r="E449" s="1265">
        <v>0</v>
      </c>
      <c r="F449" s="941"/>
      <c r="G449" s="940" t="s">
        <v>1010</v>
      </c>
      <c r="H449" s="1267" t="s">
        <v>13</v>
      </c>
      <c r="I449" s="1018"/>
      <c r="J449" s="1432" t="s">
        <v>209</v>
      </c>
      <c r="K449" s="1174"/>
      <c r="L449" s="1022"/>
      <c r="M449" s="1175"/>
      <c r="S449" s="504"/>
      <c r="T449" s="504"/>
      <c r="U449" s="504"/>
      <c r="V449" s="504"/>
      <c r="W449" s="504"/>
      <c r="X449" s="504"/>
      <c r="Y449" s="504"/>
      <c r="Z449" s="504"/>
      <c r="AA449" s="504"/>
      <c r="AB449" s="504"/>
      <c r="AC449" s="322"/>
      <c r="AD449" s="322"/>
      <c r="AE449" s="322"/>
    </row>
    <row r="450" spans="1:37" x14ac:dyDescent="0.25">
      <c r="A450" s="1138">
        <v>441</v>
      </c>
      <c r="B450" s="1138" t="s">
        <v>40</v>
      </c>
      <c r="C450" s="1037" t="s">
        <v>134</v>
      </c>
      <c r="I450" s="1018"/>
      <c r="J450" s="1432" t="s">
        <v>209</v>
      </c>
      <c r="K450" s="1174"/>
      <c r="L450" s="1022"/>
      <c r="M450" s="1175"/>
      <c r="S450" s="504"/>
      <c r="T450" s="504"/>
      <c r="U450" s="504"/>
      <c r="V450" s="504"/>
      <c r="W450" s="504"/>
      <c r="X450" s="504"/>
      <c r="Y450" s="504"/>
      <c r="Z450" s="504"/>
      <c r="AA450" s="504"/>
      <c r="AB450" s="504"/>
      <c r="AC450" s="322"/>
      <c r="AD450" s="322"/>
      <c r="AE450" s="322"/>
    </row>
    <row r="451" spans="1:37" ht="15.75" thickBot="1" x14ac:dyDescent="0.3">
      <c r="A451" s="1138">
        <v>442</v>
      </c>
      <c r="B451" s="1138" t="s">
        <v>40</v>
      </c>
      <c r="C451" s="1037" t="s">
        <v>134</v>
      </c>
      <c r="D451" s="938" t="s">
        <v>1009</v>
      </c>
      <c r="E451" s="937" t="s">
        <v>1008</v>
      </c>
      <c r="F451" s="937" t="s">
        <v>1007</v>
      </c>
      <c r="G451" s="937" t="s">
        <v>1006</v>
      </c>
      <c r="H451" s="937" t="s">
        <v>1014</v>
      </c>
      <c r="I451" s="1018"/>
      <c r="J451" s="1432" t="s">
        <v>209</v>
      </c>
      <c r="K451" s="1174"/>
      <c r="L451" s="1022"/>
      <c r="M451" s="1175"/>
      <c r="S451" s="504"/>
      <c r="T451" s="504"/>
      <c r="U451" s="504"/>
      <c r="V451" s="504"/>
      <c r="W451" s="504"/>
      <c r="X451" s="504"/>
      <c r="Y451" s="504"/>
      <c r="Z451" s="504"/>
      <c r="AA451" s="504"/>
      <c r="AB451" s="504"/>
      <c r="AC451" s="322"/>
      <c r="AD451" s="322"/>
      <c r="AE451" s="322"/>
    </row>
    <row r="452" spans="1:37" ht="15.75" thickBot="1" x14ac:dyDescent="0.3">
      <c r="A452" s="1138">
        <v>443</v>
      </c>
      <c r="B452" s="1138" t="s">
        <v>40</v>
      </c>
      <c r="C452" s="1037" t="s">
        <v>134</v>
      </c>
      <c r="D452" s="1168" t="str">
        <f>Poeng!E87</f>
        <v>Transport needs and usage patterns</v>
      </c>
      <c r="E452" s="1268" t="s">
        <v>316</v>
      </c>
      <c r="F452" s="1223">
        <f>Poeng!AB87</f>
        <v>1</v>
      </c>
      <c r="G452" s="1223">
        <f>IF(E452=AIS_Yes,F452,0)</f>
        <v>0</v>
      </c>
      <c r="H452" s="1057" t="s">
        <v>14</v>
      </c>
      <c r="I452" s="1018"/>
      <c r="J452" s="1432" t="s">
        <v>209</v>
      </c>
      <c r="K452" s="1174"/>
      <c r="L452" s="1022"/>
      <c r="M452" s="1175"/>
      <c r="S452" s="846">
        <v>1</v>
      </c>
      <c r="T452" s="846">
        <v>0</v>
      </c>
      <c r="U452" s="968">
        <v>1</v>
      </c>
      <c r="V452" s="146" t="str">
        <f>IF($X$4=AIS_Yes,S452,AIS_NA)</f>
        <v>N/A</v>
      </c>
      <c r="W452" s="43" t="str">
        <f>IF($X$4=AIS_Yes,T452,AIS_NA)</f>
        <v>N/A</v>
      </c>
      <c r="X452" s="163" t="str">
        <f>IF($X$4=AIS_Yes,U452,AIS_NA)</f>
        <v>N/A</v>
      </c>
      <c r="Y452" s="967" t="str">
        <f>IF(AND($X$4=AIS_Yes,OR(V452&lt;&gt;AIS_NA,W452&lt;&gt;AIS_NA,X452&lt;&gt;AIS_NA)),AIS_Yes,AIS_No)</f>
        <v>No</v>
      </c>
      <c r="Z452" s="146" t="e">
        <f>AIS_option01</f>
        <v>#NAME?</v>
      </c>
      <c r="AA452" s="43" t="e">
        <f>AIS_option02a</f>
        <v>#NAME?</v>
      </c>
      <c r="AB452" s="147" t="e">
        <f>AIS_option03</f>
        <v>#NAME?</v>
      </c>
      <c r="AC452" s="966"/>
      <c r="AD452" s="965" t="str">
        <f>AIS_NA</f>
        <v>N/A</v>
      </c>
      <c r="AE452" s="962" t="str">
        <f>IF(Y452=AIS_Yes,Z452,AIS_NA)</f>
        <v>N/A</v>
      </c>
      <c r="AF452" s="962" t="str">
        <f>IF(Y452=AIS_Yes,AA452,AIS_NA)</f>
        <v>N/A</v>
      </c>
      <c r="AG452" s="964" t="str">
        <f>IF(Y452=AIS_Yes,AB452,AIS_NA)</f>
        <v>N/A</v>
      </c>
      <c r="AH452" s="963" t="str">
        <f>C452</f>
        <v>Ene 06</v>
      </c>
      <c r="AI452" s="1026" t="str">
        <f>D452</f>
        <v>Transport needs and usage patterns</v>
      </c>
      <c r="AJ452" s="961" t="str">
        <f>H452</f>
        <v>N/A</v>
      </c>
      <c r="AK452" s="375">
        <f>IF(Y452=AIS_No,1,IF(H452=AE452,V452,IF(H452=AF452,W452,IF(H452=AG452,X452,1))))</f>
        <v>1</v>
      </c>
    </row>
    <row r="453" spans="1:37" ht="15.75" thickBot="1" x14ac:dyDescent="0.3">
      <c r="A453" s="1138">
        <v>444</v>
      </c>
      <c r="B453" s="1138" t="s">
        <v>40</v>
      </c>
      <c r="C453" s="1037" t="s">
        <v>134</v>
      </c>
      <c r="D453" s="1296" t="str">
        <f>Poeng!E88</f>
        <v>Energy efficient features: lifts</v>
      </c>
      <c r="E453" s="1271" t="s">
        <v>316</v>
      </c>
      <c r="F453" s="1274">
        <f>Poeng!AB88</f>
        <v>1</v>
      </c>
      <c r="G453" s="1270">
        <f>IF(E453=AIS_Yes,F453,0)</f>
        <v>0</v>
      </c>
      <c r="H453" s="987" t="s">
        <v>14</v>
      </c>
      <c r="I453" s="1018"/>
      <c r="J453" s="1432" t="s">
        <v>209</v>
      </c>
      <c r="K453" s="1174"/>
      <c r="L453" s="1022"/>
      <c r="M453" s="1175"/>
      <c r="S453" s="846"/>
      <c r="T453" s="846"/>
      <c r="U453" s="968"/>
      <c r="V453" s="146"/>
      <c r="W453" s="43"/>
      <c r="X453" s="163"/>
      <c r="Y453" s="967"/>
      <c r="Z453" s="146"/>
      <c r="AA453" s="43"/>
      <c r="AB453" s="147"/>
      <c r="AC453" s="966"/>
      <c r="AD453" s="965"/>
      <c r="AE453" s="962"/>
      <c r="AF453" s="962"/>
      <c r="AG453" s="964"/>
      <c r="AH453" s="963"/>
      <c r="AI453" s="1026"/>
      <c r="AJ453" s="961"/>
    </row>
    <row r="454" spans="1:37" ht="15.75" thickBot="1" x14ac:dyDescent="0.3">
      <c r="A454" s="1138">
        <v>445</v>
      </c>
      <c r="B454" s="1138" t="s">
        <v>40</v>
      </c>
      <c r="C454" s="1037" t="s">
        <v>134</v>
      </c>
      <c r="D454" s="1170" t="str">
        <f>Poeng!E89</f>
        <v>Energy efficient features: escalators or moving walks</v>
      </c>
      <c r="E454" s="1275" t="s">
        <v>316</v>
      </c>
      <c r="F454" s="1227">
        <f>Poeng!AB89</f>
        <v>1</v>
      </c>
      <c r="G454" s="1227">
        <f>IF(E454=AIS_Yes,F454,0)</f>
        <v>0</v>
      </c>
      <c r="H454" s="986" t="s">
        <v>14</v>
      </c>
      <c r="I454" s="430"/>
      <c r="J454" s="1432" t="s">
        <v>209</v>
      </c>
      <c r="K454" s="1174"/>
      <c r="L454" s="1022"/>
      <c r="M454" s="1175"/>
      <c r="S454" s="846">
        <v>1</v>
      </c>
      <c r="T454" s="846">
        <v>0</v>
      </c>
      <c r="U454" s="968">
        <v>1</v>
      </c>
      <c r="V454" s="146" t="str">
        <f>IF($X$4=AIS_Yes,S454,AIS_NA)</f>
        <v>N/A</v>
      </c>
      <c r="W454" s="43" t="str">
        <f>IF($X$4=AIS_Yes,T454,AIS_NA)</f>
        <v>N/A</v>
      </c>
      <c r="X454" s="163" t="str">
        <f>IF($X$4=AIS_Yes,U454,AIS_NA)</f>
        <v>N/A</v>
      </c>
      <c r="Y454" s="967" t="str">
        <f>IF(AND($X$4=AIS_Yes,OR(V454&lt;&gt;AIS_NA,W454&lt;&gt;AIS_NA,X454&lt;&gt;AIS_NA)),AIS_Yes,AIS_No)</f>
        <v>No</v>
      </c>
      <c r="Z454" s="146" t="e">
        <f>AIS_option01</f>
        <v>#NAME?</v>
      </c>
      <c r="AA454" s="43" t="e">
        <f>AIS_option02a</f>
        <v>#NAME?</v>
      </c>
      <c r="AB454" s="147" t="e">
        <f>AIS_option03</f>
        <v>#NAME?</v>
      </c>
      <c r="AC454" s="966"/>
      <c r="AD454" s="965" t="str">
        <f>AIS_NA</f>
        <v>N/A</v>
      </c>
      <c r="AE454" s="962" t="str">
        <f>IF(Y454=AIS_Yes,Z454,AIS_NA)</f>
        <v>N/A</v>
      </c>
      <c r="AF454" s="962" t="str">
        <f>IF(Y454=AIS_Yes,AA454,AIS_NA)</f>
        <v>N/A</v>
      </c>
      <c r="AG454" s="964" t="str">
        <f>IF(Y454=AIS_Yes,AB454,AIS_NA)</f>
        <v>N/A</v>
      </c>
      <c r="AH454" s="963" t="str">
        <f>C454</f>
        <v>Ene 06</v>
      </c>
      <c r="AI454" s="1026" t="str">
        <f>D454</f>
        <v>Energy efficient features: escalators or moving walks</v>
      </c>
      <c r="AJ454" s="961" t="str">
        <f>H454</f>
        <v>N/A</v>
      </c>
      <c r="AK454" s="375">
        <f>IF(Y454=AIS_No,1,IF(H454=AE454,V454,IF(H454=AF454,W454,IF(H454=AG454,X454,1))))</f>
        <v>1</v>
      </c>
    </row>
    <row r="455" spans="1:37" x14ac:dyDescent="0.25">
      <c r="A455" s="1138">
        <v>446</v>
      </c>
      <c r="B455" s="1138" t="s">
        <v>40</v>
      </c>
      <c r="C455" s="1037" t="s">
        <v>134</v>
      </c>
      <c r="I455" s="1018"/>
      <c r="J455" s="1432" t="s">
        <v>209</v>
      </c>
      <c r="K455" s="1174"/>
      <c r="L455" s="1022"/>
      <c r="M455" s="1175"/>
      <c r="S455" s="504"/>
      <c r="T455" s="504"/>
      <c r="U455" s="504"/>
      <c r="V455" s="504"/>
      <c r="W455" s="504"/>
      <c r="X455" s="504"/>
      <c r="Y455" s="504"/>
      <c r="Z455" s="504"/>
      <c r="AA455" s="504"/>
      <c r="AB455" s="504"/>
      <c r="AC455" s="322"/>
      <c r="AD455" s="322"/>
      <c r="AE455" s="322"/>
    </row>
    <row r="456" spans="1:37" x14ac:dyDescent="0.25">
      <c r="A456" s="1138">
        <v>447</v>
      </c>
      <c r="B456" s="1138" t="s">
        <v>40</v>
      </c>
      <c r="C456" s="1037" t="s">
        <v>134</v>
      </c>
      <c r="D456" s="958" t="s">
        <v>1012</v>
      </c>
      <c r="E456" s="1272">
        <f>G452+G453+G454</f>
        <v>0</v>
      </c>
      <c r="I456" s="917"/>
      <c r="J456" s="1432" t="s">
        <v>209</v>
      </c>
      <c r="K456" s="1174"/>
      <c r="L456" s="1022"/>
      <c r="M456" s="1175"/>
      <c r="S456" s="504"/>
      <c r="T456" s="504"/>
      <c r="U456" s="504"/>
      <c r="V456" s="504"/>
      <c r="W456" s="504"/>
      <c r="X456" s="504"/>
      <c r="Y456" s="504"/>
      <c r="Z456" s="504"/>
      <c r="AA456" s="504"/>
      <c r="AB456" s="504"/>
      <c r="AC456" s="322"/>
      <c r="AD456" s="322"/>
      <c r="AE456" s="322"/>
    </row>
    <row r="457" spans="1:37" x14ac:dyDescent="0.25">
      <c r="A457" s="1138">
        <v>448</v>
      </c>
      <c r="B457" s="1138" t="s">
        <v>40</v>
      </c>
      <c r="C457" s="1037" t="s">
        <v>134</v>
      </c>
      <c r="D457" s="924" t="s">
        <v>77</v>
      </c>
      <c r="E457" s="1273">
        <f>Ene06_12</f>
        <v>0</v>
      </c>
      <c r="I457" s="1018"/>
      <c r="J457" s="1432" t="s">
        <v>209</v>
      </c>
      <c r="K457" s="1174"/>
      <c r="L457" s="1022"/>
      <c r="M457" s="1175"/>
      <c r="S457" s="504"/>
      <c r="T457" s="504"/>
      <c r="U457" s="504"/>
      <c r="V457" s="504"/>
      <c r="W457" s="504"/>
      <c r="X457" s="504"/>
      <c r="Y457" s="504"/>
      <c r="Z457" s="504"/>
      <c r="AA457" s="504"/>
      <c r="AB457" s="504"/>
      <c r="AC457" s="322"/>
      <c r="AD457" s="322"/>
      <c r="AE457" s="322"/>
    </row>
    <row r="458" spans="1:37" x14ac:dyDescent="0.25">
      <c r="A458" s="1138">
        <v>449</v>
      </c>
      <c r="B458" s="1138" t="s">
        <v>40</v>
      </c>
      <c r="C458" s="1037" t="s">
        <v>134</v>
      </c>
      <c r="D458" s="926" t="s">
        <v>1005</v>
      </c>
      <c r="E458" s="1272" t="s">
        <v>14</v>
      </c>
      <c r="I458" s="1018"/>
      <c r="J458" s="1432" t="s">
        <v>209</v>
      </c>
      <c r="K458" s="1174"/>
      <c r="L458" s="1022"/>
      <c r="M458" s="1175"/>
      <c r="S458" s="504"/>
      <c r="T458" s="504"/>
      <c r="U458" s="504"/>
      <c r="V458" s="504"/>
      <c r="W458" s="504"/>
      <c r="X458" s="504"/>
      <c r="Y458" s="504"/>
      <c r="Z458" s="504"/>
      <c r="AA458" s="504"/>
      <c r="AB458" s="504"/>
      <c r="AC458" s="322"/>
      <c r="AD458" s="322"/>
      <c r="AE458" s="322"/>
    </row>
    <row r="459" spans="1:37" x14ac:dyDescent="0.25">
      <c r="A459" s="1138">
        <v>450</v>
      </c>
      <c r="B459" s="1138" t="s">
        <v>40</v>
      </c>
      <c r="C459" s="1037" t="s">
        <v>134</v>
      </c>
      <c r="D459" s="923" t="s">
        <v>46</v>
      </c>
      <c r="E459" s="1290" t="s">
        <v>14</v>
      </c>
      <c r="I459" s="1018"/>
      <c r="J459" s="1432" t="s">
        <v>209</v>
      </c>
      <c r="K459" s="1174"/>
      <c r="L459" s="1022"/>
      <c r="M459" s="1175"/>
      <c r="S459" s="504"/>
      <c r="T459" s="504"/>
      <c r="U459" s="504"/>
      <c r="V459" s="504"/>
      <c r="W459" s="504"/>
      <c r="X459" s="504"/>
      <c r="Y459" s="504"/>
      <c r="Z459" s="504"/>
      <c r="AA459" s="504"/>
      <c r="AB459" s="504"/>
      <c r="AC459" s="322"/>
      <c r="AD459" s="322"/>
      <c r="AE459" s="322"/>
    </row>
    <row r="460" spans="1:37" x14ac:dyDescent="0.25">
      <c r="A460" s="1138">
        <v>451</v>
      </c>
      <c r="B460" s="1138" t="s">
        <v>40</v>
      </c>
      <c r="C460" s="1037" t="s">
        <v>134</v>
      </c>
      <c r="I460" s="1018"/>
      <c r="J460" s="1432" t="s">
        <v>209</v>
      </c>
      <c r="K460" s="1174"/>
      <c r="L460" s="1022"/>
      <c r="M460" s="1175"/>
      <c r="S460" s="504"/>
      <c r="T460" s="504"/>
      <c r="U460" s="504"/>
      <c r="V460" s="504"/>
      <c r="W460" s="504"/>
      <c r="X460" s="504"/>
      <c r="Y460" s="504"/>
      <c r="Z460" s="504"/>
      <c r="AA460" s="504"/>
      <c r="AB460" s="504"/>
      <c r="AC460" s="322"/>
      <c r="AD460" s="322"/>
      <c r="AE460" s="322"/>
    </row>
    <row r="461" spans="1:37" x14ac:dyDescent="0.25">
      <c r="A461" s="1138">
        <v>452</v>
      </c>
      <c r="B461" s="1138" t="s">
        <v>40</v>
      </c>
      <c r="C461" s="1037" t="s">
        <v>134</v>
      </c>
      <c r="D461" s="920" t="s">
        <v>1004</v>
      </c>
      <c r="E461" s="920" t="s">
        <v>1003</v>
      </c>
      <c r="F461" s="920" t="str">
        <f>HLOOKUP(C461,'Assessment References'!$H$512:$BG$513,2,FALSE)</f>
        <v/>
      </c>
      <c r="G461" s="919"/>
      <c r="H461" s="918"/>
      <c r="I461" s="1018"/>
      <c r="J461" s="1432" t="s">
        <v>209</v>
      </c>
      <c r="K461" s="1174"/>
      <c r="L461" s="1022"/>
      <c r="M461" s="1175"/>
      <c r="S461" s="504"/>
      <c r="T461" s="504"/>
      <c r="U461" s="504"/>
      <c r="V461" s="504"/>
      <c r="W461" s="504"/>
      <c r="X461" s="504"/>
      <c r="Y461" s="504"/>
      <c r="Z461" s="504"/>
      <c r="AA461" s="504"/>
      <c r="AB461" s="504"/>
      <c r="AC461" s="322"/>
      <c r="AD461" s="322"/>
      <c r="AE461" s="322"/>
    </row>
    <row r="462" spans="1:37" x14ac:dyDescent="0.25">
      <c r="A462" s="1138">
        <v>453</v>
      </c>
      <c r="B462" s="1138" t="s">
        <v>40</v>
      </c>
      <c r="C462" s="1037" t="s">
        <v>134</v>
      </c>
      <c r="D462" s="1539"/>
      <c r="E462" s="1540"/>
      <c r="F462" s="1540"/>
      <c r="G462" s="1540"/>
      <c r="H462" s="1541"/>
      <c r="I462" s="1018"/>
      <c r="J462" s="1432" t="s">
        <v>209</v>
      </c>
      <c r="K462" s="1174"/>
      <c r="L462" s="1022"/>
      <c r="M462" s="1175"/>
      <c r="S462" s="504"/>
      <c r="T462" s="504"/>
      <c r="U462" s="504"/>
      <c r="V462" s="504"/>
      <c r="W462" s="504"/>
      <c r="X462" s="504"/>
      <c r="Y462" s="504"/>
      <c r="Z462" s="504"/>
      <c r="AA462" s="504"/>
      <c r="AB462" s="504"/>
      <c r="AC462" s="322"/>
      <c r="AD462" s="322"/>
      <c r="AE462" s="322"/>
    </row>
    <row r="463" spans="1:37" x14ac:dyDescent="0.25">
      <c r="A463" s="1138">
        <v>454</v>
      </c>
      <c r="B463" s="1138" t="s">
        <v>40</v>
      </c>
      <c r="C463" s="1037" t="s">
        <v>134</v>
      </c>
      <c r="D463" s="1530"/>
      <c r="E463" s="1531"/>
      <c r="F463" s="1531"/>
      <c r="G463" s="1531"/>
      <c r="H463" s="1532"/>
      <c r="I463" s="1018"/>
      <c r="J463" s="1432" t="s">
        <v>209</v>
      </c>
      <c r="K463" s="1174"/>
      <c r="L463" s="1022"/>
      <c r="M463" s="1175"/>
      <c r="S463" s="504"/>
      <c r="T463" s="504"/>
      <c r="U463" s="504"/>
      <c r="V463" s="504"/>
      <c r="W463" s="504"/>
      <c r="X463" s="504"/>
      <c r="Y463" s="504"/>
      <c r="Z463" s="504"/>
      <c r="AA463" s="504"/>
      <c r="AB463" s="504"/>
      <c r="AC463" s="322"/>
      <c r="AD463" s="322"/>
      <c r="AE463" s="322"/>
    </row>
    <row r="464" spans="1:37" x14ac:dyDescent="0.25">
      <c r="A464" s="1138">
        <v>455</v>
      </c>
      <c r="B464" s="1138" t="s">
        <v>40</v>
      </c>
      <c r="C464" s="1037" t="s">
        <v>134</v>
      </c>
      <c r="D464" s="1530"/>
      <c r="E464" s="1531"/>
      <c r="F464" s="1531"/>
      <c r="G464" s="1531"/>
      <c r="H464" s="1532"/>
      <c r="I464" s="1018"/>
      <c r="J464" s="1432" t="s">
        <v>209</v>
      </c>
      <c r="K464" s="1174"/>
      <c r="L464" s="1022"/>
      <c r="M464" s="1175"/>
      <c r="S464" s="504"/>
      <c r="T464" s="504"/>
      <c r="U464" s="504"/>
      <c r="V464" s="504"/>
      <c r="W464" s="504"/>
      <c r="X464" s="504"/>
      <c r="Y464" s="504"/>
      <c r="Z464" s="504"/>
      <c r="AA464" s="504"/>
      <c r="AB464" s="504"/>
      <c r="AC464" s="322"/>
      <c r="AD464" s="322"/>
      <c r="AE464" s="322"/>
    </row>
    <row r="465" spans="1:31" x14ac:dyDescent="0.25">
      <c r="A465" s="1138">
        <v>456</v>
      </c>
      <c r="B465" s="1138" t="s">
        <v>40</v>
      </c>
      <c r="C465" s="1037" t="s">
        <v>134</v>
      </c>
      <c r="D465" s="1533"/>
      <c r="E465" s="1534"/>
      <c r="F465" s="1534"/>
      <c r="G465" s="1534"/>
      <c r="H465" s="1535"/>
      <c r="I465" s="1018"/>
      <c r="J465" s="1432" t="s">
        <v>209</v>
      </c>
      <c r="K465" s="1174"/>
      <c r="L465" s="1022"/>
      <c r="M465" s="1175"/>
      <c r="S465" s="504"/>
      <c r="T465" s="504"/>
      <c r="U465" s="504"/>
      <c r="V465" s="504"/>
      <c r="W465" s="504"/>
      <c r="X465" s="504"/>
      <c r="Y465" s="504"/>
      <c r="Z465" s="504"/>
      <c r="AA465" s="504"/>
      <c r="AB465" s="504"/>
      <c r="AC465" s="322"/>
      <c r="AD465" s="322"/>
      <c r="AE465" s="322"/>
    </row>
    <row r="466" spans="1:31" x14ac:dyDescent="0.25">
      <c r="A466" s="1138">
        <v>457</v>
      </c>
      <c r="B466" s="1138" t="s">
        <v>40</v>
      </c>
      <c r="C466" s="1037" t="s">
        <v>134</v>
      </c>
      <c r="D466" s="1533"/>
      <c r="E466" s="1534"/>
      <c r="F466" s="1534"/>
      <c r="G466" s="1534"/>
      <c r="H466" s="1535"/>
      <c r="I466" s="1018"/>
      <c r="J466" s="1432" t="s">
        <v>209</v>
      </c>
      <c r="K466" s="1174"/>
      <c r="L466" s="1022"/>
      <c r="M466" s="1175"/>
      <c r="S466" s="504"/>
      <c r="T466" s="504"/>
      <c r="U466" s="504"/>
      <c r="V466" s="504"/>
      <c r="W466" s="504"/>
      <c r="X466" s="504"/>
      <c r="Y466" s="504"/>
      <c r="Z466" s="504"/>
      <c r="AA466" s="504"/>
      <c r="AB466" s="504"/>
      <c r="AC466" s="322"/>
      <c r="AD466" s="322"/>
      <c r="AE466" s="322"/>
    </row>
    <row r="467" spans="1:31" x14ac:dyDescent="0.25">
      <c r="A467" s="1138">
        <v>458</v>
      </c>
      <c r="B467" s="1138" t="s">
        <v>40</v>
      </c>
      <c r="C467" s="1037" t="s">
        <v>134</v>
      </c>
      <c r="D467" s="1536"/>
      <c r="E467" s="1537"/>
      <c r="F467" s="1537"/>
      <c r="G467" s="1537"/>
      <c r="H467" s="1538"/>
      <c r="I467" s="1018"/>
      <c r="J467" s="1432" t="s">
        <v>209</v>
      </c>
      <c r="K467" s="1174"/>
      <c r="L467" s="1022"/>
      <c r="M467" s="1175"/>
      <c r="S467" s="504"/>
      <c r="T467" s="504"/>
      <c r="U467" s="504"/>
      <c r="V467" s="504"/>
      <c r="W467" s="504"/>
      <c r="X467" s="504"/>
      <c r="Y467" s="504"/>
      <c r="Z467" s="504"/>
      <c r="AA467" s="504"/>
      <c r="AB467" s="504"/>
      <c r="AC467" s="322"/>
      <c r="AD467" s="322"/>
      <c r="AE467" s="322"/>
    </row>
    <row r="468" spans="1:31" x14ac:dyDescent="0.25">
      <c r="A468" s="1138">
        <v>459</v>
      </c>
      <c r="B468" s="1138" t="s">
        <v>40</v>
      </c>
      <c r="C468" s="1037" t="s">
        <v>134</v>
      </c>
      <c r="D468" s="1040"/>
      <c r="E468" s="1039"/>
      <c r="F468" s="1039"/>
      <c r="G468" s="1039"/>
      <c r="H468" s="1039"/>
      <c r="I468" s="1018"/>
      <c r="J468" s="1432" t="s">
        <v>209</v>
      </c>
      <c r="K468" s="1174"/>
      <c r="L468" s="1022"/>
      <c r="M468" s="1175"/>
      <c r="S468" s="504"/>
      <c r="T468" s="504"/>
      <c r="U468" s="504"/>
      <c r="V468" s="504"/>
      <c r="W468" s="504"/>
      <c r="X468" s="504"/>
      <c r="Y468" s="504"/>
      <c r="Z468" s="504"/>
      <c r="AA468" s="504"/>
      <c r="AB468" s="504"/>
      <c r="AC468" s="322"/>
      <c r="AD468" s="322"/>
      <c r="AE468" s="322"/>
    </row>
    <row r="469" spans="1:31" x14ac:dyDescent="0.25">
      <c r="A469" s="1138">
        <v>460</v>
      </c>
      <c r="B469" s="1139" t="s">
        <v>40</v>
      </c>
      <c r="C469" s="950" t="s">
        <v>135</v>
      </c>
      <c r="D469" s="1044" t="s">
        <v>1097</v>
      </c>
      <c r="E469" s="1011"/>
      <c r="F469" s="1011"/>
      <c r="G469" s="1010"/>
      <c r="H469" s="974"/>
      <c r="I469" s="1018"/>
      <c r="J469" s="1432" t="s">
        <v>209</v>
      </c>
      <c r="K469" s="1174" t="str" cm="1">
        <f t="array" ref="K469">IF(Ene07_credits=AIS_credit00,AIS_statement32,"")</f>
        <v/>
      </c>
      <c r="L469" s="1022"/>
      <c r="M469" s="1175"/>
      <c r="S469" s="490" t="s">
        <v>1096</v>
      </c>
      <c r="T469" s="504"/>
      <c r="U469" s="504"/>
      <c r="V469" s="504"/>
      <c r="W469" s="504"/>
      <c r="X469" s="504"/>
      <c r="Y469" s="504"/>
      <c r="Z469" s="504"/>
      <c r="AA469" s="504"/>
      <c r="AB469" s="504"/>
      <c r="AC469" s="322"/>
      <c r="AD469" s="322"/>
      <c r="AE469" s="322"/>
    </row>
    <row r="470" spans="1:31" x14ac:dyDescent="0.25">
      <c r="A470" s="1138">
        <v>461</v>
      </c>
      <c r="B470" s="1138" t="s">
        <v>40</v>
      </c>
      <c r="C470" s="1037" t="s">
        <v>135</v>
      </c>
      <c r="D470" s="946" t="s">
        <v>15</v>
      </c>
      <c r="E470" s="1264">
        <f>Ene07_credits</f>
        <v>5</v>
      </c>
      <c r="F470" s="945"/>
      <c r="G470" s="944" t="s">
        <v>76</v>
      </c>
      <c r="H470" s="1266">
        <f>Ene07_24</f>
        <v>2.5925925925925929E-2</v>
      </c>
      <c r="I470" s="1043"/>
      <c r="J470" s="1432" t="s">
        <v>209</v>
      </c>
      <c r="K470" s="1187" t="s">
        <v>1454</v>
      </c>
      <c r="L470" s="1022"/>
      <c r="M470" s="1175"/>
      <c r="S470" s="504"/>
      <c r="T470" s="504"/>
      <c r="U470" s="504"/>
      <c r="V470" s="504"/>
      <c r="W470" s="504"/>
      <c r="X470" s="504"/>
      <c r="Y470" s="504"/>
      <c r="Z470" s="504"/>
      <c r="AA470" s="504"/>
      <c r="AB470" s="504"/>
      <c r="AC470" s="322"/>
      <c r="AD470" s="322"/>
      <c r="AE470" s="322"/>
    </row>
    <row r="471" spans="1:31" x14ac:dyDescent="0.25">
      <c r="A471" s="1138">
        <v>462</v>
      </c>
      <c r="B471" s="1138" t="s">
        <v>40</v>
      </c>
      <c r="C471" s="1037" t="s">
        <v>135</v>
      </c>
      <c r="D471" s="972" t="s">
        <v>1011</v>
      </c>
      <c r="E471" s="1265">
        <v>0</v>
      </c>
      <c r="F471" s="941"/>
      <c r="G471" s="940" t="s">
        <v>1010</v>
      </c>
      <c r="H471" s="1267" t="s">
        <v>13</v>
      </c>
      <c r="I471" s="1018"/>
      <c r="J471" s="1432" t="s">
        <v>209</v>
      </c>
      <c r="K471" s="1174"/>
      <c r="L471" s="1022"/>
      <c r="M471" s="1175"/>
      <c r="S471" s="504"/>
      <c r="T471" s="504"/>
      <c r="U471" s="504"/>
      <c r="V471" s="504"/>
      <c r="W471" s="504"/>
      <c r="X471" s="504"/>
      <c r="Y471" s="504"/>
      <c r="Z471" s="504"/>
      <c r="AA471" s="504"/>
      <c r="AB471" s="504"/>
      <c r="AC471" s="322"/>
      <c r="AD471" s="322"/>
      <c r="AE471" s="322"/>
    </row>
    <row r="472" spans="1:31" x14ac:dyDescent="0.25">
      <c r="A472" s="1138">
        <v>463</v>
      </c>
      <c r="B472" s="1138" t="s">
        <v>40</v>
      </c>
      <c r="C472" s="1037" t="s">
        <v>135</v>
      </c>
      <c r="I472" s="1018"/>
      <c r="J472" s="1432" t="s">
        <v>209</v>
      </c>
      <c r="K472" s="1174"/>
      <c r="L472" s="1022"/>
      <c r="M472" s="1175"/>
      <c r="S472" s="504"/>
      <c r="T472" s="504"/>
      <c r="U472" s="504"/>
      <c r="V472" s="504"/>
      <c r="W472" s="504"/>
      <c r="X472" s="504"/>
      <c r="Y472" s="504"/>
      <c r="Z472" s="504"/>
      <c r="AA472" s="504"/>
      <c r="AB472" s="504"/>
      <c r="AC472" s="322"/>
      <c r="AD472" s="322"/>
      <c r="AE472" s="322"/>
    </row>
    <row r="473" spans="1:31" ht="15.75" thickBot="1" x14ac:dyDescent="0.3">
      <c r="A473" s="1138">
        <v>464</v>
      </c>
      <c r="B473" s="1138" t="s">
        <v>40</v>
      </c>
      <c r="C473" s="1037" t="s">
        <v>135</v>
      </c>
      <c r="D473" s="938" t="s">
        <v>1095</v>
      </c>
      <c r="E473" s="937" t="s">
        <v>1008</v>
      </c>
      <c r="I473" s="1018"/>
      <c r="J473" s="1432" t="s">
        <v>209</v>
      </c>
      <c r="K473" s="1174"/>
      <c r="L473" s="1022"/>
      <c r="M473" s="1175"/>
      <c r="S473" s="504"/>
      <c r="T473" s="504"/>
      <c r="U473" s="504"/>
      <c r="V473" s="504"/>
      <c r="W473" s="504"/>
      <c r="X473" s="504"/>
      <c r="Y473" s="504"/>
      <c r="Z473" s="504"/>
      <c r="AA473" s="504"/>
      <c r="AB473" s="504"/>
      <c r="AC473" s="322"/>
      <c r="AD473" s="322"/>
      <c r="AE473" s="322"/>
    </row>
    <row r="474" spans="1:31" ht="15.75" thickBot="1" x14ac:dyDescent="0.3">
      <c r="A474" s="1138">
        <v>465</v>
      </c>
      <c r="B474" s="1138" t="s">
        <v>40</v>
      </c>
      <c r="C474" s="1037" t="s">
        <v>135</v>
      </c>
      <c r="D474" s="982" t="s">
        <v>1094</v>
      </c>
      <c r="E474" s="981" t="s">
        <v>316</v>
      </c>
      <c r="F474" s="994" t="str">
        <f>IF(OR(E224=AIS_No,E224=AIS_PS),"Pre-requisite: Please select yes","")</f>
        <v>Pre-requisite: Please select yes</v>
      </c>
      <c r="I474" s="1018"/>
      <c r="J474" s="1432" t="s">
        <v>209</v>
      </c>
      <c r="K474" s="1174"/>
      <c r="L474" s="1022"/>
      <c r="M474" s="1175"/>
      <c r="S474" s="504"/>
      <c r="T474" s="504"/>
      <c r="U474" s="504"/>
      <c r="V474" s="504"/>
      <c r="W474" s="504"/>
      <c r="X474" s="504"/>
      <c r="Y474" s="504"/>
      <c r="Z474" s="504"/>
      <c r="AA474" s="504"/>
      <c r="AB474" s="504"/>
      <c r="AC474" s="322"/>
      <c r="AD474" s="322"/>
      <c r="AE474" s="322"/>
    </row>
    <row r="475" spans="1:31" x14ac:dyDescent="0.25">
      <c r="A475" s="1138">
        <v>466</v>
      </c>
      <c r="B475" s="1138" t="s">
        <v>40</v>
      </c>
      <c r="C475" s="1037" t="s">
        <v>135</v>
      </c>
      <c r="I475" s="1018"/>
      <c r="J475" s="1432" t="s">
        <v>209</v>
      </c>
      <c r="K475" s="1174"/>
      <c r="L475" s="1022"/>
      <c r="M475" s="1175"/>
      <c r="S475" s="504"/>
      <c r="T475" s="504"/>
      <c r="U475" s="504"/>
      <c r="V475" s="504"/>
      <c r="W475" s="504"/>
      <c r="X475" s="504"/>
      <c r="Y475" s="504"/>
      <c r="Z475" s="504"/>
      <c r="AA475" s="504"/>
      <c r="AB475" s="504"/>
      <c r="AC475" s="322"/>
      <c r="AD475" s="322"/>
      <c r="AE475" s="322"/>
    </row>
    <row r="476" spans="1:31" ht="15.75" thickBot="1" x14ac:dyDescent="0.3">
      <c r="A476" s="1138">
        <v>467</v>
      </c>
      <c r="B476" s="1138" t="s">
        <v>40</v>
      </c>
      <c r="C476" s="1037" t="s">
        <v>135</v>
      </c>
      <c r="D476" s="938" t="s">
        <v>1093</v>
      </c>
      <c r="E476" s="937" t="s">
        <v>1008</v>
      </c>
      <c r="F476" s="937" t="s">
        <v>1007</v>
      </c>
      <c r="G476" s="937" t="s">
        <v>1006</v>
      </c>
      <c r="H476" s="937" t="s">
        <v>1014</v>
      </c>
      <c r="I476" s="1018"/>
      <c r="J476" s="1432" t="s">
        <v>209</v>
      </c>
      <c r="K476" s="1174"/>
      <c r="L476" s="1022"/>
      <c r="M476" s="1175"/>
      <c r="S476" s="504"/>
      <c r="T476" s="504"/>
      <c r="U476" s="504"/>
      <c r="V476" s="504"/>
      <c r="W476" s="504"/>
      <c r="X476" s="504"/>
      <c r="Y476" s="504"/>
      <c r="Z476" s="504"/>
      <c r="AA476" s="504"/>
      <c r="AB476" s="504"/>
      <c r="AC476" s="322"/>
      <c r="AD476" s="322"/>
      <c r="AE476" s="322"/>
    </row>
    <row r="477" spans="1:31" ht="15.75" thickBot="1" x14ac:dyDescent="0.3">
      <c r="A477" s="1138">
        <v>468</v>
      </c>
      <c r="B477" s="1138" t="s">
        <v>40</v>
      </c>
      <c r="C477" s="1037" t="s">
        <v>135</v>
      </c>
      <c r="D477" s="1239" t="s">
        <v>1092</v>
      </c>
      <c r="E477" s="1240" t="s">
        <v>316</v>
      </c>
      <c r="F477" s="1228">
        <f>Poeng!AB91</f>
        <v>1</v>
      </c>
      <c r="G477" s="1228">
        <f>IF(E477=AIS_Yes,F477,0)</f>
        <v>0</v>
      </c>
      <c r="H477" s="1186" t="s">
        <v>14</v>
      </c>
      <c r="I477" s="1018"/>
      <c r="J477" s="1432" t="s">
        <v>209</v>
      </c>
      <c r="K477" s="1174"/>
      <c r="L477" s="1022"/>
      <c r="M477" s="1175"/>
      <c r="S477" s="62" t="s">
        <v>1015</v>
      </c>
      <c r="T477" s="504"/>
      <c r="U477" s="504"/>
      <c r="V477" s="504"/>
      <c r="W477" s="504"/>
      <c r="X477" s="504"/>
      <c r="Y477" s="504" t="str">
        <f>$X$4</f>
        <v>No</v>
      </c>
      <c r="Z477" s="504"/>
      <c r="AA477" s="504"/>
      <c r="AB477" s="504"/>
      <c r="AC477" s="322"/>
      <c r="AD477" s="322"/>
      <c r="AE477" s="322"/>
    </row>
    <row r="478" spans="1:31" x14ac:dyDescent="0.25">
      <c r="A478" s="1138">
        <v>469</v>
      </c>
      <c r="B478" s="1138" t="s">
        <v>40</v>
      </c>
      <c r="C478" s="1037" t="s">
        <v>135</v>
      </c>
      <c r="I478" s="1043"/>
      <c r="J478" s="1432" t="s">
        <v>209</v>
      </c>
      <c r="K478" s="1174"/>
      <c r="L478" s="1022"/>
      <c r="M478" s="1175"/>
      <c r="S478" s="504"/>
      <c r="T478" s="504"/>
      <c r="U478" s="504"/>
      <c r="V478" s="504"/>
      <c r="W478" s="504"/>
      <c r="X478" s="504"/>
      <c r="Y478" s="504"/>
      <c r="Z478" s="504"/>
      <c r="AA478" s="504"/>
      <c r="AB478" s="504"/>
      <c r="AC478" s="322"/>
      <c r="AD478" s="322"/>
      <c r="AE478" s="322"/>
    </row>
    <row r="479" spans="1:31" ht="15.75" thickBot="1" x14ac:dyDescent="0.3">
      <c r="A479" s="1138">
        <v>470</v>
      </c>
      <c r="B479" s="1138" t="s">
        <v>40</v>
      </c>
      <c r="C479" s="1037" t="s">
        <v>135</v>
      </c>
      <c r="D479" s="938" t="s">
        <v>1091</v>
      </c>
      <c r="E479" s="937" t="s">
        <v>1008</v>
      </c>
      <c r="F479" s="937" t="s">
        <v>1007</v>
      </c>
      <c r="G479" s="937" t="s">
        <v>1006</v>
      </c>
      <c r="H479" s="937" t="s">
        <v>1014</v>
      </c>
      <c r="I479" s="1043"/>
      <c r="J479" s="1432" t="s">
        <v>209</v>
      </c>
      <c r="K479" s="1174"/>
      <c r="L479" s="1022"/>
      <c r="M479" s="1175"/>
      <c r="S479" s="504"/>
      <c r="T479" s="504"/>
      <c r="U479" s="504"/>
      <c r="V479" s="504"/>
      <c r="W479" s="504"/>
      <c r="X479" s="504"/>
      <c r="Y479" s="504"/>
      <c r="Z479" s="504"/>
      <c r="AA479" s="504"/>
      <c r="AB479" s="504"/>
      <c r="AC479" s="322"/>
      <c r="AD479" s="322"/>
      <c r="AE479" s="322"/>
    </row>
    <row r="480" spans="1:31" x14ac:dyDescent="0.25">
      <c r="A480" s="1138">
        <v>471</v>
      </c>
      <c r="B480" s="1138" t="s">
        <v>40</v>
      </c>
      <c r="C480" s="1037" t="s">
        <v>135</v>
      </c>
      <c r="D480" s="936" t="s">
        <v>1455</v>
      </c>
      <c r="E480" s="1268" t="s">
        <v>316</v>
      </c>
      <c r="F480" s="1232">
        <f>Poeng!AB92</f>
        <v>4</v>
      </c>
      <c r="G480" s="1312">
        <f>IF(E480=AIS_Yes,IF(L480&gt;F480,F480,L480),0)*IF(E481=AIS_Yes,1,0)*IF(G477=F477,1,0)</f>
        <v>0</v>
      </c>
      <c r="H480" s="1313" t="s">
        <v>14</v>
      </c>
      <c r="I480" s="1043"/>
      <c r="J480" s="1432" t="s">
        <v>209</v>
      </c>
      <c r="K480" s="1174"/>
      <c r="L480" s="1183">
        <f>ROUNDDOWN(SUM(L482:L491),0)</f>
        <v>0</v>
      </c>
      <c r="M480" s="1175"/>
      <c r="S480" s="62" t="s">
        <v>1015</v>
      </c>
      <c r="T480" s="504"/>
      <c r="U480" s="504"/>
      <c r="V480" s="504"/>
      <c r="W480" s="504"/>
      <c r="X480" s="504"/>
      <c r="Y480" s="504" t="str">
        <f>$X$4</f>
        <v>No</v>
      </c>
      <c r="Z480" s="504"/>
      <c r="AA480" s="504"/>
      <c r="AB480" s="504"/>
      <c r="AC480" s="322"/>
      <c r="AD480" s="322"/>
      <c r="AE480" s="322"/>
    </row>
    <row r="481" spans="1:31" ht="15.75" thickBot="1" x14ac:dyDescent="0.3">
      <c r="A481" s="1138">
        <v>472</v>
      </c>
      <c r="B481" s="1138" t="s">
        <v>40</v>
      </c>
      <c r="C481" s="1037" t="s">
        <v>135</v>
      </c>
      <c r="D481" s="1002" t="s">
        <v>1090</v>
      </c>
      <c r="E481" s="1275" t="s">
        <v>316</v>
      </c>
      <c r="F481" s="1226"/>
      <c r="G481" s="927"/>
      <c r="H481" s="1048" t="s">
        <v>14</v>
      </c>
      <c r="J481" s="1432" t="s">
        <v>209</v>
      </c>
      <c r="K481" s="1174"/>
      <c r="L481" s="1022"/>
      <c r="M481" s="1175"/>
      <c r="S481" s="62" t="s">
        <v>1015</v>
      </c>
      <c r="T481" s="504"/>
      <c r="U481" s="504"/>
      <c r="V481" s="504"/>
      <c r="W481" s="504"/>
      <c r="X481" s="504"/>
      <c r="Y481" s="504" t="str">
        <f>$X$4</f>
        <v>No</v>
      </c>
      <c r="Z481" s="504"/>
      <c r="AA481" s="504"/>
      <c r="AB481" s="504"/>
      <c r="AC481" s="322"/>
      <c r="AD481" s="322"/>
      <c r="AE481" s="322"/>
    </row>
    <row r="482" spans="1:31" ht="15.75" thickBot="1" x14ac:dyDescent="0.3">
      <c r="A482" s="1138">
        <v>473</v>
      </c>
      <c r="B482" s="1138" t="s">
        <v>40</v>
      </c>
      <c r="C482" s="1037" t="s">
        <v>135</v>
      </c>
      <c r="D482" s="988" t="s">
        <v>1456</v>
      </c>
      <c r="E482" s="1268" t="s">
        <v>316</v>
      </c>
      <c r="F482" s="1309">
        <f t="shared" ref="F482:F490" si="6">0.5*$L$493</f>
        <v>0.5</v>
      </c>
      <c r="G482" s="994"/>
      <c r="I482" s="1018"/>
      <c r="J482" s="1432" t="s">
        <v>209</v>
      </c>
      <c r="K482" s="1033">
        <f>AD_Labsize</f>
        <v>0</v>
      </c>
      <c r="L482" s="1183">
        <f t="shared" ref="L482:L491" si="7">IF(E482=AIS_Yes,F482,0)</f>
        <v>0</v>
      </c>
      <c r="M482" s="1175"/>
      <c r="S482" s="504"/>
      <c r="T482" s="504"/>
      <c r="U482" s="504"/>
      <c r="V482" s="504"/>
      <c r="W482" s="504"/>
      <c r="X482" s="504"/>
      <c r="Y482" s="504"/>
      <c r="Z482" s="504"/>
      <c r="AA482" s="504"/>
      <c r="AB482" s="504"/>
      <c r="AC482" s="322"/>
      <c r="AD482" s="322"/>
      <c r="AE482" s="322"/>
    </row>
    <row r="483" spans="1:31" x14ac:dyDescent="0.25">
      <c r="A483" s="1138">
        <v>474</v>
      </c>
      <c r="B483" s="1138" t="s">
        <v>40</v>
      </c>
      <c r="C483" s="1037" t="s">
        <v>135</v>
      </c>
      <c r="D483" s="988" t="s">
        <v>1457</v>
      </c>
      <c r="E483" s="1271" t="s">
        <v>316</v>
      </c>
      <c r="F483" s="1310">
        <f t="shared" si="6"/>
        <v>0.5</v>
      </c>
      <c r="I483" s="1018"/>
      <c r="J483" s="1432" t="s">
        <v>209</v>
      </c>
      <c r="K483" s="1049" t="str">
        <f>AD_Labsize01</f>
        <v>Laboratory present: ≥10% - &lt;25% of building's BRA</v>
      </c>
      <c r="L483" s="1433">
        <f t="shared" si="7"/>
        <v>0</v>
      </c>
      <c r="M483" s="1175"/>
      <c r="S483" s="504"/>
      <c r="T483" s="504"/>
      <c r="U483" s="504"/>
      <c r="V483" s="504"/>
      <c r="W483" s="504"/>
      <c r="X483" s="504"/>
      <c r="Y483" s="504"/>
      <c r="Z483" s="504"/>
      <c r="AA483" s="504"/>
      <c r="AB483" s="504"/>
      <c r="AC483" s="322"/>
      <c r="AD483" s="322"/>
      <c r="AE483" s="322"/>
    </row>
    <row r="484" spans="1:31" ht="15.75" thickBot="1" x14ac:dyDescent="0.3">
      <c r="A484" s="1138">
        <v>475</v>
      </c>
      <c r="B484" s="1138" t="s">
        <v>40</v>
      </c>
      <c r="C484" s="1037" t="s">
        <v>135</v>
      </c>
      <c r="D484" s="988" t="s">
        <v>1458</v>
      </c>
      <c r="E484" s="1271" t="s">
        <v>316</v>
      </c>
      <c r="F484" s="1310">
        <f t="shared" si="6"/>
        <v>0.5</v>
      </c>
      <c r="I484" s="1018"/>
      <c r="J484" s="1432" t="s">
        <v>209</v>
      </c>
      <c r="K484" s="1029" t="str">
        <f>AD_Labsize02</f>
        <v>Laboratory present: ≥25% of building's BRA</v>
      </c>
      <c r="L484" s="1183">
        <f t="shared" si="7"/>
        <v>0</v>
      </c>
      <c r="M484" s="1175"/>
      <c r="S484" s="504"/>
      <c r="T484" s="504"/>
      <c r="U484" s="504"/>
      <c r="V484" s="504"/>
      <c r="W484" s="504"/>
      <c r="X484" s="504"/>
      <c r="Y484" s="504"/>
      <c r="Z484" s="504"/>
      <c r="AA484" s="504"/>
      <c r="AB484" s="504"/>
      <c r="AC484" s="322"/>
      <c r="AD484" s="322"/>
      <c r="AE484" s="322"/>
    </row>
    <row r="485" spans="1:31" x14ac:dyDescent="0.25">
      <c r="A485" s="1138">
        <v>476</v>
      </c>
      <c r="B485" s="1138" t="s">
        <v>40</v>
      </c>
      <c r="C485" s="1037" t="s">
        <v>135</v>
      </c>
      <c r="D485" s="988" t="s">
        <v>1459</v>
      </c>
      <c r="E485" s="1271" t="s">
        <v>316</v>
      </c>
      <c r="F485" s="1310">
        <f t="shared" si="6"/>
        <v>0.5</v>
      </c>
      <c r="I485" s="1018"/>
      <c r="J485" s="1432" t="s">
        <v>209</v>
      </c>
      <c r="K485" s="1174"/>
      <c r="L485" s="1433">
        <f t="shared" si="7"/>
        <v>0</v>
      </c>
      <c r="M485" s="1175"/>
      <c r="S485" s="504"/>
      <c r="T485" s="504"/>
      <c r="U485" s="504"/>
      <c r="V485" s="504"/>
      <c r="W485" s="504"/>
      <c r="X485" s="504"/>
      <c r="Y485" s="504"/>
      <c r="Z485" s="504"/>
      <c r="AA485" s="504"/>
      <c r="AB485" s="504"/>
      <c r="AC485" s="322"/>
      <c r="AD485" s="322"/>
      <c r="AE485" s="322"/>
    </row>
    <row r="486" spans="1:31" x14ac:dyDescent="0.25">
      <c r="A486" s="1138">
        <v>477</v>
      </c>
      <c r="B486" s="1138" t="s">
        <v>40</v>
      </c>
      <c r="C486" s="1037" t="s">
        <v>135</v>
      </c>
      <c r="D486" s="988" t="s">
        <v>1460</v>
      </c>
      <c r="E486" s="1271" t="s">
        <v>316</v>
      </c>
      <c r="F486" s="1310">
        <f t="shared" si="6"/>
        <v>0.5</v>
      </c>
      <c r="I486" s="1018"/>
      <c r="J486" s="1432" t="s">
        <v>209</v>
      </c>
      <c r="K486" s="1174"/>
      <c r="L486" s="1433">
        <f t="shared" si="7"/>
        <v>0</v>
      </c>
      <c r="M486" s="1175"/>
      <c r="S486" s="504"/>
      <c r="T486" s="504"/>
      <c r="U486" s="504"/>
      <c r="V486" s="504"/>
      <c r="W486" s="504"/>
      <c r="X486" s="504"/>
      <c r="Y486" s="504"/>
      <c r="Z486" s="504"/>
      <c r="AA486" s="504"/>
      <c r="AB486" s="504"/>
      <c r="AC486" s="322"/>
      <c r="AD486" s="322"/>
      <c r="AE486" s="322"/>
    </row>
    <row r="487" spans="1:31" x14ac:dyDescent="0.25">
      <c r="A487" s="1138">
        <v>478</v>
      </c>
      <c r="B487" s="1138" t="s">
        <v>40</v>
      </c>
      <c r="C487" s="1037" t="s">
        <v>135</v>
      </c>
      <c r="D487" s="988" t="s">
        <v>1461</v>
      </c>
      <c r="E487" s="1271" t="s">
        <v>316</v>
      </c>
      <c r="F487" s="1310">
        <f t="shared" si="6"/>
        <v>0.5</v>
      </c>
      <c r="I487" s="1018"/>
      <c r="J487" s="1432" t="s">
        <v>209</v>
      </c>
      <c r="K487" s="1174"/>
      <c r="L487" s="1433">
        <f t="shared" si="7"/>
        <v>0</v>
      </c>
      <c r="M487" s="1175"/>
      <c r="S487" s="504"/>
      <c r="T487" s="504"/>
      <c r="U487" s="504"/>
      <c r="V487" s="504"/>
      <c r="W487" s="504"/>
      <c r="X487" s="504"/>
      <c r="Y487" s="504"/>
      <c r="Z487" s="504"/>
      <c r="AA487" s="504"/>
      <c r="AB487" s="504"/>
      <c r="AC487" s="322"/>
      <c r="AD487" s="322"/>
      <c r="AE487" s="322"/>
    </row>
    <row r="488" spans="1:31" x14ac:dyDescent="0.25">
      <c r="A488" s="1138">
        <v>479</v>
      </c>
      <c r="B488" s="1138" t="s">
        <v>40</v>
      </c>
      <c r="C488" s="1037" t="s">
        <v>135</v>
      </c>
      <c r="D488" s="988" t="s">
        <v>1462</v>
      </c>
      <c r="E488" s="1271" t="s">
        <v>316</v>
      </c>
      <c r="F488" s="1310">
        <f t="shared" si="6"/>
        <v>0.5</v>
      </c>
      <c r="I488" s="1018"/>
      <c r="J488" s="1432" t="s">
        <v>209</v>
      </c>
      <c r="K488" s="1174"/>
      <c r="L488" s="1183">
        <f t="shared" si="7"/>
        <v>0</v>
      </c>
      <c r="M488" s="1175"/>
      <c r="S488" s="504"/>
      <c r="T488" s="504"/>
      <c r="U488" s="504"/>
      <c r="V488" s="504"/>
      <c r="W488" s="504"/>
      <c r="X488" s="504"/>
      <c r="Y488" s="504"/>
      <c r="Z488" s="504"/>
      <c r="AA488" s="504"/>
      <c r="AB488" s="504"/>
      <c r="AC488" s="322"/>
      <c r="AD488" s="322"/>
      <c r="AE488" s="322"/>
    </row>
    <row r="489" spans="1:31" x14ac:dyDescent="0.25">
      <c r="A489" s="1138">
        <v>480</v>
      </c>
      <c r="B489" s="1138" t="s">
        <v>40</v>
      </c>
      <c r="C489" s="1037" t="s">
        <v>135</v>
      </c>
      <c r="D489" s="988" t="s">
        <v>1463</v>
      </c>
      <c r="E489" s="1271" t="s">
        <v>316</v>
      </c>
      <c r="F489" s="1310">
        <f t="shared" si="6"/>
        <v>0.5</v>
      </c>
      <c r="I489" s="1018"/>
      <c r="J489" s="1432" t="s">
        <v>209</v>
      </c>
      <c r="K489" s="1174"/>
      <c r="L489" s="1183">
        <f t="shared" si="7"/>
        <v>0</v>
      </c>
      <c r="M489" s="1175"/>
      <c r="S489" s="504"/>
      <c r="T489" s="504"/>
      <c r="U489" s="504"/>
      <c r="V489" s="504"/>
      <c r="W489" s="504"/>
      <c r="X489" s="504"/>
      <c r="Y489" s="504"/>
      <c r="Z489" s="504"/>
      <c r="AA489" s="504"/>
      <c r="AB489" s="504"/>
      <c r="AC489" s="322"/>
      <c r="AD489" s="322"/>
      <c r="AE489" s="322"/>
    </row>
    <row r="490" spans="1:31" x14ac:dyDescent="0.25">
      <c r="A490" s="1138">
        <v>481</v>
      </c>
      <c r="B490" s="1138" t="s">
        <v>40</v>
      </c>
      <c r="C490" s="1037" t="s">
        <v>135</v>
      </c>
      <c r="D490" s="988" t="s">
        <v>1464</v>
      </c>
      <c r="E490" s="1271" t="s">
        <v>316</v>
      </c>
      <c r="F490" s="1310">
        <f t="shared" si="6"/>
        <v>0.5</v>
      </c>
      <c r="I490" s="1018"/>
      <c r="J490" s="1432" t="s">
        <v>209</v>
      </c>
      <c r="K490" s="1174"/>
      <c r="L490" s="1183">
        <f t="shared" si="7"/>
        <v>0</v>
      </c>
      <c r="M490" s="1175"/>
      <c r="S490" s="504"/>
      <c r="T490" s="504"/>
      <c r="U490" s="504"/>
      <c r="V490" s="504"/>
      <c r="W490" s="504"/>
      <c r="X490" s="504"/>
      <c r="Y490" s="504"/>
      <c r="Z490" s="504"/>
      <c r="AA490" s="504"/>
      <c r="AB490" s="504"/>
      <c r="AC490" s="322"/>
      <c r="AD490" s="322"/>
      <c r="AE490" s="322"/>
    </row>
    <row r="491" spans="1:31" ht="15.75" thickBot="1" x14ac:dyDescent="0.3">
      <c r="A491" s="1138">
        <v>482</v>
      </c>
      <c r="B491" s="1138" t="s">
        <v>40</v>
      </c>
      <c r="C491" s="1037" t="s">
        <v>135</v>
      </c>
      <c r="D491" s="929" t="s">
        <v>1465</v>
      </c>
      <c r="E491" s="1275" t="s">
        <v>316</v>
      </c>
      <c r="F491" s="1311">
        <f>1*$L$493</f>
        <v>1</v>
      </c>
      <c r="I491" s="1018"/>
      <c r="J491" s="1432" t="s">
        <v>209</v>
      </c>
      <c r="K491" s="1174"/>
      <c r="L491" s="1433">
        <f t="shared" si="7"/>
        <v>0</v>
      </c>
      <c r="M491" s="1175"/>
      <c r="S491" s="504"/>
      <c r="T491" s="504"/>
      <c r="U491" s="504"/>
      <c r="V491" s="504"/>
      <c r="W491" s="504"/>
      <c r="X491" s="504"/>
      <c r="Y491" s="504"/>
      <c r="Z491" s="504"/>
      <c r="AA491" s="504"/>
      <c r="AB491" s="504"/>
      <c r="AC491" s="322"/>
      <c r="AD491" s="322"/>
      <c r="AE491" s="322"/>
    </row>
    <row r="492" spans="1:31" x14ac:dyDescent="0.25">
      <c r="A492" s="1138">
        <v>483</v>
      </c>
      <c r="B492" s="1138" t="s">
        <v>40</v>
      </c>
      <c r="C492" s="1037" t="s">
        <v>135</v>
      </c>
      <c r="I492" s="1018"/>
      <c r="J492" s="1432" t="s">
        <v>209</v>
      </c>
      <c r="K492" s="1174"/>
      <c r="L492" s="1022"/>
      <c r="M492" s="1175"/>
      <c r="S492" s="504"/>
      <c r="T492" s="504"/>
      <c r="U492" s="504"/>
      <c r="V492" s="504"/>
      <c r="W492" s="504"/>
      <c r="X492" s="504"/>
      <c r="Y492" s="504"/>
      <c r="Z492" s="504"/>
      <c r="AA492" s="504"/>
      <c r="AB492" s="504"/>
      <c r="AC492" s="322"/>
      <c r="AD492" s="322"/>
      <c r="AE492" s="322"/>
    </row>
    <row r="493" spans="1:31" x14ac:dyDescent="0.25">
      <c r="A493" s="1138">
        <v>484</v>
      </c>
      <c r="B493" s="1138" t="s">
        <v>40</v>
      </c>
      <c r="C493" s="1037" t="s">
        <v>135</v>
      </c>
      <c r="D493" s="958" t="s">
        <v>1012</v>
      </c>
      <c r="E493" s="1272">
        <f>G477+G480</f>
        <v>0</v>
      </c>
      <c r="I493" s="917"/>
      <c r="J493" s="1432" t="s">
        <v>209</v>
      </c>
      <c r="K493" s="1174"/>
      <c r="L493" s="1022">
        <f>IF(E470=0,0,1)</f>
        <v>1</v>
      </c>
      <c r="M493" s="1175"/>
      <c r="S493" s="504"/>
      <c r="T493" s="504"/>
      <c r="U493" s="504"/>
      <c r="V493" s="504"/>
      <c r="W493" s="504"/>
      <c r="X493" s="504"/>
      <c r="Y493" s="504"/>
      <c r="Z493" s="504"/>
      <c r="AA493" s="504"/>
      <c r="AB493" s="504"/>
      <c r="AC493" s="322"/>
      <c r="AD493" s="322"/>
      <c r="AE493" s="322"/>
    </row>
    <row r="494" spans="1:31" x14ac:dyDescent="0.25">
      <c r="A494" s="1138">
        <v>485</v>
      </c>
      <c r="B494" s="1138" t="s">
        <v>40</v>
      </c>
      <c r="C494" s="1037" t="s">
        <v>135</v>
      </c>
      <c r="D494" s="924" t="s">
        <v>77</v>
      </c>
      <c r="E494" s="1273">
        <f>Ene07_25</f>
        <v>0</v>
      </c>
      <c r="I494" s="1018"/>
      <c r="J494" s="1432" t="s">
        <v>209</v>
      </c>
      <c r="K494" s="1174"/>
      <c r="L494" s="1022"/>
      <c r="M494" s="1175"/>
      <c r="S494" s="504"/>
      <c r="T494" s="504"/>
      <c r="U494" s="504"/>
      <c r="V494" s="504"/>
      <c r="W494" s="504"/>
      <c r="X494" s="504"/>
      <c r="Y494" s="504"/>
      <c r="Z494" s="504"/>
      <c r="AA494" s="504"/>
      <c r="AB494" s="504"/>
      <c r="AC494" s="322"/>
      <c r="AD494" s="322"/>
      <c r="AE494" s="322"/>
    </row>
    <row r="495" spans="1:31" x14ac:dyDescent="0.25">
      <c r="A495" s="1138">
        <v>486</v>
      </c>
      <c r="B495" s="1138" t="s">
        <v>40</v>
      </c>
      <c r="C495" s="1037" t="s">
        <v>135</v>
      </c>
      <c r="D495" s="926" t="s">
        <v>1005</v>
      </c>
      <c r="E495" s="1272" t="s">
        <v>14</v>
      </c>
      <c r="I495" s="1018"/>
      <c r="J495" s="1432" t="s">
        <v>209</v>
      </c>
      <c r="K495" s="1174"/>
      <c r="L495" s="1022"/>
      <c r="M495" s="1175"/>
      <c r="S495" s="504"/>
      <c r="T495" s="504"/>
      <c r="U495" s="504"/>
      <c r="V495" s="504"/>
      <c r="W495" s="504"/>
      <c r="X495" s="504"/>
      <c r="Y495" s="504"/>
      <c r="Z495" s="504"/>
      <c r="AA495" s="504"/>
      <c r="AB495" s="504"/>
      <c r="AC495" s="322"/>
      <c r="AD495" s="322"/>
      <c r="AE495" s="322"/>
    </row>
    <row r="496" spans="1:31" x14ac:dyDescent="0.25">
      <c r="A496" s="1138">
        <v>487</v>
      </c>
      <c r="B496" s="1138" t="s">
        <v>40</v>
      </c>
      <c r="C496" s="1037" t="s">
        <v>135</v>
      </c>
      <c r="D496" s="923" t="s">
        <v>46</v>
      </c>
      <c r="E496" s="1290" t="s">
        <v>14</v>
      </c>
      <c r="I496" s="1018"/>
      <c r="J496" s="1432" t="s">
        <v>209</v>
      </c>
      <c r="K496" s="1174"/>
      <c r="L496" s="1022"/>
      <c r="M496" s="1175"/>
      <c r="S496" s="504"/>
      <c r="T496" s="504"/>
      <c r="U496" s="504"/>
      <c r="V496" s="504"/>
      <c r="W496" s="504"/>
      <c r="X496" s="504"/>
      <c r="Y496" s="504"/>
      <c r="Z496" s="504"/>
      <c r="AA496" s="504"/>
      <c r="AB496" s="504"/>
      <c r="AC496" s="322"/>
      <c r="AD496" s="322"/>
      <c r="AE496" s="322"/>
    </row>
    <row r="497" spans="1:36" x14ac:dyDescent="0.25">
      <c r="A497" s="1138">
        <v>488</v>
      </c>
      <c r="B497" s="1138" t="s">
        <v>40</v>
      </c>
      <c r="C497" s="1037" t="s">
        <v>135</v>
      </c>
      <c r="I497" s="1018"/>
      <c r="J497" s="1432" t="s">
        <v>209</v>
      </c>
      <c r="K497" s="1174"/>
      <c r="L497" s="1022"/>
      <c r="M497" s="1175"/>
      <c r="S497" s="504"/>
      <c r="T497" s="504"/>
      <c r="U497" s="504"/>
      <c r="V497" s="504"/>
      <c r="W497" s="504"/>
      <c r="X497" s="504"/>
      <c r="Y497" s="504"/>
      <c r="Z497" s="504"/>
      <c r="AA497" s="504"/>
      <c r="AB497" s="504"/>
      <c r="AC497" s="322"/>
      <c r="AD497" s="322"/>
      <c r="AE497" s="322"/>
    </row>
    <row r="498" spans="1:36" x14ac:dyDescent="0.25">
      <c r="A498" s="1138">
        <v>489</v>
      </c>
      <c r="B498" s="1138" t="s">
        <v>40</v>
      </c>
      <c r="C498" s="1037" t="s">
        <v>135</v>
      </c>
      <c r="D498" s="920" t="s">
        <v>1004</v>
      </c>
      <c r="E498" s="920" t="s">
        <v>1003</v>
      </c>
      <c r="F498" s="920" t="str">
        <f>HLOOKUP(C498,'Assessment References'!$H$512:$BG$513,2,FALSE)</f>
        <v/>
      </c>
      <c r="G498" s="919"/>
      <c r="H498" s="918"/>
      <c r="I498" s="1018"/>
      <c r="J498" s="1432" t="s">
        <v>209</v>
      </c>
      <c r="K498" s="1174"/>
      <c r="L498" s="1022"/>
      <c r="M498" s="1175"/>
      <c r="S498" s="504"/>
      <c r="T498" s="504"/>
      <c r="U498" s="504"/>
      <c r="V498" s="504"/>
      <c r="W498" s="504"/>
      <c r="X498" s="504"/>
      <c r="Y498" s="504"/>
      <c r="Z498" s="504"/>
      <c r="AA498" s="504"/>
      <c r="AB498" s="504"/>
      <c r="AC498" s="322"/>
      <c r="AD498" s="322"/>
      <c r="AE498" s="322"/>
    </row>
    <row r="499" spans="1:36" x14ac:dyDescent="0.25">
      <c r="A499" s="1138">
        <v>490</v>
      </c>
      <c r="B499" s="1138" t="s">
        <v>40</v>
      </c>
      <c r="C499" s="1037" t="s">
        <v>135</v>
      </c>
      <c r="D499" s="1539"/>
      <c r="E499" s="1540"/>
      <c r="F499" s="1540"/>
      <c r="G499" s="1540"/>
      <c r="H499" s="1541"/>
      <c r="I499" s="1018"/>
      <c r="J499" s="1432" t="s">
        <v>209</v>
      </c>
      <c r="K499" s="1174"/>
      <c r="L499" s="1022"/>
      <c r="M499" s="1175"/>
      <c r="S499" s="504"/>
      <c r="T499" s="504"/>
      <c r="U499" s="504"/>
      <c r="V499" s="504"/>
      <c r="W499" s="504"/>
      <c r="X499" s="504"/>
      <c r="Y499" s="504"/>
      <c r="Z499" s="504"/>
      <c r="AA499" s="504"/>
      <c r="AB499" s="504"/>
      <c r="AC499" s="322"/>
      <c r="AD499" s="322"/>
      <c r="AE499" s="322"/>
    </row>
    <row r="500" spans="1:36" x14ac:dyDescent="0.25">
      <c r="A500" s="1138">
        <v>491</v>
      </c>
      <c r="B500" s="1138" t="s">
        <v>40</v>
      </c>
      <c r="C500" s="1037" t="s">
        <v>135</v>
      </c>
      <c r="D500" s="1530"/>
      <c r="E500" s="1531"/>
      <c r="F500" s="1531"/>
      <c r="G500" s="1531"/>
      <c r="H500" s="1532"/>
      <c r="I500" s="1018"/>
      <c r="J500" s="1432" t="s">
        <v>209</v>
      </c>
      <c r="K500" s="1174"/>
      <c r="L500" s="1022"/>
      <c r="M500" s="1175"/>
      <c r="S500" s="504"/>
      <c r="T500" s="504"/>
      <c r="U500" s="504"/>
      <c r="V500" s="504"/>
      <c r="W500" s="504"/>
      <c r="X500" s="504"/>
      <c r="Y500" s="504"/>
      <c r="Z500" s="504"/>
      <c r="AA500" s="504"/>
      <c r="AB500" s="504"/>
      <c r="AC500" s="322"/>
      <c r="AD500" s="322"/>
      <c r="AE500" s="322"/>
    </row>
    <row r="501" spans="1:36" x14ac:dyDescent="0.25">
      <c r="A501" s="1138">
        <v>492</v>
      </c>
      <c r="B501" s="1138" t="s">
        <v>40</v>
      </c>
      <c r="C501" s="1037" t="s">
        <v>135</v>
      </c>
      <c r="D501" s="1530"/>
      <c r="E501" s="1531"/>
      <c r="F501" s="1531"/>
      <c r="G501" s="1531"/>
      <c r="H501" s="1532"/>
      <c r="I501" s="1018"/>
      <c r="J501" s="1432" t="s">
        <v>209</v>
      </c>
      <c r="K501" s="1174"/>
      <c r="L501" s="1022"/>
      <c r="M501" s="1175"/>
      <c r="S501" s="504"/>
      <c r="T501" s="504"/>
      <c r="U501" s="504"/>
      <c r="V501" s="504"/>
      <c r="W501" s="504"/>
      <c r="X501" s="504"/>
      <c r="Y501" s="504"/>
      <c r="Z501" s="504"/>
      <c r="AA501" s="504"/>
      <c r="AB501" s="504"/>
      <c r="AC501" s="322"/>
      <c r="AD501" s="322"/>
      <c r="AE501" s="322"/>
    </row>
    <row r="502" spans="1:36" x14ac:dyDescent="0.25">
      <c r="A502" s="1138">
        <v>493</v>
      </c>
      <c r="B502" s="1138" t="s">
        <v>40</v>
      </c>
      <c r="C502" s="1037" t="s">
        <v>135</v>
      </c>
      <c r="D502" s="1533"/>
      <c r="E502" s="1534"/>
      <c r="F502" s="1534"/>
      <c r="G502" s="1534"/>
      <c r="H502" s="1535"/>
      <c r="I502" s="1018"/>
      <c r="J502" s="1432" t="s">
        <v>209</v>
      </c>
      <c r="K502" s="1174"/>
      <c r="L502" s="1022"/>
      <c r="M502" s="1175"/>
      <c r="S502" s="504"/>
      <c r="T502" s="504"/>
      <c r="U502" s="504"/>
      <c r="V502" s="504"/>
      <c r="W502" s="504"/>
      <c r="X502" s="504"/>
      <c r="Y502" s="504"/>
      <c r="Z502" s="504"/>
      <c r="AA502" s="504"/>
      <c r="AB502" s="504"/>
      <c r="AC502" s="322"/>
      <c r="AD502" s="322"/>
      <c r="AE502" s="322"/>
    </row>
    <row r="503" spans="1:36" x14ac:dyDescent="0.25">
      <c r="A503" s="1138">
        <v>494</v>
      </c>
      <c r="B503" s="1138" t="s">
        <v>40</v>
      </c>
      <c r="C503" s="1037" t="s">
        <v>135</v>
      </c>
      <c r="D503" s="1533"/>
      <c r="E503" s="1534"/>
      <c r="F503" s="1534"/>
      <c r="G503" s="1534"/>
      <c r="H503" s="1535"/>
      <c r="I503" s="1018"/>
      <c r="J503" s="1432" t="s">
        <v>209</v>
      </c>
      <c r="K503" s="1174"/>
      <c r="L503" s="1022"/>
      <c r="M503" s="1175"/>
      <c r="S503" s="504"/>
      <c r="T503" s="504"/>
      <c r="U503" s="504"/>
      <c r="V503" s="504"/>
      <c r="W503" s="504"/>
      <c r="X503" s="504"/>
      <c r="Y503" s="504"/>
      <c r="Z503" s="504"/>
      <c r="AA503" s="504"/>
      <c r="AB503" s="504"/>
      <c r="AC503" s="322"/>
      <c r="AD503" s="322"/>
      <c r="AE503" s="322"/>
    </row>
    <row r="504" spans="1:36" x14ac:dyDescent="0.25">
      <c r="A504" s="1138">
        <v>495</v>
      </c>
      <c r="B504" s="1138" t="s">
        <v>40</v>
      </c>
      <c r="C504" s="1037" t="s">
        <v>135</v>
      </c>
      <c r="D504" s="1536"/>
      <c r="E504" s="1537"/>
      <c r="F504" s="1537"/>
      <c r="G504" s="1537"/>
      <c r="H504" s="1538"/>
      <c r="I504" s="1018"/>
      <c r="J504" s="1432" t="s">
        <v>209</v>
      </c>
      <c r="K504" s="1174"/>
      <c r="L504" s="1022"/>
      <c r="M504" s="1175"/>
      <c r="S504" s="504"/>
      <c r="T504" s="504"/>
      <c r="U504" s="504"/>
      <c r="V504" s="504"/>
      <c r="W504" s="504"/>
      <c r="X504" s="504"/>
      <c r="Y504" s="504"/>
      <c r="Z504" s="504"/>
      <c r="AA504" s="504"/>
      <c r="AB504" s="504"/>
      <c r="AC504" s="322"/>
      <c r="AD504" s="322"/>
      <c r="AE504" s="322"/>
    </row>
    <row r="505" spans="1:36" x14ac:dyDescent="0.25">
      <c r="A505" s="1138">
        <v>496</v>
      </c>
      <c r="B505" s="1138" t="s">
        <v>40</v>
      </c>
      <c r="C505" s="1037" t="s">
        <v>135</v>
      </c>
      <c r="D505" s="1041"/>
      <c r="E505" s="1041"/>
      <c r="F505" s="1041"/>
      <c r="G505" s="1041"/>
      <c r="H505" s="1041"/>
      <c r="I505" s="1018"/>
      <c r="J505" s="1041"/>
      <c r="K505" s="1174"/>
      <c r="L505" s="1022"/>
      <c r="M505" s="1175"/>
      <c r="S505" s="504"/>
      <c r="T505" s="504"/>
      <c r="U505" s="504"/>
      <c r="V505" s="504"/>
      <c r="W505" s="504"/>
      <c r="X505" s="504"/>
      <c r="Y505" s="504"/>
      <c r="Z505" s="504"/>
      <c r="AA505" s="504"/>
      <c r="AB505" s="504"/>
      <c r="AC505" s="322"/>
      <c r="AD505" s="322"/>
      <c r="AE505" s="322"/>
    </row>
    <row r="506" spans="1:36" x14ac:dyDescent="0.25">
      <c r="A506" s="1138">
        <v>497</v>
      </c>
      <c r="B506" s="1139" t="s">
        <v>40</v>
      </c>
      <c r="C506" s="950" t="s">
        <v>136</v>
      </c>
      <c r="D506" s="1044" t="s">
        <v>341</v>
      </c>
      <c r="E506" s="1011"/>
      <c r="F506" s="1011"/>
      <c r="G506" s="1010"/>
      <c r="H506" s="1010"/>
      <c r="I506" s="1018"/>
      <c r="J506" s="1041"/>
      <c r="K506" s="1174"/>
      <c r="L506" s="1022"/>
      <c r="M506" s="1175"/>
      <c r="S506" s="504"/>
      <c r="T506" s="504"/>
      <c r="U506" s="504"/>
      <c r="V506" s="504"/>
      <c r="W506" s="504"/>
      <c r="X506" s="504"/>
      <c r="Y506" s="504"/>
      <c r="Z506" s="504"/>
      <c r="AA506" s="504"/>
      <c r="AB506" s="504"/>
      <c r="AC506" s="322"/>
      <c r="AD506" s="322"/>
      <c r="AE506" s="322"/>
    </row>
    <row r="507" spans="1:36" x14ac:dyDescent="0.25">
      <c r="A507" s="1138">
        <v>498</v>
      </c>
      <c r="B507" s="1138" t="s">
        <v>40</v>
      </c>
      <c r="C507" s="1037" t="s">
        <v>136</v>
      </c>
      <c r="D507" s="946" t="s">
        <v>15</v>
      </c>
      <c r="E507" s="1264">
        <f>Ene08_credits</f>
        <v>2</v>
      </c>
      <c r="F507" s="945"/>
      <c r="G507" s="944" t="s">
        <v>76</v>
      </c>
      <c r="H507" s="1266">
        <f>Ene08_27</f>
        <v>1.0370370370370372E-2</v>
      </c>
      <c r="I507" s="1018"/>
      <c r="J507" s="1041"/>
      <c r="K507" s="1174"/>
      <c r="L507" s="1022"/>
      <c r="M507" s="1175"/>
      <c r="S507" s="1188"/>
      <c r="T507" s="1188"/>
      <c r="U507" s="1188"/>
      <c r="V507" s="1188"/>
      <c r="W507" s="1188"/>
      <c r="X507" s="1188"/>
      <c r="Y507" s="1188"/>
      <c r="Z507" s="1188"/>
      <c r="AA507" s="1188"/>
      <c r="AB507" s="1188"/>
      <c r="AC507" s="1189"/>
      <c r="AD507" s="1189"/>
      <c r="AE507" s="1189"/>
      <c r="AF507" s="1190"/>
      <c r="AG507" s="1190"/>
      <c r="AH507" s="1190"/>
      <c r="AI507" s="1190"/>
      <c r="AJ507" s="1190"/>
    </row>
    <row r="508" spans="1:36" x14ac:dyDescent="0.25">
      <c r="A508" s="1138">
        <v>499</v>
      </c>
      <c r="B508" s="1138" t="s">
        <v>40</v>
      </c>
      <c r="C508" s="1037" t="s">
        <v>136</v>
      </c>
      <c r="D508" s="972" t="s">
        <v>1011</v>
      </c>
      <c r="E508" s="1265">
        <v>0</v>
      </c>
      <c r="F508" s="941"/>
      <c r="G508" s="940" t="s">
        <v>1010</v>
      </c>
      <c r="H508" s="1267" t="s">
        <v>13</v>
      </c>
      <c r="I508" s="1018"/>
      <c r="J508" s="1041"/>
      <c r="K508" s="1174"/>
      <c r="L508" s="1022"/>
      <c r="M508" s="1175"/>
      <c r="S508" s="1188"/>
      <c r="T508" s="1188"/>
      <c r="U508" s="1188"/>
      <c r="V508" s="1188"/>
      <c r="W508" s="1188"/>
      <c r="X508" s="1188"/>
      <c r="Y508" s="1188"/>
      <c r="Z508" s="1188"/>
      <c r="AA508" s="1188"/>
      <c r="AB508" s="1188"/>
      <c r="AC508" s="1189"/>
      <c r="AD508" s="1189"/>
      <c r="AE508" s="1189"/>
      <c r="AF508" s="1190"/>
      <c r="AG508" s="1190"/>
      <c r="AH508" s="1190"/>
      <c r="AI508" s="1190"/>
      <c r="AJ508" s="1190"/>
    </row>
    <row r="509" spans="1:36" x14ac:dyDescent="0.25">
      <c r="A509" s="1138">
        <v>500</v>
      </c>
      <c r="B509" s="1138" t="s">
        <v>40</v>
      </c>
      <c r="C509" s="1037" t="s">
        <v>136</v>
      </c>
      <c r="I509" s="1043"/>
      <c r="J509" s="1042"/>
      <c r="K509" s="1174"/>
      <c r="L509" s="1022"/>
      <c r="M509" s="1175"/>
      <c r="S509" s="1188"/>
      <c r="T509" s="1188"/>
      <c r="U509" s="1188"/>
      <c r="V509" s="1188"/>
      <c r="W509" s="1188"/>
      <c r="X509" s="1188"/>
      <c r="Y509" s="1188"/>
      <c r="Z509" s="1188"/>
      <c r="AA509" s="1188"/>
      <c r="AB509" s="1188"/>
      <c r="AC509" s="1189"/>
      <c r="AD509" s="1189"/>
      <c r="AE509" s="1189"/>
      <c r="AF509" s="1190"/>
      <c r="AG509" s="1190"/>
      <c r="AH509" s="1190"/>
      <c r="AI509" s="1190"/>
      <c r="AJ509" s="1190"/>
    </row>
    <row r="510" spans="1:36" ht="45.75" thickBot="1" x14ac:dyDescent="0.3">
      <c r="A510" s="1138">
        <v>501</v>
      </c>
      <c r="B510" s="1138" t="s">
        <v>40</v>
      </c>
      <c r="C510" s="1037" t="s">
        <v>136</v>
      </c>
      <c r="D510" s="938" t="s">
        <v>1909</v>
      </c>
      <c r="E510" s="937" t="s">
        <v>1089</v>
      </c>
      <c r="F510" s="1031" t="s">
        <v>1088</v>
      </c>
      <c r="I510" s="1018"/>
      <c r="J510" s="1041"/>
      <c r="K510" s="1174"/>
      <c r="L510" s="1022"/>
      <c r="M510" s="1175"/>
      <c r="S510" s="1188"/>
      <c r="T510" s="1188"/>
      <c r="U510" s="1188"/>
      <c r="V510" s="1188"/>
      <c r="W510" s="1188"/>
      <c r="X510" s="1188"/>
      <c r="Y510" s="1188"/>
      <c r="Z510" s="1188"/>
      <c r="AA510" s="1188"/>
      <c r="AB510" s="1188"/>
      <c r="AC510" s="1189"/>
      <c r="AD510" s="1189"/>
      <c r="AE510" s="1189"/>
      <c r="AF510" s="1190"/>
      <c r="AG510" s="1190"/>
      <c r="AH510" s="1190"/>
      <c r="AI510" s="1190"/>
      <c r="AJ510" s="1190"/>
    </row>
    <row r="511" spans="1:36" x14ac:dyDescent="0.25">
      <c r="A511" s="1138">
        <v>502</v>
      </c>
      <c r="B511" s="1138" t="s">
        <v>40</v>
      </c>
      <c r="C511" s="1037" t="s">
        <v>136</v>
      </c>
      <c r="D511" s="1168" t="s">
        <v>1466</v>
      </c>
      <c r="E511" s="1268" t="s">
        <v>316</v>
      </c>
      <c r="F511" s="1268" t="s">
        <v>316</v>
      </c>
      <c r="I511" s="1045"/>
      <c r="J511" s="1042"/>
      <c r="K511" s="1174"/>
      <c r="L511" s="1022"/>
      <c r="M511" s="1175"/>
      <c r="S511" s="1188"/>
      <c r="T511" s="1188"/>
      <c r="U511" s="1188"/>
      <c r="V511" s="1188"/>
      <c r="W511" s="1188"/>
      <c r="X511" s="1188"/>
      <c r="Y511" s="1188"/>
      <c r="Z511" s="1188"/>
      <c r="AA511" s="1188"/>
      <c r="AB511" s="1188"/>
      <c r="AC511" s="1189"/>
      <c r="AD511" s="1189"/>
      <c r="AE511" s="1189"/>
      <c r="AF511" s="1190"/>
      <c r="AG511" s="1190"/>
      <c r="AH511" s="1190"/>
      <c r="AI511" s="1190"/>
      <c r="AJ511" s="1190"/>
    </row>
    <row r="512" spans="1:36" x14ac:dyDescent="0.25">
      <c r="A512" s="1138">
        <v>503</v>
      </c>
      <c r="B512" s="1138" t="s">
        <v>40</v>
      </c>
      <c r="C512" s="1037" t="s">
        <v>136</v>
      </c>
      <c r="D512" s="1169" t="s">
        <v>1467</v>
      </c>
      <c r="E512" s="1271" t="s">
        <v>316</v>
      </c>
      <c r="F512" s="1271" t="s">
        <v>316</v>
      </c>
      <c r="I512" s="1018"/>
      <c r="J512" s="1041"/>
      <c r="K512" s="1174"/>
      <c r="L512" s="1022"/>
      <c r="M512" s="1175"/>
      <c r="S512" s="1188"/>
      <c r="T512" s="1188"/>
      <c r="U512" s="1188"/>
      <c r="V512" s="1188"/>
      <c r="W512" s="1188"/>
      <c r="X512" s="1188"/>
      <c r="Y512" s="1188"/>
      <c r="Z512" s="1188"/>
      <c r="AA512" s="1188"/>
      <c r="AB512" s="1188"/>
      <c r="AC512" s="1189"/>
      <c r="AD512" s="1189"/>
      <c r="AE512" s="1189"/>
      <c r="AF512" s="1190"/>
      <c r="AG512" s="1190"/>
      <c r="AH512" s="1190"/>
      <c r="AI512" s="1190"/>
      <c r="AJ512" s="1190"/>
    </row>
    <row r="513" spans="1:37" x14ac:dyDescent="0.25">
      <c r="A513" s="1138">
        <v>504</v>
      </c>
      <c r="B513" s="1138" t="s">
        <v>40</v>
      </c>
      <c r="C513" s="1037" t="s">
        <v>136</v>
      </c>
      <c r="D513" s="1293" t="s">
        <v>1468</v>
      </c>
      <c r="E513" s="1271" t="s">
        <v>316</v>
      </c>
      <c r="F513" s="1271" t="s">
        <v>316</v>
      </c>
      <c r="I513" s="1018"/>
      <c r="J513" s="1041"/>
      <c r="K513" s="1174"/>
      <c r="L513" s="1022"/>
      <c r="M513" s="1175"/>
      <c r="S513" s="1188"/>
      <c r="T513" s="1188"/>
      <c r="U513" s="1188"/>
      <c r="V513" s="1188"/>
      <c r="W513" s="1188"/>
      <c r="X513" s="1188"/>
      <c r="Y513" s="1188"/>
      <c r="Z513" s="1188"/>
      <c r="AA513" s="1188"/>
      <c r="AB513" s="1188"/>
      <c r="AC513" s="1189"/>
      <c r="AD513" s="1189"/>
      <c r="AE513" s="1189"/>
      <c r="AF513" s="1190"/>
      <c r="AG513" s="1190"/>
      <c r="AH513" s="1190"/>
      <c r="AI513" s="1190"/>
      <c r="AJ513" s="1190"/>
    </row>
    <row r="514" spans="1:37" x14ac:dyDescent="0.25">
      <c r="A514" s="1138">
        <v>505</v>
      </c>
      <c r="B514" s="1138" t="s">
        <v>40</v>
      </c>
      <c r="C514" s="1037" t="s">
        <v>136</v>
      </c>
      <c r="D514" s="1293" t="s">
        <v>1470</v>
      </c>
      <c r="E514" s="1271" t="s">
        <v>316</v>
      </c>
      <c r="F514" s="1271" t="s">
        <v>316</v>
      </c>
      <c r="I514" s="1018"/>
      <c r="J514" s="1041"/>
      <c r="K514" s="1174"/>
      <c r="L514" s="1022"/>
      <c r="M514" s="1175"/>
      <c r="S514" s="1188"/>
      <c r="T514" s="1188"/>
      <c r="U514" s="1188"/>
      <c r="V514" s="1188"/>
      <c r="W514" s="1188"/>
      <c r="X514" s="1188"/>
      <c r="Y514" s="1188"/>
      <c r="Z514" s="1188"/>
      <c r="AA514" s="1188"/>
      <c r="AB514" s="1188"/>
      <c r="AC514" s="1189"/>
      <c r="AD514" s="1189"/>
      <c r="AE514" s="1189"/>
      <c r="AF514" s="1190"/>
      <c r="AG514" s="1190"/>
      <c r="AH514" s="1190"/>
      <c r="AI514" s="1190"/>
      <c r="AJ514" s="1190"/>
    </row>
    <row r="515" spans="1:37" x14ac:dyDescent="0.25">
      <c r="A515" s="1138">
        <v>506</v>
      </c>
      <c r="B515" s="1138" t="s">
        <v>40</v>
      </c>
      <c r="C515" s="1037" t="s">
        <v>136</v>
      </c>
      <c r="D515" s="1293" t="s">
        <v>1471</v>
      </c>
      <c r="E515" s="1271" t="s">
        <v>316</v>
      </c>
      <c r="F515" s="1271" t="s">
        <v>316</v>
      </c>
      <c r="I515" s="1018"/>
      <c r="J515" s="1041"/>
      <c r="K515" s="1174"/>
      <c r="L515" s="1022"/>
      <c r="M515" s="1175"/>
      <c r="S515" s="1188"/>
      <c r="T515" s="1188"/>
      <c r="U515" s="1188"/>
      <c r="V515" s="1188"/>
      <c r="W515" s="1188"/>
      <c r="X515" s="1188"/>
      <c r="Y515" s="1188"/>
      <c r="Z515" s="1188"/>
      <c r="AA515" s="1188"/>
      <c r="AB515" s="1188"/>
      <c r="AC515" s="1189"/>
      <c r="AD515" s="1189"/>
      <c r="AE515" s="1189"/>
      <c r="AF515" s="1190"/>
      <c r="AG515" s="1190"/>
      <c r="AH515" s="1190"/>
      <c r="AI515" s="1190"/>
      <c r="AJ515" s="1190"/>
    </row>
    <row r="516" spans="1:37" x14ac:dyDescent="0.25">
      <c r="A516" s="1138">
        <v>507</v>
      </c>
      <c r="B516" s="1138" t="s">
        <v>40</v>
      </c>
      <c r="C516" s="1037" t="s">
        <v>136</v>
      </c>
      <c r="D516" s="1293" t="s">
        <v>1087</v>
      </c>
      <c r="E516" s="1271" t="s">
        <v>316</v>
      </c>
      <c r="F516" s="1271" t="s">
        <v>316</v>
      </c>
      <c r="I516" s="1018"/>
      <c r="J516" s="1041"/>
      <c r="K516" s="1174"/>
      <c r="L516" s="1022"/>
      <c r="M516" s="1175"/>
      <c r="S516" s="1188"/>
      <c r="T516" s="1188"/>
      <c r="U516" s="1188"/>
      <c r="V516" s="1188"/>
      <c r="W516" s="1188"/>
      <c r="X516" s="1188"/>
      <c r="Y516" s="1188"/>
      <c r="Z516" s="1188"/>
      <c r="AA516" s="1188"/>
      <c r="AB516" s="1188"/>
      <c r="AC516" s="1189"/>
      <c r="AD516" s="1189"/>
      <c r="AE516" s="1189"/>
      <c r="AF516" s="1190"/>
      <c r="AG516" s="1190"/>
      <c r="AH516" s="1190"/>
      <c r="AI516" s="1190"/>
      <c r="AJ516" s="1190"/>
    </row>
    <row r="517" spans="1:37" x14ac:dyDescent="0.25">
      <c r="A517" s="1138">
        <v>508</v>
      </c>
      <c r="B517" s="1138" t="s">
        <v>40</v>
      </c>
      <c r="C517" s="1037" t="s">
        <v>136</v>
      </c>
      <c r="D517" s="1169" t="s">
        <v>1472</v>
      </c>
      <c r="E517" s="1271" t="s">
        <v>316</v>
      </c>
      <c r="F517" s="1271" t="s">
        <v>316</v>
      </c>
      <c r="I517" s="1018"/>
      <c r="J517" s="1041"/>
      <c r="K517" s="1174"/>
      <c r="L517" s="1022"/>
      <c r="M517" s="1175"/>
      <c r="S517" s="1188"/>
      <c r="T517" s="1188"/>
      <c r="U517" s="1188"/>
      <c r="V517" s="1188"/>
      <c r="W517" s="1188"/>
      <c r="X517" s="1188"/>
      <c r="Y517" s="1188"/>
      <c r="Z517" s="1188"/>
      <c r="AA517" s="1188"/>
      <c r="AB517" s="1188"/>
      <c r="AC517" s="1189"/>
      <c r="AD517" s="1189"/>
      <c r="AE517" s="1189"/>
      <c r="AF517" s="1190"/>
      <c r="AG517" s="1190"/>
      <c r="AH517" s="1190"/>
      <c r="AI517" s="1190"/>
      <c r="AJ517" s="1190"/>
    </row>
    <row r="518" spans="1:37" x14ac:dyDescent="0.25">
      <c r="A518" s="1138">
        <v>509</v>
      </c>
      <c r="B518" s="1138" t="s">
        <v>40</v>
      </c>
      <c r="C518" s="1037" t="s">
        <v>136</v>
      </c>
      <c r="D518" s="1169" t="s">
        <v>1473</v>
      </c>
      <c r="E518" s="1271" t="s">
        <v>316</v>
      </c>
      <c r="F518" s="1271" t="s">
        <v>316</v>
      </c>
      <c r="H518" s="994"/>
      <c r="I518" s="1047"/>
      <c r="J518" s="1042"/>
      <c r="K518" s="1174"/>
      <c r="L518" s="1022"/>
      <c r="M518" s="1175"/>
      <c r="S518" s="1438"/>
      <c r="T518" s="1188"/>
      <c r="U518" s="1188"/>
      <c r="V518" s="1188"/>
      <c r="W518" s="1188"/>
      <c r="X518" s="1188"/>
      <c r="Y518" s="1188"/>
      <c r="Z518" s="1188"/>
      <c r="AA518" s="1188"/>
      <c r="AB518" s="1188"/>
      <c r="AC518" s="1189"/>
      <c r="AD518" s="1189"/>
      <c r="AE518" s="1189"/>
      <c r="AF518" s="1190"/>
      <c r="AG518" s="1190"/>
      <c r="AH518" s="1190"/>
      <c r="AI518" s="1190"/>
      <c r="AJ518" s="1190"/>
    </row>
    <row r="519" spans="1:37" ht="15.75" thickBot="1" x14ac:dyDescent="0.3">
      <c r="A519" s="1138">
        <v>510</v>
      </c>
      <c r="B519" s="1138" t="s">
        <v>40</v>
      </c>
      <c r="C519" s="1037" t="s">
        <v>136</v>
      </c>
      <c r="D519" s="1170" t="s">
        <v>1469</v>
      </c>
      <c r="E519" s="1275" t="s">
        <v>316</v>
      </c>
      <c r="F519" s="1275" t="s">
        <v>316</v>
      </c>
      <c r="I519" s="1018"/>
      <c r="J519" s="1041"/>
      <c r="K519" s="1174"/>
      <c r="L519" s="1022"/>
      <c r="M519" s="1175"/>
      <c r="S519" s="1188"/>
      <c r="T519" s="1188"/>
      <c r="U519" s="1188"/>
      <c r="V519" s="1188"/>
      <c r="W519" s="1188"/>
      <c r="X519" s="1188"/>
      <c r="Y519" s="1188"/>
      <c r="Z519" s="1188"/>
      <c r="AA519" s="1188"/>
      <c r="AB519" s="1188"/>
      <c r="AC519" s="1189"/>
      <c r="AD519" s="1189"/>
      <c r="AE519" s="1189"/>
      <c r="AF519" s="1190"/>
      <c r="AG519" s="1190"/>
      <c r="AH519" s="1190"/>
      <c r="AI519" s="1190"/>
      <c r="AJ519" s="1190"/>
    </row>
    <row r="520" spans="1:37" x14ac:dyDescent="0.25">
      <c r="A520" s="1138">
        <v>511</v>
      </c>
      <c r="B520" s="1138" t="s">
        <v>40</v>
      </c>
      <c r="C520" s="1037" t="s">
        <v>136</v>
      </c>
      <c r="H520" s="1046"/>
      <c r="I520" s="917"/>
      <c r="J520" s="1042"/>
      <c r="K520" s="1174"/>
      <c r="L520" s="1022"/>
      <c r="M520" s="1175"/>
      <c r="S520" s="1188"/>
      <c r="T520" s="1188"/>
      <c r="U520" s="1188"/>
      <c r="V520" s="1188"/>
      <c r="W520" s="1188"/>
      <c r="X520" s="1188"/>
      <c r="Y520" s="1188"/>
      <c r="Z520" s="1188"/>
      <c r="AA520" s="1188"/>
      <c r="AB520" s="1188"/>
      <c r="AC520" s="1189"/>
      <c r="AD520" s="1189"/>
      <c r="AE520" s="1189"/>
      <c r="AF520" s="1190"/>
      <c r="AG520" s="1190"/>
      <c r="AH520" s="1190"/>
      <c r="AI520" s="1190"/>
      <c r="AJ520" s="1190"/>
    </row>
    <row r="521" spans="1:37" ht="15.75" thickBot="1" x14ac:dyDescent="0.3">
      <c r="A521" s="1138">
        <v>512</v>
      </c>
      <c r="B521" s="1138" t="s">
        <v>40</v>
      </c>
      <c r="C521" s="1037" t="s">
        <v>136</v>
      </c>
      <c r="D521" s="938" t="s">
        <v>1009</v>
      </c>
      <c r="E521" s="937" t="s">
        <v>1008</v>
      </c>
      <c r="F521" s="937" t="s">
        <v>1007</v>
      </c>
      <c r="G521" s="937" t="s">
        <v>1006</v>
      </c>
      <c r="H521" s="937" t="s">
        <v>1014</v>
      </c>
      <c r="I521" s="1018"/>
      <c r="J521" s="1041"/>
      <c r="K521" s="1174"/>
      <c r="L521" s="1022"/>
      <c r="M521" s="1175"/>
      <c r="S521" s="1188"/>
      <c r="T521" s="1188"/>
      <c r="U521" s="1188"/>
      <c r="V521" s="1188"/>
      <c r="W521" s="1188"/>
      <c r="X521" s="1188"/>
      <c r="Y521" s="1188"/>
      <c r="Z521" s="1188"/>
      <c r="AA521" s="1188"/>
      <c r="AB521" s="1188"/>
      <c r="AC521" s="1189"/>
      <c r="AD521" s="1189"/>
      <c r="AE521" s="1189"/>
      <c r="AF521" s="1190"/>
      <c r="AG521" s="1190"/>
      <c r="AH521" s="1190"/>
      <c r="AI521" s="1190"/>
      <c r="AJ521" s="1190"/>
    </row>
    <row r="522" spans="1:37" ht="15.75" thickBot="1" x14ac:dyDescent="0.3">
      <c r="A522" s="1138">
        <v>513</v>
      </c>
      <c r="B522" s="1138" t="s">
        <v>40</v>
      </c>
      <c r="C522" s="1037" t="s">
        <v>136</v>
      </c>
      <c r="D522" s="1239" t="s">
        <v>1086</v>
      </c>
      <c r="E522" s="1240" t="s">
        <v>316</v>
      </c>
      <c r="F522" s="1228">
        <f>Poeng!AB94</f>
        <v>2</v>
      </c>
      <c r="G522" s="1228">
        <f>IF(E522=AIS_Yes,F522,0)</f>
        <v>0</v>
      </c>
      <c r="H522" s="969" t="s">
        <v>14</v>
      </c>
      <c r="I522" s="1045"/>
      <c r="J522" s="1041"/>
      <c r="K522" s="1174"/>
      <c r="L522" s="1022"/>
      <c r="M522" s="1175"/>
      <c r="S522" s="1191">
        <v>1</v>
      </c>
      <c r="T522" s="1191">
        <v>0.5</v>
      </c>
      <c r="U522" s="1192">
        <v>1</v>
      </c>
      <c r="V522" s="1193" t="str">
        <f>IF($X$4=AIS_Yes,S522,AIS_NA)</f>
        <v>N/A</v>
      </c>
      <c r="W522" s="1194" t="str">
        <f>IF($X$4=AIS_Yes,T522,AIS_NA)</f>
        <v>N/A</v>
      </c>
      <c r="X522" s="1195" t="str">
        <f>IF($X$4=AIS_Yes,U522,AIS_NA)</f>
        <v>N/A</v>
      </c>
      <c r="Y522" s="1196" t="str">
        <f>IF(AND($X$4=AIS_Yes,OR(V522&lt;&gt;AIS_NA,W522&lt;&gt;AIS_NA,X522&lt;&gt;AIS_NA)),AIS_Yes,AIS_No)</f>
        <v>No</v>
      </c>
      <c r="Z522" s="1193" t="e">
        <f>AIS_option01</f>
        <v>#NAME?</v>
      </c>
      <c r="AA522" s="1194" t="e">
        <f>AIS_option02_50</f>
        <v>#NAME?</v>
      </c>
      <c r="AB522" s="1197" t="e">
        <f>AIS_option03</f>
        <v>#NAME?</v>
      </c>
      <c r="AC522" s="1198"/>
      <c r="AD522" s="1199" t="str">
        <f>AIS_NA</f>
        <v>N/A</v>
      </c>
      <c r="AE522" s="1200" t="str">
        <f>IF(Y522=AIS_Yes,Z522,AIS_NA)</f>
        <v>N/A</v>
      </c>
      <c r="AF522" s="1200" t="str">
        <f>IF(Y522=AIS_Yes,AA522,AIS_NA)</f>
        <v>N/A</v>
      </c>
      <c r="AG522" s="1201" t="str">
        <f>IF(Y522=AIS_Yes,AB522,AIS_NA)</f>
        <v>N/A</v>
      </c>
      <c r="AH522" s="1202" t="str">
        <f>C522</f>
        <v>Ene 08</v>
      </c>
      <c r="AI522" s="1203" t="str">
        <f>D506</f>
        <v>Energy efficient equipment</v>
      </c>
      <c r="AJ522" s="1204" t="str">
        <f>H522</f>
        <v>N/A</v>
      </c>
      <c r="AK522" s="375">
        <f>IF(Y522=AIS_No,1,IF(H522=AE522,V522,IF(H522=AF522,W522,IF(H522=AG522,X522,1))))</f>
        <v>1</v>
      </c>
    </row>
    <row r="523" spans="1:37" x14ac:dyDescent="0.25">
      <c r="A523" s="1138">
        <v>514</v>
      </c>
      <c r="B523" s="1138" t="s">
        <v>40</v>
      </c>
      <c r="C523" s="1037" t="s">
        <v>136</v>
      </c>
      <c r="D523" s="1041"/>
      <c r="E523" s="1041"/>
      <c r="F523" s="1041"/>
      <c r="G523" s="1041"/>
      <c r="H523" s="1041"/>
      <c r="I523" s="1018"/>
      <c r="J523" s="1041"/>
      <c r="K523" s="1174"/>
      <c r="L523" s="1022"/>
      <c r="M523" s="1175"/>
      <c r="S523" s="1438"/>
      <c r="T523" s="1188"/>
      <c r="U523" s="1188"/>
      <c r="V523" s="1188"/>
      <c r="W523" s="1188"/>
      <c r="X523" s="1188"/>
      <c r="Y523" s="1188"/>
      <c r="Z523" s="1188"/>
      <c r="AA523" s="1188"/>
      <c r="AB523" s="1188"/>
      <c r="AC523" s="1189"/>
      <c r="AD523" s="1189"/>
      <c r="AE523" s="1189"/>
      <c r="AF523" s="1190"/>
      <c r="AG523" s="1190"/>
      <c r="AH523" s="1190"/>
      <c r="AI523" s="1190"/>
      <c r="AJ523" s="1190"/>
    </row>
    <row r="524" spans="1:37" ht="15.75" thickBot="1" x14ac:dyDescent="0.3">
      <c r="A524" s="1138">
        <v>515</v>
      </c>
      <c r="B524" s="1138" t="s">
        <v>40</v>
      </c>
      <c r="C524" s="1037" t="s">
        <v>136</v>
      </c>
      <c r="D524" s="938" t="s">
        <v>1572</v>
      </c>
      <c r="E524" s="937"/>
      <c r="F524" s="1041"/>
      <c r="G524" s="1041"/>
      <c r="H524" s="1041"/>
      <c r="I524" s="1018"/>
      <c r="J524" s="1041"/>
      <c r="K524" s="1174"/>
      <c r="L524" s="1022"/>
      <c r="M524" s="1175"/>
      <c r="S524" s="1188"/>
      <c r="T524" s="1188"/>
      <c r="U524" s="1188"/>
      <c r="V524" s="1188"/>
      <c r="W524" s="1188"/>
      <c r="X524" s="1188"/>
      <c r="Y524" s="1188"/>
      <c r="Z524" s="1188"/>
      <c r="AA524" s="1188"/>
      <c r="AB524" s="1188"/>
      <c r="AC524" s="1189"/>
      <c r="AD524" s="1189"/>
      <c r="AE524" s="1189"/>
      <c r="AF524" s="1190"/>
      <c r="AG524" s="1190"/>
      <c r="AH524" s="1190"/>
      <c r="AI524" s="1190"/>
      <c r="AJ524" s="1190"/>
    </row>
    <row r="525" spans="1:37" ht="15.75" thickBot="1" x14ac:dyDescent="0.3">
      <c r="A525" s="1138">
        <v>516</v>
      </c>
      <c r="B525" s="1138" t="s">
        <v>40</v>
      </c>
      <c r="C525" s="1037" t="s">
        <v>136</v>
      </c>
      <c r="D525" s="1239" t="s">
        <v>1895</v>
      </c>
      <c r="E525" s="1328"/>
      <c r="F525" s="1042" t="s">
        <v>1111</v>
      </c>
      <c r="G525" s="1041"/>
      <c r="H525" s="1041"/>
      <c r="I525" s="1018"/>
      <c r="J525" s="1041"/>
      <c r="K525" s="1174"/>
      <c r="L525" s="1022"/>
      <c r="M525" s="1175"/>
      <c r="S525" s="1188"/>
      <c r="T525" s="1188"/>
      <c r="U525" s="1188"/>
      <c r="V525" s="1188"/>
      <c r="W525" s="1188"/>
      <c r="X525" s="1188"/>
      <c r="Y525" s="1188"/>
      <c r="Z525" s="1188"/>
      <c r="AA525" s="1188"/>
      <c r="AB525" s="1188"/>
      <c r="AC525" s="1189"/>
      <c r="AD525" s="1189"/>
      <c r="AE525" s="1189"/>
      <c r="AF525" s="1190"/>
      <c r="AG525" s="1190"/>
      <c r="AH525" s="1190"/>
      <c r="AI525" s="1190"/>
      <c r="AJ525" s="1190"/>
    </row>
    <row r="526" spans="1:37" x14ac:dyDescent="0.25">
      <c r="A526" s="1138">
        <v>517</v>
      </c>
      <c r="B526" s="1138" t="s">
        <v>40</v>
      </c>
      <c r="C526" s="1037" t="s">
        <v>136</v>
      </c>
      <c r="I526" s="1018"/>
      <c r="J526" s="1041"/>
      <c r="K526" s="1174"/>
      <c r="L526" s="1022"/>
      <c r="M526" s="1175"/>
      <c r="S526" s="1188"/>
      <c r="T526" s="1188"/>
      <c r="U526" s="1188"/>
      <c r="V526" s="1188"/>
      <c r="W526" s="1188"/>
      <c r="X526" s="1188"/>
      <c r="Y526" s="1188"/>
      <c r="Z526" s="1188"/>
      <c r="AA526" s="1188"/>
      <c r="AB526" s="1188"/>
      <c r="AC526" s="1189"/>
      <c r="AD526" s="1189"/>
      <c r="AE526" s="1189"/>
      <c r="AF526" s="1190"/>
      <c r="AG526" s="1190"/>
      <c r="AH526" s="1190"/>
      <c r="AI526" s="1190"/>
      <c r="AJ526" s="1190"/>
    </row>
    <row r="527" spans="1:37" x14ac:dyDescent="0.25">
      <c r="A527" s="1138">
        <v>518</v>
      </c>
      <c r="B527" s="1138" t="s">
        <v>40</v>
      </c>
      <c r="C527" s="1037" t="s">
        <v>136</v>
      </c>
      <c r="D527" s="958" t="s">
        <v>1012</v>
      </c>
      <c r="E527" s="1272">
        <f>G522</f>
        <v>0</v>
      </c>
      <c r="I527" s="917"/>
      <c r="J527" s="1041"/>
      <c r="K527" s="1174"/>
      <c r="L527" s="1022"/>
      <c r="M527" s="1175"/>
      <c r="S527" s="1188"/>
      <c r="T527" s="1188"/>
      <c r="U527" s="1188"/>
      <c r="V527" s="1188"/>
      <c r="W527" s="1188"/>
      <c r="X527" s="1188"/>
      <c r="Y527" s="1188"/>
      <c r="Z527" s="1188"/>
      <c r="AA527" s="1188"/>
      <c r="AB527" s="1188"/>
      <c r="AC527" s="1189"/>
      <c r="AD527" s="1189"/>
      <c r="AE527" s="1189"/>
      <c r="AF527" s="1190"/>
      <c r="AG527" s="1190"/>
      <c r="AH527" s="1190"/>
      <c r="AI527" s="1190"/>
      <c r="AJ527" s="1190"/>
    </row>
    <row r="528" spans="1:37" x14ac:dyDescent="0.25">
      <c r="A528" s="1138">
        <v>519</v>
      </c>
      <c r="B528" s="1138" t="s">
        <v>40</v>
      </c>
      <c r="C528" s="1037" t="s">
        <v>136</v>
      </c>
      <c r="D528" s="924" t="s">
        <v>77</v>
      </c>
      <c r="E528" s="1273">
        <f>Ene08_29</f>
        <v>0</v>
      </c>
      <c r="I528" s="1018"/>
      <c r="J528" s="1041"/>
      <c r="K528" s="1174"/>
      <c r="L528" s="1022"/>
      <c r="M528" s="1175"/>
      <c r="S528" s="1188"/>
      <c r="T528" s="1188"/>
      <c r="U528" s="1188"/>
      <c r="V528" s="1188"/>
      <c r="W528" s="1188"/>
      <c r="X528" s="1188"/>
      <c r="Y528" s="1188"/>
      <c r="Z528" s="1188"/>
      <c r="AA528" s="1188"/>
      <c r="AB528" s="1188"/>
      <c r="AC528" s="1189"/>
      <c r="AD528" s="1189"/>
      <c r="AE528" s="1189"/>
      <c r="AF528" s="1190"/>
      <c r="AG528" s="1190"/>
      <c r="AH528" s="1190"/>
      <c r="AI528" s="1190"/>
      <c r="AJ528" s="1190"/>
    </row>
    <row r="529" spans="1:36" x14ac:dyDescent="0.25">
      <c r="A529" s="1138">
        <v>520</v>
      </c>
      <c r="B529" s="1138" t="s">
        <v>40</v>
      </c>
      <c r="C529" s="1037" t="s">
        <v>136</v>
      </c>
      <c r="D529" s="926" t="s">
        <v>1005</v>
      </c>
      <c r="E529" s="1272" t="s">
        <v>14</v>
      </c>
      <c r="I529" s="1018"/>
      <c r="J529" s="1041"/>
      <c r="K529" s="1174"/>
      <c r="L529" s="1022"/>
      <c r="M529" s="1175"/>
      <c r="S529" s="1188"/>
      <c r="T529" s="1188"/>
      <c r="U529" s="1188"/>
      <c r="V529" s="1188"/>
      <c r="W529" s="1188"/>
      <c r="X529" s="1188"/>
      <c r="Y529" s="1188"/>
      <c r="Z529" s="1188"/>
      <c r="AA529" s="1188"/>
      <c r="AB529" s="1188"/>
      <c r="AC529" s="1189"/>
      <c r="AD529" s="1189"/>
      <c r="AE529" s="1189"/>
      <c r="AF529" s="1190"/>
      <c r="AG529" s="1190"/>
      <c r="AH529" s="1190"/>
      <c r="AI529" s="1190"/>
      <c r="AJ529" s="1190"/>
    </row>
    <row r="530" spans="1:36" x14ac:dyDescent="0.25">
      <c r="A530" s="1138">
        <v>521</v>
      </c>
      <c r="B530" s="1138" t="s">
        <v>40</v>
      </c>
      <c r="C530" s="1037" t="s">
        <v>136</v>
      </c>
      <c r="D530" s="923" t="s">
        <v>46</v>
      </c>
      <c r="E530" s="1290" t="s">
        <v>14</v>
      </c>
      <c r="I530" s="1018"/>
      <c r="J530" s="1041"/>
      <c r="K530" s="1174"/>
      <c r="L530" s="1022"/>
      <c r="M530" s="1175"/>
      <c r="S530" s="1188"/>
      <c r="T530" s="1188"/>
      <c r="U530" s="1188"/>
      <c r="V530" s="1188"/>
      <c r="W530" s="1188"/>
      <c r="X530" s="1188"/>
      <c r="Y530" s="1188"/>
      <c r="Z530" s="1188"/>
      <c r="AA530" s="1188"/>
      <c r="AB530" s="1188"/>
      <c r="AC530" s="1189"/>
      <c r="AD530" s="1189"/>
      <c r="AE530" s="1189"/>
      <c r="AF530" s="1190"/>
      <c r="AG530" s="1190"/>
      <c r="AH530" s="1190"/>
      <c r="AI530" s="1190"/>
      <c r="AJ530" s="1190"/>
    </row>
    <row r="531" spans="1:36" x14ac:dyDescent="0.25">
      <c r="A531" s="1138">
        <v>522</v>
      </c>
      <c r="B531" s="1138" t="s">
        <v>40</v>
      </c>
      <c r="C531" s="1037" t="s">
        <v>136</v>
      </c>
      <c r="I531" s="1018"/>
      <c r="J531" s="1041"/>
      <c r="K531" s="1174"/>
      <c r="L531" s="1022"/>
      <c r="M531" s="1175"/>
      <c r="S531" s="1188"/>
      <c r="T531" s="1188"/>
      <c r="U531" s="1188"/>
      <c r="V531" s="1188"/>
      <c r="W531" s="1188"/>
      <c r="X531" s="1188"/>
      <c r="Y531" s="1188"/>
      <c r="Z531" s="1188"/>
      <c r="AA531" s="1188"/>
      <c r="AB531" s="1188"/>
      <c r="AC531" s="1189"/>
      <c r="AD531" s="1189"/>
      <c r="AE531" s="1189"/>
      <c r="AF531" s="1190"/>
      <c r="AG531" s="1190"/>
      <c r="AH531" s="1190"/>
      <c r="AI531" s="1190"/>
      <c r="AJ531" s="1190"/>
    </row>
    <row r="532" spans="1:36" x14ac:dyDescent="0.25">
      <c r="A532" s="1138">
        <v>523</v>
      </c>
      <c r="B532" s="1138" t="s">
        <v>40</v>
      </c>
      <c r="C532" s="1037" t="s">
        <v>136</v>
      </c>
      <c r="D532" s="920" t="s">
        <v>1004</v>
      </c>
      <c r="E532" s="920" t="s">
        <v>1003</v>
      </c>
      <c r="F532" s="920" t="str">
        <f>HLOOKUP(C532,'Assessment References'!$H$512:$BG$513,2,FALSE)</f>
        <v/>
      </c>
      <c r="G532" s="919"/>
      <c r="H532" s="918"/>
      <c r="I532" s="1018"/>
      <c r="J532" s="1041"/>
      <c r="K532" s="1174"/>
      <c r="L532" s="1022"/>
      <c r="M532" s="1175"/>
      <c r="S532" s="1188"/>
      <c r="T532" s="1188"/>
      <c r="U532" s="1188"/>
      <c r="V532" s="1188"/>
      <c r="W532" s="1188"/>
      <c r="X532" s="1188"/>
      <c r="Y532" s="1188"/>
      <c r="Z532" s="1188"/>
      <c r="AA532" s="1188"/>
      <c r="AB532" s="1188"/>
      <c r="AC532" s="1189"/>
      <c r="AD532" s="1189"/>
      <c r="AE532" s="1189"/>
      <c r="AF532" s="1190"/>
      <c r="AG532" s="1190"/>
      <c r="AH532" s="1190"/>
      <c r="AI532" s="1190"/>
      <c r="AJ532" s="1190"/>
    </row>
    <row r="533" spans="1:36" x14ac:dyDescent="0.25">
      <c r="A533" s="1138">
        <v>524</v>
      </c>
      <c r="B533" s="1138" t="s">
        <v>40</v>
      </c>
      <c r="C533" s="1037" t="s">
        <v>136</v>
      </c>
      <c r="D533" s="1539"/>
      <c r="E533" s="1540"/>
      <c r="F533" s="1540"/>
      <c r="G533" s="1540"/>
      <c r="H533" s="1541"/>
      <c r="I533" s="1018"/>
      <c r="J533" s="1041"/>
      <c r="K533" s="1174"/>
      <c r="L533" s="1022"/>
      <c r="M533" s="1175"/>
      <c r="S533" s="1188"/>
      <c r="T533" s="1188"/>
      <c r="U533" s="1188"/>
      <c r="V533" s="1188"/>
      <c r="W533" s="1188"/>
      <c r="X533" s="1188"/>
      <c r="Y533" s="1188"/>
      <c r="Z533" s="1188"/>
      <c r="AA533" s="1188"/>
      <c r="AB533" s="1188"/>
      <c r="AC533" s="1189"/>
      <c r="AD533" s="1189"/>
      <c r="AE533" s="1189"/>
      <c r="AF533" s="1190"/>
      <c r="AG533" s="1190"/>
      <c r="AH533" s="1190"/>
      <c r="AI533" s="1190"/>
      <c r="AJ533" s="1190"/>
    </row>
    <row r="534" spans="1:36" x14ac:dyDescent="0.25">
      <c r="A534" s="1138">
        <v>525</v>
      </c>
      <c r="B534" s="1138" t="s">
        <v>40</v>
      </c>
      <c r="C534" s="1037" t="s">
        <v>136</v>
      </c>
      <c r="D534" s="1530"/>
      <c r="E534" s="1531"/>
      <c r="F534" s="1531"/>
      <c r="G534" s="1531"/>
      <c r="H534" s="1532"/>
      <c r="I534" s="1018"/>
      <c r="J534" s="1041"/>
      <c r="K534" s="1174"/>
      <c r="L534" s="1022"/>
      <c r="M534" s="1175"/>
      <c r="S534" s="1188"/>
      <c r="T534" s="1188"/>
      <c r="U534" s="1188"/>
      <c r="V534" s="1188"/>
      <c r="W534" s="1188"/>
      <c r="X534" s="1188"/>
      <c r="Y534" s="1188"/>
      <c r="Z534" s="1188"/>
      <c r="AA534" s="1188"/>
      <c r="AB534" s="1188"/>
      <c r="AC534" s="1189"/>
      <c r="AD534" s="1189"/>
      <c r="AE534" s="1189"/>
      <c r="AF534" s="1190"/>
      <c r="AG534" s="1190"/>
      <c r="AH534" s="1190"/>
      <c r="AI534" s="1190"/>
      <c r="AJ534" s="1190"/>
    </row>
    <row r="535" spans="1:36" x14ac:dyDescent="0.25">
      <c r="A535" s="1138">
        <v>526</v>
      </c>
      <c r="B535" s="1138" t="s">
        <v>40</v>
      </c>
      <c r="C535" s="1037" t="s">
        <v>136</v>
      </c>
      <c r="D535" s="1530"/>
      <c r="E535" s="1531"/>
      <c r="F535" s="1531"/>
      <c r="G535" s="1531"/>
      <c r="H535" s="1532"/>
      <c r="I535" s="1018"/>
      <c r="J535" s="1041"/>
      <c r="K535" s="1174"/>
      <c r="L535" s="1022"/>
      <c r="M535" s="1175"/>
      <c r="S535" s="1188"/>
      <c r="T535" s="1188"/>
      <c r="U535" s="1188"/>
      <c r="V535" s="1188"/>
      <c r="W535" s="1188"/>
      <c r="X535" s="1188"/>
      <c r="Y535" s="1188"/>
      <c r="Z535" s="1188"/>
      <c r="AA535" s="1188"/>
      <c r="AB535" s="1188"/>
      <c r="AC535" s="1189"/>
      <c r="AD535" s="1189"/>
      <c r="AE535" s="1189"/>
      <c r="AF535" s="1190"/>
      <c r="AG535" s="1190"/>
      <c r="AH535" s="1190"/>
      <c r="AI535" s="1190"/>
      <c r="AJ535" s="1190"/>
    </row>
    <row r="536" spans="1:36" x14ac:dyDescent="0.25">
      <c r="A536" s="1138">
        <v>527</v>
      </c>
      <c r="B536" s="1138" t="s">
        <v>40</v>
      </c>
      <c r="C536" s="1037" t="s">
        <v>136</v>
      </c>
      <c r="D536" s="1533"/>
      <c r="E536" s="1534"/>
      <c r="F536" s="1534"/>
      <c r="G536" s="1534"/>
      <c r="H536" s="1535"/>
      <c r="I536" s="1018"/>
      <c r="J536" s="1041"/>
      <c r="K536" s="1174"/>
      <c r="L536" s="1022"/>
      <c r="M536" s="1175"/>
      <c r="S536" s="1188"/>
      <c r="T536" s="1188"/>
      <c r="U536" s="1188"/>
      <c r="V536" s="1188"/>
      <c r="W536" s="1188"/>
      <c r="X536" s="1188"/>
      <c r="Y536" s="1188"/>
      <c r="Z536" s="1188"/>
      <c r="AA536" s="1188"/>
      <c r="AB536" s="1188"/>
      <c r="AC536" s="1189"/>
      <c r="AD536" s="1189"/>
      <c r="AE536" s="1189"/>
      <c r="AF536" s="1190"/>
      <c r="AG536" s="1190"/>
      <c r="AH536" s="1190"/>
      <c r="AI536" s="1190"/>
      <c r="AJ536" s="1190"/>
    </row>
    <row r="537" spans="1:36" x14ac:dyDescent="0.25">
      <c r="A537" s="1138">
        <v>528</v>
      </c>
      <c r="B537" s="1138" t="s">
        <v>40</v>
      </c>
      <c r="C537" s="1037" t="s">
        <v>136</v>
      </c>
      <c r="D537" s="1533"/>
      <c r="E537" s="1534"/>
      <c r="F537" s="1534"/>
      <c r="G537" s="1534"/>
      <c r="H537" s="1535"/>
      <c r="I537" s="1018"/>
      <c r="J537" s="1041"/>
      <c r="K537" s="1174"/>
      <c r="L537" s="1022"/>
      <c r="M537" s="1175"/>
      <c r="S537" s="1188"/>
      <c r="T537" s="1188"/>
      <c r="U537" s="1188"/>
      <c r="V537" s="1188"/>
      <c r="W537" s="1188"/>
      <c r="X537" s="1188"/>
      <c r="Y537" s="1188"/>
      <c r="Z537" s="1188"/>
      <c r="AA537" s="1188"/>
      <c r="AB537" s="1188"/>
      <c r="AC537" s="1189"/>
      <c r="AD537" s="1189"/>
      <c r="AE537" s="1189"/>
      <c r="AF537" s="1190"/>
      <c r="AG537" s="1190"/>
      <c r="AH537" s="1190"/>
      <c r="AI537" s="1190"/>
      <c r="AJ537" s="1190"/>
    </row>
    <row r="538" spans="1:36" x14ac:dyDescent="0.25">
      <c r="A538" s="1138">
        <v>529</v>
      </c>
      <c r="B538" s="1138" t="s">
        <v>40</v>
      </c>
      <c r="C538" s="1037" t="s">
        <v>136</v>
      </c>
      <c r="D538" s="1536"/>
      <c r="E538" s="1537"/>
      <c r="F538" s="1537"/>
      <c r="G538" s="1537"/>
      <c r="H538" s="1538"/>
      <c r="I538" s="1018"/>
      <c r="J538" s="1041"/>
      <c r="K538" s="1174"/>
      <c r="L538" s="1022"/>
      <c r="M538" s="1175"/>
      <c r="S538" s="1188"/>
      <c r="T538" s="1188"/>
      <c r="U538" s="1188"/>
      <c r="V538" s="1188"/>
      <c r="W538" s="1188"/>
      <c r="X538" s="1188"/>
      <c r="Y538" s="1188"/>
      <c r="Z538" s="1188"/>
      <c r="AA538" s="1188"/>
      <c r="AB538" s="1188"/>
      <c r="AC538" s="1189"/>
      <c r="AD538" s="1189"/>
      <c r="AE538" s="1189"/>
      <c r="AF538" s="1190"/>
      <c r="AG538" s="1190"/>
      <c r="AH538" s="1190"/>
      <c r="AI538" s="1190"/>
      <c r="AJ538" s="1190"/>
    </row>
    <row r="539" spans="1:36" x14ac:dyDescent="0.25">
      <c r="A539" s="1138">
        <v>530</v>
      </c>
      <c r="B539" s="1138" t="s">
        <v>40</v>
      </c>
      <c r="C539" s="1037" t="s">
        <v>136</v>
      </c>
      <c r="D539" s="1040"/>
      <c r="E539" s="1039"/>
      <c r="F539" s="1039"/>
      <c r="G539" s="1039"/>
      <c r="H539" s="1039"/>
      <c r="I539" s="1018"/>
      <c r="J539" s="1041"/>
      <c r="K539" s="1174"/>
      <c r="L539" s="1022"/>
      <c r="M539" s="1175"/>
      <c r="S539" s="1188"/>
      <c r="T539" s="1188"/>
      <c r="U539" s="1188"/>
      <c r="V539" s="1188"/>
      <c r="W539" s="1188"/>
      <c r="X539" s="1188"/>
      <c r="Y539" s="1188"/>
      <c r="Z539" s="1188"/>
      <c r="AA539" s="1188"/>
      <c r="AB539" s="1188"/>
      <c r="AC539" s="1189"/>
      <c r="AD539" s="1189"/>
      <c r="AE539" s="1189"/>
      <c r="AF539" s="1190"/>
      <c r="AG539" s="1190"/>
      <c r="AH539" s="1190"/>
      <c r="AI539" s="1190"/>
      <c r="AJ539" s="1190"/>
    </row>
    <row r="540" spans="1:36" ht="18.75" x14ac:dyDescent="0.3">
      <c r="A540" s="1138">
        <v>531</v>
      </c>
      <c r="B540" s="957" t="s">
        <v>48</v>
      </c>
      <c r="C540" s="956"/>
      <c r="D540" s="954"/>
      <c r="E540" s="954"/>
      <c r="F540" s="954"/>
      <c r="G540" s="954"/>
      <c r="H540" s="953"/>
      <c r="I540" s="1018"/>
      <c r="J540" s="1041"/>
      <c r="K540" s="1174"/>
      <c r="L540" s="1022"/>
      <c r="M540" s="1175"/>
      <c r="S540" s="504"/>
      <c r="T540" s="504"/>
      <c r="U540" s="504"/>
      <c r="V540" s="504"/>
      <c r="W540" s="504"/>
      <c r="X540" s="504"/>
      <c r="Y540" s="504"/>
      <c r="Z540" s="504"/>
      <c r="AA540" s="504"/>
      <c r="AB540" s="504"/>
      <c r="AC540" s="322"/>
      <c r="AD540" s="322"/>
      <c r="AE540" s="322"/>
    </row>
    <row r="541" spans="1:36" x14ac:dyDescent="0.25">
      <c r="A541" s="1138">
        <v>532</v>
      </c>
      <c r="B541" s="1138" t="s">
        <v>48</v>
      </c>
      <c r="C541" s="917"/>
      <c r="D541" s="1040"/>
      <c r="E541" s="1039"/>
      <c r="F541" s="1039"/>
      <c r="G541" s="1039"/>
      <c r="H541" s="1039"/>
      <c r="I541" s="1018"/>
      <c r="J541" s="1041"/>
      <c r="K541" s="1174"/>
      <c r="L541" s="1022"/>
      <c r="M541" s="1175"/>
      <c r="S541" s="504"/>
      <c r="T541" s="504"/>
      <c r="U541" s="504"/>
      <c r="V541" s="504"/>
      <c r="W541" s="504"/>
      <c r="X541" s="504"/>
      <c r="Y541" s="504"/>
      <c r="Z541" s="504"/>
      <c r="AA541" s="504"/>
      <c r="AB541" s="504"/>
      <c r="AC541" s="322"/>
      <c r="AD541" s="322"/>
      <c r="AE541" s="322"/>
    </row>
    <row r="542" spans="1:36" x14ac:dyDescent="0.25">
      <c r="A542" s="1138">
        <v>533</v>
      </c>
      <c r="B542" s="1139" t="s">
        <v>48</v>
      </c>
      <c r="C542" s="950" t="s">
        <v>141</v>
      </c>
      <c r="D542" s="1015" t="s">
        <v>822</v>
      </c>
      <c r="E542" s="1014"/>
      <c r="F542" s="1014"/>
      <c r="G542" s="1013"/>
      <c r="H542" s="1013"/>
      <c r="I542" s="1018"/>
      <c r="J542" s="1041"/>
      <c r="K542" s="1174"/>
      <c r="L542" s="1022"/>
      <c r="M542" s="1175"/>
      <c r="S542" s="504"/>
      <c r="T542" s="504"/>
      <c r="U542" s="504"/>
      <c r="V542" s="504"/>
      <c r="W542" s="504"/>
      <c r="X542" s="504"/>
      <c r="Y542" s="504"/>
      <c r="Z542" s="504"/>
      <c r="AA542" s="504"/>
      <c r="AB542" s="504"/>
      <c r="AC542" s="322"/>
      <c r="AD542" s="322"/>
      <c r="AE542" s="322"/>
    </row>
    <row r="543" spans="1:36" x14ac:dyDescent="0.25">
      <c r="A543" s="1138">
        <v>534</v>
      </c>
      <c r="B543" s="1138" t="s">
        <v>48</v>
      </c>
      <c r="C543" s="1037" t="s">
        <v>141</v>
      </c>
      <c r="D543" s="946" t="s">
        <v>15</v>
      </c>
      <c r="E543" s="1264">
        <f>Tra01_credits</f>
        <v>3</v>
      </c>
      <c r="F543" s="945"/>
      <c r="G543" s="944" t="s">
        <v>76</v>
      </c>
      <c r="H543" s="1266">
        <f>Tra01_07</f>
        <v>2.3076923076923078E-2</v>
      </c>
      <c r="I543" s="1018"/>
      <c r="J543" s="1041"/>
      <c r="K543" s="1174"/>
      <c r="L543" s="1022"/>
      <c r="M543" s="1175"/>
      <c r="S543" s="504"/>
      <c r="T543" s="504"/>
      <c r="U543" s="504"/>
      <c r="V543" s="504"/>
      <c r="W543" s="504"/>
      <c r="X543" s="504"/>
      <c r="Y543" s="504"/>
      <c r="Z543" s="504"/>
      <c r="AA543" s="504"/>
      <c r="AB543" s="504"/>
      <c r="AC543" s="322"/>
      <c r="AD543" s="322"/>
      <c r="AE543" s="322"/>
    </row>
    <row r="544" spans="1:36" x14ac:dyDescent="0.25">
      <c r="A544" s="1138">
        <v>535</v>
      </c>
      <c r="B544" s="1138" t="s">
        <v>48</v>
      </c>
      <c r="C544" s="1037" t="s">
        <v>141</v>
      </c>
      <c r="D544" s="972" t="s">
        <v>1011</v>
      </c>
      <c r="E544" s="1265">
        <v>0</v>
      </c>
      <c r="F544" s="941"/>
      <c r="G544" s="940" t="s">
        <v>1010</v>
      </c>
      <c r="H544" s="1267" t="s">
        <v>12</v>
      </c>
      <c r="I544" s="1018"/>
      <c r="J544" s="1041"/>
      <c r="K544" s="1174"/>
      <c r="L544" s="1022"/>
      <c r="M544" s="1175"/>
      <c r="S544" s="504"/>
      <c r="T544" s="504"/>
      <c r="U544" s="504"/>
      <c r="V544" s="504"/>
      <c r="W544" s="504"/>
      <c r="X544" s="504"/>
      <c r="Y544" s="504"/>
      <c r="Z544" s="504"/>
      <c r="AA544" s="504"/>
      <c r="AB544" s="504"/>
      <c r="AC544" s="322"/>
      <c r="AD544" s="322"/>
      <c r="AE544" s="322"/>
    </row>
    <row r="545" spans="1:31" x14ac:dyDescent="0.25">
      <c r="A545" s="1138">
        <v>536</v>
      </c>
      <c r="B545" s="1138" t="s">
        <v>48</v>
      </c>
      <c r="C545" s="1037" t="s">
        <v>141</v>
      </c>
      <c r="I545" s="1018"/>
      <c r="J545" s="1041"/>
      <c r="K545" s="1174"/>
      <c r="L545" s="1022"/>
      <c r="M545" s="1175"/>
      <c r="S545" s="504"/>
      <c r="T545" s="504"/>
      <c r="U545" s="504"/>
      <c r="V545" s="504"/>
      <c r="W545" s="504"/>
      <c r="X545" s="504"/>
      <c r="Y545" s="504"/>
      <c r="Z545" s="504"/>
      <c r="AA545" s="504"/>
      <c r="AB545" s="504"/>
      <c r="AC545" s="322"/>
      <c r="AD545" s="322"/>
      <c r="AE545" s="322"/>
    </row>
    <row r="546" spans="1:31" ht="15.75" thickBot="1" x14ac:dyDescent="0.3">
      <c r="A546" s="1138">
        <v>537</v>
      </c>
      <c r="B546" s="1138" t="s">
        <v>48</v>
      </c>
      <c r="C546" s="1037" t="s">
        <v>141</v>
      </c>
      <c r="D546" s="938" t="s">
        <v>1009</v>
      </c>
      <c r="E546" s="937" t="s">
        <v>1008</v>
      </c>
      <c r="F546" s="937" t="s">
        <v>1007</v>
      </c>
      <c r="G546" s="937" t="s">
        <v>1006</v>
      </c>
      <c r="H546" s="937" t="s">
        <v>1014</v>
      </c>
      <c r="I546" s="1018"/>
      <c r="J546" s="1041"/>
      <c r="K546" s="1174"/>
      <c r="L546" s="1022"/>
      <c r="M546" s="1175"/>
      <c r="S546" s="504"/>
      <c r="T546" s="504"/>
      <c r="U546" s="504"/>
      <c r="V546" s="504"/>
      <c r="W546" s="504"/>
      <c r="X546" s="504"/>
      <c r="Y546" s="504"/>
      <c r="Z546" s="504"/>
      <c r="AA546" s="504"/>
      <c r="AB546" s="504"/>
      <c r="AC546" s="322"/>
      <c r="AD546" s="322"/>
      <c r="AE546" s="322"/>
    </row>
    <row r="547" spans="1:31" x14ac:dyDescent="0.25">
      <c r="A547" s="1138">
        <v>538</v>
      </c>
      <c r="B547" s="1138" t="s">
        <v>48</v>
      </c>
      <c r="C547" s="1037" t="s">
        <v>141</v>
      </c>
      <c r="D547" s="1168" t="s">
        <v>822</v>
      </c>
      <c r="E547" s="1268" t="s">
        <v>316</v>
      </c>
      <c r="F547" s="1223">
        <f>Poeng!AB101</f>
        <v>2</v>
      </c>
      <c r="G547" s="1223">
        <f>IF(E547=AIS_Yes,F547,0)</f>
        <v>0</v>
      </c>
      <c r="H547" s="989" t="s">
        <v>14</v>
      </c>
      <c r="I547" s="1024"/>
      <c r="K547" s="1174"/>
      <c r="L547" s="1022"/>
      <c r="M547" s="1175"/>
      <c r="S547" s="62" t="s">
        <v>1015</v>
      </c>
      <c r="T547" s="504"/>
      <c r="U547" s="504"/>
      <c r="V547" s="504"/>
      <c r="W547" s="504"/>
      <c r="X547" s="504"/>
      <c r="Y547" s="504" t="str">
        <f>$X$4</f>
        <v>No</v>
      </c>
      <c r="Z547" s="504"/>
      <c r="AA547" s="504"/>
      <c r="AB547" s="504"/>
      <c r="AC547" s="322"/>
      <c r="AD547" s="322"/>
      <c r="AE547" s="322"/>
    </row>
    <row r="548" spans="1:31" ht="15.75" thickBot="1" x14ac:dyDescent="0.3">
      <c r="A548" s="1138">
        <v>539</v>
      </c>
      <c r="B548" s="1138" t="s">
        <v>48</v>
      </c>
      <c r="C548" s="1037" t="s">
        <v>141</v>
      </c>
      <c r="D548" s="1170" t="s">
        <v>1474</v>
      </c>
      <c r="E548" s="1275" t="s">
        <v>316</v>
      </c>
      <c r="F548" s="1226">
        <f>Poeng!AB102</f>
        <v>1</v>
      </c>
      <c r="G548" s="1227">
        <f>IF(E548=AIS_Yes,F548,0)</f>
        <v>0</v>
      </c>
      <c r="H548" s="986" t="s">
        <v>14</v>
      </c>
      <c r="I548" s="1043"/>
      <c r="J548" s="1042"/>
      <c r="K548" s="1174"/>
      <c r="L548" s="1022"/>
      <c r="M548" s="1175"/>
      <c r="S548" s="62" t="s">
        <v>1015</v>
      </c>
      <c r="T548" s="504"/>
      <c r="U548" s="504"/>
      <c r="V548" s="504"/>
      <c r="W548" s="504"/>
      <c r="X548" s="504"/>
      <c r="Y548" s="504" t="str">
        <f>$X$4</f>
        <v>No</v>
      </c>
      <c r="Z548" s="504"/>
      <c r="AA548" s="504"/>
      <c r="AB548" s="504"/>
      <c r="AC548" s="322"/>
      <c r="AD548" s="322"/>
      <c r="AE548" s="322"/>
    </row>
    <row r="549" spans="1:31" x14ac:dyDescent="0.25">
      <c r="A549" s="1138">
        <v>540</v>
      </c>
      <c r="B549" s="1138" t="s">
        <v>48</v>
      </c>
      <c r="C549" s="1037" t="s">
        <v>141</v>
      </c>
      <c r="I549" s="1018"/>
      <c r="J549" s="1041"/>
      <c r="K549" s="1174"/>
      <c r="L549" s="1022"/>
      <c r="M549" s="1175"/>
      <c r="S549" s="504"/>
      <c r="T549" s="504"/>
      <c r="U549" s="504"/>
      <c r="V549" s="504"/>
      <c r="W549" s="504"/>
      <c r="X549" s="504"/>
      <c r="Y549" s="504"/>
      <c r="Z549" s="504"/>
      <c r="AA549" s="504"/>
      <c r="AB549" s="504"/>
      <c r="AC549" s="322"/>
      <c r="AD549" s="322"/>
      <c r="AE549" s="322"/>
    </row>
    <row r="550" spans="1:31" ht="15.75" thickBot="1" x14ac:dyDescent="0.3">
      <c r="A550" s="1138">
        <v>541</v>
      </c>
      <c r="B550" s="1138" t="s">
        <v>48</v>
      </c>
      <c r="C550" s="1037" t="s">
        <v>141</v>
      </c>
      <c r="D550" s="938" t="s">
        <v>1572</v>
      </c>
      <c r="E550" s="937"/>
      <c r="I550" s="1018"/>
      <c r="J550" s="1041"/>
      <c r="K550" s="1174"/>
      <c r="L550" s="1022"/>
      <c r="M550" s="1175"/>
      <c r="S550" s="504"/>
      <c r="T550" s="504"/>
      <c r="U550" s="504"/>
      <c r="V550" s="504"/>
      <c r="W550" s="504"/>
      <c r="X550" s="504"/>
      <c r="Y550" s="504"/>
      <c r="Z550" s="504"/>
      <c r="AA550" s="504"/>
      <c r="AB550" s="504"/>
      <c r="AC550" s="322"/>
      <c r="AD550" s="322"/>
      <c r="AE550" s="322"/>
    </row>
    <row r="551" spans="1:31" x14ac:dyDescent="0.25">
      <c r="A551" s="1138">
        <v>542</v>
      </c>
      <c r="B551" s="1138" t="s">
        <v>48</v>
      </c>
      <c r="C551" s="1037" t="s">
        <v>141</v>
      </c>
      <c r="D551" s="1168" t="s">
        <v>1905</v>
      </c>
      <c r="E551" s="990"/>
      <c r="F551" s="375" t="s">
        <v>1599</v>
      </c>
      <c r="I551" s="1018"/>
      <c r="J551" s="1041"/>
      <c r="K551" s="1174"/>
      <c r="L551" s="1022"/>
      <c r="M551" s="1175"/>
      <c r="S551" s="504"/>
      <c r="T551" s="504"/>
      <c r="U551" s="504"/>
      <c r="V551" s="504"/>
      <c r="W551" s="504"/>
      <c r="X551" s="504"/>
      <c r="Y551" s="504"/>
      <c r="Z551" s="504"/>
      <c r="AA551" s="504"/>
      <c r="AB551" s="504"/>
      <c r="AC551" s="322"/>
      <c r="AD551" s="322"/>
      <c r="AE551" s="322"/>
    </row>
    <row r="552" spans="1:31" x14ac:dyDescent="0.25">
      <c r="A552" s="1138">
        <v>543</v>
      </c>
      <c r="B552" s="1138" t="s">
        <v>48</v>
      </c>
      <c r="C552" s="1037" t="s">
        <v>141</v>
      </c>
      <c r="D552" s="1293" t="s">
        <v>1906</v>
      </c>
      <c r="E552" s="1271"/>
      <c r="F552" s="375" t="s">
        <v>1599</v>
      </c>
      <c r="I552" s="1018"/>
      <c r="J552" s="1041"/>
      <c r="K552" s="1174"/>
      <c r="L552" s="1022"/>
      <c r="M552" s="1175"/>
      <c r="S552" s="504"/>
      <c r="T552" s="504"/>
      <c r="U552" s="504"/>
      <c r="V552" s="504"/>
      <c r="W552" s="504"/>
      <c r="X552" s="504"/>
      <c r="Y552" s="504"/>
      <c r="Z552" s="504"/>
      <c r="AA552" s="504"/>
      <c r="AB552" s="504"/>
      <c r="AC552" s="322"/>
      <c r="AD552" s="322"/>
      <c r="AE552" s="322"/>
    </row>
    <row r="553" spans="1:31" x14ac:dyDescent="0.25">
      <c r="A553" s="1138">
        <v>544</v>
      </c>
      <c r="B553" s="1138" t="s">
        <v>48</v>
      </c>
      <c r="C553" s="1037" t="s">
        <v>141</v>
      </c>
      <c r="D553" s="1293" t="s">
        <v>1611</v>
      </c>
      <c r="E553" s="1621">
        <f>IFERROR(1-(E552/E551),0)*100</f>
        <v>0</v>
      </c>
      <c r="F553" s="375" t="s">
        <v>1111</v>
      </c>
      <c r="I553" s="1018"/>
      <c r="J553" s="1041"/>
      <c r="K553" s="1174"/>
      <c r="L553" s="1022"/>
      <c r="M553" s="1175"/>
      <c r="S553" s="504"/>
      <c r="T553" s="504"/>
      <c r="U553" s="504"/>
      <c r="V553" s="504"/>
      <c r="W553" s="504"/>
      <c r="X553" s="504"/>
      <c r="Y553" s="504"/>
      <c r="Z553" s="504"/>
      <c r="AA553" s="504"/>
      <c r="AB553" s="504"/>
      <c r="AC553" s="322"/>
      <c r="AD553" s="322"/>
      <c r="AE553" s="322"/>
    </row>
    <row r="554" spans="1:31" ht="15.75" thickBot="1" x14ac:dyDescent="0.3">
      <c r="A554" s="1138">
        <v>545</v>
      </c>
      <c r="B554" s="1138" t="s">
        <v>48</v>
      </c>
      <c r="C554" s="1037" t="s">
        <v>141</v>
      </c>
      <c r="D554" s="1305" t="s">
        <v>1612</v>
      </c>
      <c r="E554" s="1301"/>
      <c r="I554" s="1018"/>
      <c r="J554" s="1041"/>
      <c r="K554" s="1174"/>
      <c r="L554" s="1022"/>
      <c r="M554" s="1175"/>
      <c r="S554" s="504"/>
      <c r="T554" s="504"/>
      <c r="U554" s="504"/>
      <c r="V554" s="504"/>
      <c r="W554" s="504"/>
      <c r="X554" s="504"/>
      <c r="Y554" s="504"/>
      <c r="Z554" s="504"/>
      <c r="AA554" s="504"/>
      <c r="AB554" s="504"/>
      <c r="AC554" s="322"/>
      <c r="AD554" s="322"/>
      <c r="AE554" s="322"/>
    </row>
    <row r="555" spans="1:31" x14ac:dyDescent="0.25">
      <c r="A555" s="1138">
        <v>546</v>
      </c>
      <c r="B555" s="1138" t="s">
        <v>48</v>
      </c>
      <c r="C555" s="1037" t="s">
        <v>141</v>
      </c>
      <c r="D555" s="1138"/>
      <c r="E555" s="1138"/>
      <c r="F555" s="1138"/>
      <c r="I555" s="1018"/>
      <c r="J555" s="1041"/>
      <c r="K555" s="1174"/>
      <c r="L555" s="1022"/>
      <c r="M555" s="1175"/>
      <c r="S555" s="504"/>
      <c r="T555" s="504"/>
      <c r="U555" s="504"/>
      <c r="V555" s="504"/>
      <c r="W555" s="504"/>
      <c r="X555" s="504"/>
      <c r="Y555" s="504"/>
      <c r="Z555" s="504"/>
      <c r="AA555" s="504"/>
      <c r="AB555" s="504"/>
      <c r="AC555" s="322"/>
      <c r="AD555" s="322"/>
      <c r="AE555" s="322"/>
    </row>
    <row r="556" spans="1:31" x14ac:dyDescent="0.25">
      <c r="A556" s="1138">
        <v>547</v>
      </c>
      <c r="B556" s="1138" t="s">
        <v>48</v>
      </c>
      <c r="C556" s="1037" t="s">
        <v>141</v>
      </c>
      <c r="D556" s="958" t="s">
        <v>1012</v>
      </c>
      <c r="E556" s="1272">
        <f>G547+G548</f>
        <v>0</v>
      </c>
      <c r="I556" s="1018"/>
      <c r="J556" s="1041"/>
      <c r="K556" s="1174"/>
      <c r="L556" s="1022"/>
      <c r="M556" s="1175"/>
      <c r="S556" s="504"/>
      <c r="T556" s="504"/>
      <c r="U556" s="504"/>
      <c r="V556" s="504"/>
      <c r="W556" s="504"/>
      <c r="X556" s="504"/>
      <c r="Y556" s="504"/>
      <c r="Z556" s="504"/>
      <c r="AA556" s="504"/>
      <c r="AB556" s="504"/>
      <c r="AC556" s="322"/>
      <c r="AD556" s="322"/>
      <c r="AE556" s="322"/>
    </row>
    <row r="557" spans="1:31" x14ac:dyDescent="0.25">
      <c r="A557" s="1138">
        <v>548</v>
      </c>
      <c r="B557" s="1138" t="s">
        <v>48</v>
      </c>
      <c r="C557" s="1037" t="s">
        <v>141</v>
      </c>
      <c r="D557" s="924" t="s">
        <v>77</v>
      </c>
      <c r="E557" s="1273">
        <f>TRa01_08</f>
        <v>0</v>
      </c>
      <c r="I557" s="1018"/>
      <c r="J557" s="1041"/>
      <c r="K557" s="1174"/>
      <c r="L557" s="1022"/>
      <c r="M557" s="1175"/>
      <c r="S557" s="504"/>
      <c r="T557" s="504"/>
      <c r="U557" s="504"/>
      <c r="V557" s="504"/>
      <c r="W557" s="504"/>
      <c r="X557" s="504"/>
      <c r="Y557" s="504"/>
      <c r="Z557" s="504"/>
      <c r="AA557" s="504"/>
      <c r="AB557" s="504"/>
      <c r="AC557" s="322"/>
      <c r="AD557" s="322"/>
      <c r="AE557" s="322"/>
    </row>
    <row r="558" spans="1:31" x14ac:dyDescent="0.25">
      <c r="A558" s="1138">
        <v>549</v>
      </c>
      <c r="B558" s="1138" t="s">
        <v>48</v>
      </c>
      <c r="C558" s="1037" t="s">
        <v>141</v>
      </c>
      <c r="D558" s="926" t="s">
        <v>1005</v>
      </c>
      <c r="E558" s="1272" t="s">
        <v>14</v>
      </c>
      <c r="I558" s="1018"/>
      <c r="J558" s="1041"/>
      <c r="K558" s="1174"/>
      <c r="L558" s="1022"/>
      <c r="M558" s="1175"/>
      <c r="S558" s="504"/>
      <c r="T558" s="504"/>
      <c r="U558" s="504"/>
      <c r="V558" s="504"/>
      <c r="W558" s="504"/>
      <c r="X558" s="504"/>
      <c r="Y558" s="504"/>
      <c r="Z558" s="504"/>
      <c r="AA558" s="504"/>
      <c r="AB558" s="504"/>
      <c r="AC558" s="322"/>
      <c r="AD558" s="322"/>
      <c r="AE558" s="322"/>
    </row>
    <row r="559" spans="1:31" x14ac:dyDescent="0.25">
      <c r="A559" s="1138">
        <v>550</v>
      </c>
      <c r="B559" s="1138" t="s">
        <v>48</v>
      </c>
      <c r="C559" s="1037" t="s">
        <v>141</v>
      </c>
      <c r="D559" s="923" t="s">
        <v>46</v>
      </c>
      <c r="E559" s="1290" t="str">
        <f>VLOOKUP(MIN(Poeng!BD100:BD102),Poeng!$BO$285:$BP$291,2,FALSE)</f>
        <v>Very Good</v>
      </c>
      <c r="I559" s="1018"/>
      <c r="J559" s="1041"/>
      <c r="K559" s="1174"/>
      <c r="L559" s="1022"/>
      <c r="M559" s="1175"/>
      <c r="S559" s="504"/>
      <c r="T559" s="504"/>
      <c r="U559" s="504"/>
      <c r="V559" s="504"/>
      <c r="W559" s="504"/>
      <c r="X559" s="504"/>
      <c r="Y559" s="504"/>
      <c r="Z559" s="504"/>
      <c r="AA559" s="504"/>
      <c r="AB559" s="504"/>
      <c r="AC559" s="322"/>
      <c r="AD559" s="322"/>
      <c r="AE559" s="322"/>
    </row>
    <row r="560" spans="1:31" x14ac:dyDescent="0.25">
      <c r="A560" s="1138">
        <v>551</v>
      </c>
      <c r="B560" s="1138" t="s">
        <v>48</v>
      </c>
      <c r="C560" s="1037" t="s">
        <v>141</v>
      </c>
      <c r="I560" s="1018"/>
      <c r="J560" s="1041"/>
      <c r="K560" s="1174"/>
      <c r="L560" s="1022"/>
      <c r="M560" s="1175"/>
      <c r="S560" s="504"/>
      <c r="T560" s="504"/>
      <c r="U560" s="504"/>
      <c r="V560" s="504"/>
      <c r="W560" s="504"/>
      <c r="X560" s="504"/>
      <c r="Y560" s="504"/>
      <c r="Z560" s="504"/>
      <c r="AA560" s="504"/>
      <c r="AB560" s="504"/>
      <c r="AC560" s="322"/>
      <c r="AD560" s="322"/>
      <c r="AE560" s="322"/>
    </row>
    <row r="561" spans="1:31" x14ac:dyDescent="0.25">
      <c r="A561" s="1138">
        <v>552</v>
      </c>
      <c r="B561" s="1138" t="s">
        <v>48</v>
      </c>
      <c r="C561" s="1037" t="s">
        <v>141</v>
      </c>
      <c r="D561" s="920" t="s">
        <v>1004</v>
      </c>
      <c r="E561" s="920" t="s">
        <v>1003</v>
      </c>
      <c r="F561" s="920" t="str">
        <f>HLOOKUP(C561,'Assessment References'!$H$512:$BG$513,2,FALSE)</f>
        <v/>
      </c>
      <c r="G561" s="919"/>
      <c r="H561" s="918"/>
      <c r="I561" s="1018"/>
      <c r="J561" s="1041"/>
      <c r="K561" s="1174"/>
      <c r="L561" s="1022"/>
      <c r="M561" s="1175"/>
      <c r="S561" s="504"/>
      <c r="T561" s="504"/>
      <c r="U561" s="504"/>
      <c r="V561" s="504"/>
      <c r="W561" s="504"/>
      <c r="X561" s="504"/>
      <c r="Y561" s="504"/>
      <c r="Z561" s="504"/>
      <c r="AA561" s="504"/>
      <c r="AB561" s="504"/>
      <c r="AC561" s="322"/>
      <c r="AD561" s="322"/>
      <c r="AE561" s="322"/>
    </row>
    <row r="562" spans="1:31" x14ac:dyDescent="0.25">
      <c r="A562" s="1138">
        <v>553</v>
      </c>
      <c r="B562" s="1138" t="s">
        <v>48</v>
      </c>
      <c r="C562" s="1037" t="s">
        <v>141</v>
      </c>
      <c r="D562" s="1539"/>
      <c r="E562" s="1540"/>
      <c r="F562" s="1540"/>
      <c r="G562" s="1540"/>
      <c r="H562" s="1541"/>
      <c r="I562" s="1018"/>
      <c r="J562" s="1041"/>
      <c r="K562" s="1174"/>
      <c r="L562" s="1022"/>
      <c r="M562" s="1175"/>
      <c r="S562" s="504"/>
      <c r="T562" s="504"/>
      <c r="U562" s="504"/>
      <c r="V562" s="504"/>
      <c r="W562" s="504"/>
      <c r="X562" s="504"/>
      <c r="Y562" s="504"/>
      <c r="Z562" s="504"/>
      <c r="AA562" s="504"/>
      <c r="AB562" s="504"/>
      <c r="AC562" s="322"/>
      <c r="AD562" s="322"/>
      <c r="AE562" s="322"/>
    </row>
    <row r="563" spans="1:31" x14ac:dyDescent="0.25">
      <c r="A563" s="1138">
        <v>554</v>
      </c>
      <c r="B563" s="1138" t="s">
        <v>48</v>
      </c>
      <c r="C563" s="1037" t="s">
        <v>141</v>
      </c>
      <c r="D563" s="1530"/>
      <c r="E563" s="1531"/>
      <c r="F563" s="1531"/>
      <c r="G563" s="1531"/>
      <c r="H563" s="1532"/>
      <c r="I563" s="1018"/>
      <c r="J563" s="1041"/>
      <c r="K563" s="1174"/>
      <c r="L563" s="1022"/>
      <c r="M563" s="1175"/>
      <c r="S563" s="504"/>
      <c r="T563" s="504"/>
      <c r="U563" s="504"/>
      <c r="V563" s="504"/>
      <c r="W563" s="504"/>
      <c r="X563" s="504"/>
      <c r="Y563" s="504"/>
      <c r="Z563" s="504"/>
      <c r="AA563" s="504"/>
      <c r="AB563" s="504"/>
      <c r="AC563" s="322"/>
      <c r="AD563" s="322"/>
      <c r="AE563" s="322"/>
    </row>
    <row r="564" spans="1:31" x14ac:dyDescent="0.25">
      <c r="A564" s="1138">
        <v>555</v>
      </c>
      <c r="B564" s="1138" t="s">
        <v>48</v>
      </c>
      <c r="C564" s="1037" t="s">
        <v>141</v>
      </c>
      <c r="D564" s="1530"/>
      <c r="E564" s="1531"/>
      <c r="F564" s="1531"/>
      <c r="G564" s="1531"/>
      <c r="H564" s="1532"/>
      <c r="I564" s="1018"/>
      <c r="J564" s="1041"/>
      <c r="K564" s="1174"/>
      <c r="L564" s="1022"/>
      <c r="M564" s="1175"/>
      <c r="S564" s="504"/>
      <c r="T564" s="504"/>
      <c r="U564" s="504"/>
      <c r="V564" s="504"/>
      <c r="W564" s="504"/>
      <c r="X564" s="504"/>
      <c r="Y564" s="504"/>
      <c r="Z564" s="504"/>
      <c r="AA564" s="504"/>
      <c r="AB564" s="504"/>
      <c r="AC564" s="322"/>
      <c r="AD564" s="322"/>
      <c r="AE564" s="322"/>
    </row>
    <row r="565" spans="1:31" x14ac:dyDescent="0.25">
      <c r="A565" s="1138">
        <v>556</v>
      </c>
      <c r="B565" s="1138" t="s">
        <v>48</v>
      </c>
      <c r="C565" s="1037" t="s">
        <v>141</v>
      </c>
      <c r="D565" s="1533"/>
      <c r="E565" s="1534"/>
      <c r="F565" s="1534"/>
      <c r="G565" s="1534"/>
      <c r="H565" s="1535"/>
      <c r="I565" s="1018"/>
      <c r="J565" s="1041"/>
      <c r="K565" s="1174"/>
      <c r="L565" s="1022"/>
      <c r="M565" s="1175"/>
      <c r="S565" s="504"/>
      <c r="T565" s="504"/>
      <c r="U565" s="504"/>
      <c r="V565" s="504"/>
      <c r="W565" s="504"/>
      <c r="X565" s="504"/>
      <c r="Y565" s="504"/>
      <c r="Z565" s="504"/>
      <c r="AA565" s="504"/>
      <c r="AB565" s="504"/>
      <c r="AC565" s="322"/>
      <c r="AD565" s="322"/>
      <c r="AE565" s="322"/>
    </row>
    <row r="566" spans="1:31" ht="15.75" thickBot="1" x14ac:dyDescent="0.3">
      <c r="A566" s="1138">
        <v>557</v>
      </c>
      <c r="B566" s="1138" t="s">
        <v>48</v>
      </c>
      <c r="C566" s="1037" t="s">
        <v>141</v>
      </c>
      <c r="D566" s="1533"/>
      <c r="E566" s="1534"/>
      <c r="F566" s="1534"/>
      <c r="G566" s="1534"/>
      <c r="H566" s="1535"/>
      <c r="I566" s="1018"/>
      <c r="J566" s="1041"/>
      <c r="K566" s="1174"/>
      <c r="L566" s="1022"/>
      <c r="M566" s="1175"/>
      <c r="S566" s="504"/>
      <c r="T566" s="504"/>
      <c r="U566" s="504"/>
      <c r="V566" s="504"/>
      <c r="W566" s="504"/>
      <c r="X566" s="504"/>
      <c r="Y566" s="504"/>
      <c r="Z566" s="504"/>
      <c r="AA566" s="504"/>
      <c r="AB566" s="504"/>
      <c r="AC566" s="322"/>
      <c r="AD566" s="322"/>
      <c r="AE566" s="322"/>
    </row>
    <row r="567" spans="1:31" x14ac:dyDescent="0.25">
      <c r="A567" s="1138">
        <v>558</v>
      </c>
      <c r="B567" s="1138" t="s">
        <v>48</v>
      </c>
      <c r="C567" s="1037" t="s">
        <v>141</v>
      </c>
      <c r="D567" s="1536"/>
      <c r="E567" s="1537"/>
      <c r="F567" s="1537"/>
      <c r="G567" s="1537"/>
      <c r="H567" s="1538"/>
      <c r="I567" s="1018"/>
      <c r="J567" s="1041"/>
      <c r="K567" s="1207"/>
      <c r="L567" s="1060" t="s">
        <v>1477</v>
      </c>
      <c r="M567" s="1208" t="s">
        <v>1478</v>
      </c>
      <c r="N567" s="1208" t="s">
        <v>1479</v>
      </c>
      <c r="O567" s="942" t="s">
        <v>316</v>
      </c>
      <c r="S567" s="504"/>
      <c r="T567" s="504"/>
      <c r="U567" s="504"/>
      <c r="V567" s="504"/>
      <c r="W567" s="504"/>
      <c r="X567" s="504"/>
      <c r="Y567" s="504"/>
      <c r="Z567" s="504"/>
      <c r="AA567" s="504"/>
      <c r="AB567" s="504"/>
      <c r="AC567" s="322"/>
      <c r="AD567" s="322"/>
      <c r="AE567" s="322"/>
    </row>
    <row r="568" spans="1:31" x14ac:dyDescent="0.25">
      <c r="A568" s="1138">
        <v>559</v>
      </c>
      <c r="B568" s="1138" t="s">
        <v>48</v>
      </c>
      <c r="C568" s="1037" t="s">
        <v>141</v>
      </c>
      <c r="D568" s="1040"/>
      <c r="E568" s="1039"/>
      <c r="F568" s="1039"/>
      <c r="G568" s="1039"/>
      <c r="H568" s="1039"/>
      <c r="I568" s="430"/>
      <c r="J568" s="430"/>
      <c r="K568" s="1035" t="s">
        <v>316</v>
      </c>
      <c r="L568" s="1184">
        <v>1</v>
      </c>
      <c r="M568" s="1183">
        <v>1</v>
      </c>
      <c r="N568" s="1183"/>
      <c r="O568" s="934">
        <v>1</v>
      </c>
      <c r="S568" s="504"/>
      <c r="T568" s="504"/>
      <c r="U568" s="504"/>
      <c r="V568" s="504"/>
      <c r="W568" s="504"/>
      <c r="X568" s="504"/>
      <c r="Y568" s="504"/>
      <c r="Z568" s="504"/>
      <c r="AA568" s="504"/>
      <c r="AB568" s="504"/>
      <c r="AC568" s="322"/>
      <c r="AD568" s="322"/>
      <c r="AE568" s="322"/>
    </row>
    <row r="569" spans="1:31" x14ac:dyDescent="0.25">
      <c r="A569" s="1138">
        <v>560</v>
      </c>
      <c r="B569" s="1139" t="s">
        <v>48</v>
      </c>
      <c r="C569" s="950" t="s">
        <v>142</v>
      </c>
      <c r="D569" s="1015" t="s">
        <v>1078</v>
      </c>
      <c r="E569" s="1014"/>
      <c r="F569" s="1014"/>
      <c r="G569" s="1013"/>
      <c r="H569" s="1013"/>
      <c r="I569" s="430"/>
      <c r="J569" s="430"/>
      <c r="K569" s="1035" t="s">
        <v>1477</v>
      </c>
      <c r="L569" s="1184">
        <v>2</v>
      </c>
      <c r="M569" s="1183"/>
      <c r="N569" s="1183">
        <v>1</v>
      </c>
      <c r="O569" s="934">
        <v>2</v>
      </c>
      <c r="S569" s="1188"/>
      <c r="T569" s="504"/>
      <c r="U569" s="504"/>
      <c r="V569" s="504"/>
      <c r="W569" s="504"/>
      <c r="X569" s="504"/>
      <c r="Y569" s="504"/>
      <c r="Z569" s="504"/>
      <c r="AA569" s="504"/>
      <c r="AB569" s="504"/>
      <c r="AC569" s="322"/>
      <c r="AD569" s="322"/>
      <c r="AE569" s="322"/>
    </row>
    <row r="570" spans="1:31" x14ac:dyDescent="0.25">
      <c r="A570" s="1138">
        <v>561</v>
      </c>
      <c r="B570" s="1138" t="s">
        <v>48</v>
      </c>
      <c r="C570" s="1037" t="s">
        <v>142</v>
      </c>
      <c r="D570" s="946" t="s">
        <v>15</v>
      </c>
      <c r="E570" s="1264">
        <f>Tra02_credits</f>
        <v>10</v>
      </c>
      <c r="F570" s="945"/>
      <c r="G570" s="944" t="s">
        <v>76</v>
      </c>
      <c r="H570" s="1266">
        <f>Tra02_06</f>
        <v>7.6923076923076927E-2</v>
      </c>
      <c r="I570" s="430"/>
      <c r="J570" s="430"/>
      <c r="K570" s="1035" t="s">
        <v>1478</v>
      </c>
      <c r="L570" s="1184">
        <v>3</v>
      </c>
      <c r="M570" s="1183">
        <v>2</v>
      </c>
      <c r="N570" s="1183"/>
      <c r="O570" s="934">
        <v>3</v>
      </c>
      <c r="S570" s="1188"/>
      <c r="T570" s="504"/>
      <c r="U570" s="504"/>
      <c r="V570" s="504"/>
      <c r="W570" s="504"/>
      <c r="X570" s="504"/>
      <c r="Y570" s="504"/>
      <c r="Z570" s="504"/>
      <c r="AA570" s="504"/>
      <c r="AB570" s="504"/>
      <c r="AC570" s="322"/>
      <c r="AD570" s="322"/>
      <c r="AE570" s="322"/>
    </row>
    <row r="571" spans="1:31" x14ac:dyDescent="0.25">
      <c r="A571" s="1138">
        <v>562</v>
      </c>
      <c r="B571" s="1138" t="s">
        <v>48</v>
      </c>
      <c r="C571" s="1037" t="s">
        <v>142</v>
      </c>
      <c r="D571" s="972" t="s">
        <v>1011</v>
      </c>
      <c r="E571" s="1265">
        <v>0</v>
      </c>
      <c r="F571" s="941"/>
      <c r="G571" s="940" t="s">
        <v>1010</v>
      </c>
      <c r="H571" s="1267" t="s">
        <v>13</v>
      </c>
      <c r="I571" s="430"/>
      <c r="J571" s="430"/>
      <c r="K571" s="1035" t="s">
        <v>1479</v>
      </c>
      <c r="L571" s="1184">
        <v>4</v>
      </c>
      <c r="M571" s="1183"/>
      <c r="N571" s="1183">
        <v>2</v>
      </c>
      <c r="O571" s="934">
        <v>4</v>
      </c>
      <c r="S571" s="1188"/>
      <c r="T571" s="504"/>
      <c r="U571" s="504"/>
      <c r="V571" s="504"/>
      <c r="W571" s="504"/>
      <c r="X571" s="504"/>
      <c r="Y571" s="504"/>
      <c r="Z571" s="504"/>
      <c r="AA571" s="504"/>
      <c r="AB571" s="504"/>
      <c r="AC571" s="322"/>
      <c r="AD571" s="322"/>
      <c r="AE571" s="322"/>
    </row>
    <row r="572" spans="1:31" x14ac:dyDescent="0.25">
      <c r="A572" s="1138">
        <v>563</v>
      </c>
      <c r="B572" s="1138" t="s">
        <v>48</v>
      </c>
      <c r="C572" s="1037" t="s">
        <v>142</v>
      </c>
      <c r="I572" s="430"/>
      <c r="J572" s="430"/>
      <c r="K572" s="1035" t="s">
        <v>312</v>
      </c>
      <c r="L572" s="1184">
        <v>5</v>
      </c>
      <c r="M572" s="1183">
        <v>3</v>
      </c>
      <c r="N572" s="1183"/>
      <c r="O572" s="934">
        <v>5</v>
      </c>
      <c r="S572" s="1188"/>
      <c r="T572" s="504"/>
      <c r="U572" s="504"/>
      <c r="V572" s="504"/>
      <c r="W572" s="504"/>
      <c r="X572" s="504"/>
      <c r="Y572" s="504"/>
      <c r="Z572" s="504"/>
      <c r="AA572" s="504"/>
      <c r="AB572" s="504"/>
      <c r="AC572" s="322"/>
      <c r="AD572" s="322"/>
      <c r="AE572" s="322"/>
    </row>
    <row r="573" spans="1:31" ht="15.75" thickBot="1" x14ac:dyDescent="0.3">
      <c r="A573" s="1138">
        <v>564</v>
      </c>
      <c r="B573" s="1138" t="s">
        <v>48</v>
      </c>
      <c r="C573" s="1037" t="s">
        <v>142</v>
      </c>
      <c r="D573" s="938" t="s">
        <v>1009</v>
      </c>
      <c r="E573" s="937" t="s">
        <v>1008</v>
      </c>
      <c r="F573" s="937" t="s">
        <v>1007</v>
      </c>
      <c r="G573" s="937" t="s">
        <v>1006</v>
      </c>
      <c r="H573" s="937" t="s">
        <v>1014</v>
      </c>
      <c r="I573" s="430"/>
      <c r="J573" s="430"/>
      <c r="K573" s="1035"/>
      <c r="L573" s="1184">
        <v>6</v>
      </c>
      <c r="M573" s="1183">
        <v>4</v>
      </c>
      <c r="N573" s="1183">
        <v>3</v>
      </c>
      <c r="O573" s="934">
        <v>6</v>
      </c>
      <c r="S573" s="1188"/>
      <c r="T573" s="504"/>
      <c r="U573" s="504"/>
      <c r="V573" s="504"/>
      <c r="W573" s="504"/>
      <c r="X573" s="504"/>
      <c r="Y573" s="504"/>
      <c r="Z573" s="504"/>
      <c r="AA573" s="504"/>
      <c r="AB573" s="504"/>
      <c r="AC573" s="322"/>
      <c r="AD573" s="322"/>
      <c r="AE573" s="322"/>
    </row>
    <row r="574" spans="1:31" x14ac:dyDescent="0.25">
      <c r="A574" s="1138">
        <v>565</v>
      </c>
      <c r="B574" s="1138" t="s">
        <v>48</v>
      </c>
      <c r="C574" s="1037" t="s">
        <v>142</v>
      </c>
      <c r="D574" s="1168" t="s">
        <v>1475</v>
      </c>
      <c r="E574" s="1268" t="s">
        <v>316</v>
      </c>
      <c r="F574" s="1223"/>
      <c r="G574" s="1223"/>
      <c r="H574" s="1057" t="s">
        <v>14</v>
      </c>
      <c r="I574" s="1171" t="str">
        <f>IF(E574&lt;&gt;AIS_Yes,"Pre-requisite: Please select yes","")</f>
        <v>Pre-requisite: Please select yes</v>
      </c>
      <c r="J574" s="430"/>
      <c r="K574" s="1035"/>
      <c r="L574" s="1184">
        <v>7</v>
      </c>
      <c r="M574" s="1183">
        <v>5</v>
      </c>
      <c r="N574" s="1183"/>
      <c r="O574" s="934">
        <v>7</v>
      </c>
      <c r="S574" s="1216" t="s">
        <v>1015</v>
      </c>
      <c r="T574" s="504"/>
      <c r="U574" s="504"/>
      <c r="V574" s="504"/>
      <c r="W574" s="504"/>
      <c r="X574" s="504"/>
      <c r="Y574" s="504" t="str">
        <f>$X$4</f>
        <v>No</v>
      </c>
      <c r="Z574" s="504"/>
      <c r="AA574" s="504"/>
      <c r="AB574" s="504"/>
      <c r="AC574" s="322"/>
      <c r="AD574" s="322"/>
      <c r="AE574" s="322"/>
    </row>
    <row r="575" spans="1:31" x14ac:dyDescent="0.25">
      <c r="A575" s="1138">
        <v>566</v>
      </c>
      <c r="B575" s="1138" t="s">
        <v>48</v>
      </c>
      <c r="C575" s="1037" t="s">
        <v>142</v>
      </c>
      <c r="D575" s="1293" t="s">
        <v>1476</v>
      </c>
      <c r="E575" s="1271" t="s">
        <v>316</v>
      </c>
      <c r="F575" s="1302">
        <f>Poeng!AB105</f>
        <v>10</v>
      </c>
      <c r="G575" s="1302">
        <f>IFERROR(IF(E575=L567,VLOOKUP(E576,L568:O577,4,FALSE),IF(E575=M567,VLOOKUP(E576,M568:O577,3,FALSE),VLOOKUP(E576,N568:O577,2,FALSE))),0)*(IF(E574=AIS_Yes,1,0))</f>
        <v>0</v>
      </c>
      <c r="H575" s="1059" t="s">
        <v>14</v>
      </c>
      <c r="I575" s="1038"/>
      <c r="J575" s="430"/>
      <c r="K575" s="1035"/>
      <c r="L575" s="1184">
        <v>8</v>
      </c>
      <c r="M575" s="1183">
        <v>6</v>
      </c>
      <c r="N575" s="1183">
        <v>4</v>
      </c>
      <c r="O575" s="934">
        <v>8</v>
      </c>
      <c r="S575" s="1216"/>
      <c r="T575" s="504"/>
      <c r="U575" s="504"/>
      <c r="V575" s="504"/>
      <c r="W575" s="504"/>
      <c r="X575" s="504"/>
      <c r="Y575" s="504"/>
      <c r="Z575" s="504"/>
      <c r="AA575" s="504"/>
      <c r="AB575" s="504"/>
      <c r="AC575" s="322"/>
      <c r="AD575" s="322"/>
      <c r="AE575" s="322"/>
    </row>
    <row r="576" spans="1:31" ht="15.75" thickBot="1" x14ac:dyDescent="0.3">
      <c r="A576" s="1138">
        <v>567</v>
      </c>
      <c r="B576" s="1138" t="s">
        <v>48</v>
      </c>
      <c r="C576" s="1037" t="s">
        <v>142</v>
      </c>
      <c r="D576" s="1170" t="s">
        <v>1480</v>
      </c>
      <c r="E576" s="1301" t="s">
        <v>316</v>
      </c>
      <c r="F576" s="1226"/>
      <c r="G576" s="1314"/>
      <c r="H576" s="1007"/>
      <c r="I576" s="1038"/>
      <c r="J576" s="430"/>
      <c r="K576" s="1035"/>
      <c r="L576" s="1184">
        <v>9</v>
      </c>
      <c r="M576" s="1183">
        <v>7</v>
      </c>
      <c r="N576" s="44">
        <v>5</v>
      </c>
      <c r="O576" s="934">
        <v>9</v>
      </c>
      <c r="S576" s="1216"/>
      <c r="T576" s="504"/>
      <c r="U576" s="504"/>
      <c r="V576" s="504"/>
      <c r="W576" s="504"/>
      <c r="X576" s="504"/>
      <c r="Y576" s="504"/>
      <c r="Z576" s="504"/>
      <c r="AA576" s="504"/>
      <c r="AB576" s="504"/>
      <c r="AC576" s="322"/>
      <c r="AD576" s="322"/>
      <c r="AE576" s="322"/>
    </row>
    <row r="577" spans="1:31" ht="15.75" thickBot="1" x14ac:dyDescent="0.3">
      <c r="A577" s="1138">
        <v>568</v>
      </c>
      <c r="B577" s="1138" t="s">
        <v>48</v>
      </c>
      <c r="C577" s="1037" t="s">
        <v>142</v>
      </c>
      <c r="D577" s="1037" t="s">
        <v>142</v>
      </c>
      <c r="E577" s="1037" t="s">
        <v>142</v>
      </c>
      <c r="F577" s="1037" t="s">
        <v>142</v>
      </c>
      <c r="G577" s="1037" t="s">
        <v>142</v>
      </c>
      <c r="H577" s="1037" t="s">
        <v>142</v>
      </c>
      <c r="I577" s="1037" t="s">
        <v>142</v>
      </c>
      <c r="J577" s="430"/>
      <c r="K577" s="1035"/>
      <c r="L577" s="1209">
        <v>10</v>
      </c>
      <c r="M577" s="1210">
        <v>8</v>
      </c>
      <c r="N577" s="1211">
        <v>6</v>
      </c>
      <c r="O577" s="932">
        <v>10</v>
      </c>
      <c r="S577" s="1216"/>
      <c r="T577" s="504"/>
      <c r="U577" s="504"/>
      <c r="V577" s="504"/>
      <c r="W577" s="504"/>
      <c r="X577" s="504"/>
      <c r="Y577" s="504"/>
      <c r="Z577" s="504"/>
      <c r="AA577" s="504"/>
      <c r="AB577" s="504"/>
      <c r="AC577" s="322"/>
      <c r="AD577" s="322"/>
      <c r="AE577" s="322"/>
    </row>
    <row r="578" spans="1:31" ht="15.75" thickBot="1" x14ac:dyDescent="0.3">
      <c r="A578" s="1138">
        <v>569</v>
      </c>
      <c r="B578" s="1138" t="s">
        <v>48</v>
      </c>
      <c r="C578" s="1037" t="s">
        <v>142</v>
      </c>
      <c r="D578" s="938" t="s">
        <v>1777</v>
      </c>
      <c r="E578" s="937"/>
      <c r="G578" s="1037" t="s">
        <v>142</v>
      </c>
      <c r="H578" s="1037" t="s">
        <v>142</v>
      </c>
      <c r="I578" s="1037" t="s">
        <v>142</v>
      </c>
      <c r="J578" s="430"/>
      <c r="K578" s="1209"/>
      <c r="L578" s="1212"/>
      <c r="M578" s="1213"/>
      <c r="N578" s="1214"/>
      <c r="O578" s="1215" t="s">
        <v>312</v>
      </c>
      <c r="S578" s="1216"/>
      <c r="T578" s="504"/>
      <c r="U578" s="504"/>
      <c r="V578" s="504"/>
      <c r="W578" s="504"/>
      <c r="X578" s="504"/>
      <c r="Y578" s="504"/>
      <c r="Z578" s="504"/>
      <c r="AA578" s="504"/>
      <c r="AB578" s="504"/>
      <c r="AC578" s="322"/>
      <c r="AD578" s="322"/>
      <c r="AE578" s="322"/>
    </row>
    <row r="579" spans="1:31" x14ac:dyDescent="0.25">
      <c r="A579" s="1138">
        <v>570</v>
      </c>
      <c r="B579" s="1138" t="s">
        <v>48</v>
      </c>
      <c r="C579" s="1037" t="s">
        <v>142</v>
      </c>
      <c r="D579" s="1168" t="s">
        <v>1615</v>
      </c>
      <c r="E579" s="990"/>
      <c r="G579" s="1037" t="s">
        <v>142</v>
      </c>
      <c r="H579" s="1037" t="s">
        <v>142</v>
      </c>
      <c r="I579" s="1037"/>
      <c r="J579" s="430"/>
      <c r="K579" s="1315"/>
      <c r="L579" s="1316"/>
      <c r="M579" s="1317"/>
      <c r="N579" s="1318"/>
      <c r="O579" s="1318"/>
      <c r="S579" s="1216"/>
      <c r="T579" s="504"/>
      <c r="U579" s="504"/>
      <c r="V579" s="504"/>
      <c r="W579" s="504"/>
      <c r="X579" s="504"/>
      <c r="Y579" s="504"/>
      <c r="Z579" s="504"/>
      <c r="AA579" s="504"/>
      <c r="AB579" s="504"/>
      <c r="AC579" s="322"/>
      <c r="AD579" s="322"/>
      <c r="AE579" s="322"/>
    </row>
    <row r="580" spans="1:31" x14ac:dyDescent="0.25">
      <c r="A580" s="1138">
        <v>571</v>
      </c>
      <c r="B580" s="1138" t="s">
        <v>48</v>
      </c>
      <c r="C580" s="1037" t="s">
        <v>142</v>
      </c>
      <c r="D580" s="1293" t="s">
        <v>1616</v>
      </c>
      <c r="E580" s="1271"/>
      <c r="G580" s="1037" t="s">
        <v>142</v>
      </c>
      <c r="H580" s="1037" t="s">
        <v>142</v>
      </c>
      <c r="I580" s="1038"/>
      <c r="J580" s="430"/>
      <c r="K580" s="1315"/>
      <c r="L580" s="1316"/>
      <c r="M580" s="1317"/>
      <c r="N580" s="1318"/>
      <c r="O580" s="1318"/>
      <c r="S580" s="1216"/>
      <c r="T580" s="504"/>
      <c r="U580" s="504"/>
      <c r="V580" s="504"/>
      <c r="W580" s="504"/>
      <c r="X580" s="504"/>
      <c r="Y580" s="504"/>
      <c r="Z580" s="504"/>
      <c r="AA580" s="504"/>
      <c r="AB580" s="504"/>
      <c r="AC580" s="322"/>
      <c r="AD580" s="322"/>
      <c r="AE580" s="322"/>
    </row>
    <row r="581" spans="1:31" x14ac:dyDescent="0.25">
      <c r="A581" s="1138">
        <v>572</v>
      </c>
      <c r="B581" s="1138" t="s">
        <v>48</v>
      </c>
      <c r="C581" s="1037" t="s">
        <v>142</v>
      </c>
      <c r="D581" s="1293" t="s">
        <v>1617</v>
      </c>
      <c r="E581" s="1271"/>
      <c r="G581" s="1037" t="s">
        <v>142</v>
      </c>
      <c r="H581" s="1037" t="s">
        <v>142</v>
      </c>
      <c r="I581" s="1038"/>
      <c r="J581" s="430"/>
      <c r="K581" s="1315"/>
      <c r="L581" s="1316"/>
      <c r="M581" s="1317"/>
      <c r="N581" s="1318"/>
      <c r="O581" s="1318"/>
      <c r="S581" s="1216"/>
      <c r="T581" s="504"/>
      <c r="U581" s="504"/>
      <c r="V581" s="504"/>
      <c r="W581" s="504"/>
      <c r="X581" s="504"/>
      <c r="Y581" s="504"/>
      <c r="Z581" s="504"/>
      <c r="AA581" s="504"/>
      <c r="AB581" s="504"/>
      <c r="AC581" s="322"/>
      <c r="AD581" s="322"/>
      <c r="AE581" s="322"/>
    </row>
    <row r="582" spans="1:31" x14ac:dyDescent="0.25">
      <c r="A582" s="1138">
        <v>573</v>
      </c>
      <c r="B582" s="1138" t="s">
        <v>48</v>
      </c>
      <c r="C582" s="1037" t="s">
        <v>142</v>
      </c>
      <c r="D582" s="1293" t="s">
        <v>1618</v>
      </c>
      <c r="E582" s="1271"/>
      <c r="G582" s="1037" t="s">
        <v>142</v>
      </c>
      <c r="H582" s="1037" t="s">
        <v>142</v>
      </c>
      <c r="I582" s="1038"/>
      <c r="J582" s="430"/>
      <c r="K582" s="1315"/>
      <c r="L582" s="1316"/>
      <c r="M582" s="1317"/>
      <c r="N582" s="1318"/>
      <c r="O582" s="1318"/>
      <c r="S582" s="1216"/>
      <c r="T582" s="504"/>
      <c r="U582" s="504"/>
      <c r="V582" s="504"/>
      <c r="W582" s="504"/>
      <c r="X582" s="504"/>
      <c r="Y582" s="504"/>
      <c r="Z582" s="504"/>
      <c r="AA582" s="504"/>
      <c r="AB582" s="504"/>
      <c r="AC582" s="322"/>
      <c r="AD582" s="322"/>
      <c r="AE582" s="322"/>
    </row>
    <row r="583" spans="1:31" x14ac:dyDescent="0.25">
      <c r="A583" s="1138">
        <v>574</v>
      </c>
      <c r="B583" s="1138" t="s">
        <v>48</v>
      </c>
      <c r="C583" s="1037" t="s">
        <v>142</v>
      </c>
      <c r="D583" s="1293" t="s">
        <v>1619</v>
      </c>
      <c r="E583" s="1271"/>
      <c r="G583" s="1037" t="s">
        <v>142</v>
      </c>
      <c r="H583" s="1037" t="s">
        <v>142</v>
      </c>
      <c r="I583" s="1038"/>
      <c r="J583" s="430"/>
      <c r="K583" s="1315"/>
      <c r="L583" s="1316"/>
      <c r="M583" s="1317"/>
      <c r="N583" s="1318"/>
      <c r="O583" s="1318"/>
      <c r="S583" s="1216"/>
      <c r="T583" s="504"/>
      <c r="U583" s="504"/>
      <c r="V583" s="504"/>
      <c r="W583" s="504"/>
      <c r="X583" s="504"/>
      <c r="Y583" s="504"/>
      <c r="Z583" s="504"/>
      <c r="AA583" s="504"/>
      <c r="AB583" s="504"/>
      <c r="AC583" s="322"/>
      <c r="AD583" s="322"/>
      <c r="AE583" s="322"/>
    </row>
    <row r="584" spans="1:31" x14ac:dyDescent="0.25">
      <c r="A584" s="1138">
        <v>575</v>
      </c>
      <c r="B584" s="1138" t="s">
        <v>48</v>
      </c>
      <c r="C584" s="1037" t="s">
        <v>142</v>
      </c>
      <c r="D584" s="1293" t="s">
        <v>1620</v>
      </c>
      <c r="E584" s="1271"/>
      <c r="G584" s="1037" t="s">
        <v>142</v>
      </c>
      <c r="H584" s="1037" t="s">
        <v>142</v>
      </c>
      <c r="I584" s="1038"/>
      <c r="J584" s="430"/>
      <c r="K584" s="1315"/>
      <c r="L584" s="1316"/>
      <c r="M584" s="1317"/>
      <c r="N584" s="1318"/>
      <c r="O584" s="1318"/>
      <c r="S584" s="1216"/>
      <c r="T584" s="504"/>
      <c r="U584" s="504"/>
      <c r="V584" s="504"/>
      <c r="W584" s="504"/>
      <c r="X584" s="504"/>
      <c r="Y584" s="504"/>
      <c r="Z584" s="504"/>
      <c r="AA584" s="504"/>
      <c r="AB584" s="504"/>
      <c r="AC584" s="322"/>
      <c r="AD584" s="322"/>
      <c r="AE584" s="322"/>
    </row>
    <row r="585" spans="1:31" x14ac:dyDescent="0.25">
      <c r="A585" s="1138">
        <v>576</v>
      </c>
      <c r="B585" s="1138" t="s">
        <v>48</v>
      </c>
      <c r="C585" s="1037" t="s">
        <v>142</v>
      </c>
      <c r="D585" s="1293" t="s">
        <v>1621</v>
      </c>
      <c r="E585" s="1271"/>
      <c r="G585" s="1037" t="s">
        <v>142</v>
      </c>
      <c r="H585" s="1037" t="s">
        <v>142</v>
      </c>
      <c r="I585" s="1038"/>
      <c r="J585" s="430"/>
      <c r="K585" s="1315"/>
      <c r="L585" s="1316"/>
      <c r="M585" s="1317"/>
      <c r="N585" s="1318"/>
      <c r="O585" s="1318"/>
      <c r="S585" s="1216"/>
      <c r="T585" s="504"/>
      <c r="U585" s="504"/>
      <c r="V585" s="504"/>
      <c r="W585" s="504"/>
      <c r="X585" s="504"/>
      <c r="Y585" s="504"/>
      <c r="Z585" s="504"/>
      <c r="AA585" s="504"/>
      <c r="AB585" s="504"/>
      <c r="AC585" s="322"/>
      <c r="AD585" s="322"/>
      <c r="AE585" s="322"/>
    </row>
    <row r="586" spans="1:31" x14ac:dyDescent="0.25">
      <c r="A586" s="1138">
        <v>577</v>
      </c>
      <c r="B586" s="1138" t="s">
        <v>48</v>
      </c>
      <c r="C586" s="1037" t="s">
        <v>142</v>
      </c>
      <c r="D586" s="1293" t="s">
        <v>1622</v>
      </c>
      <c r="E586" s="1271"/>
      <c r="G586" s="1037" t="s">
        <v>142</v>
      </c>
      <c r="H586" s="1037" t="s">
        <v>142</v>
      </c>
      <c r="I586" s="1038"/>
      <c r="J586" s="430"/>
      <c r="K586" s="1315"/>
      <c r="L586" s="1316"/>
      <c r="M586" s="1317"/>
      <c r="N586" s="1318"/>
      <c r="O586" s="1318"/>
      <c r="S586" s="1216"/>
      <c r="T586" s="504"/>
      <c r="U586" s="504"/>
      <c r="V586" s="504"/>
      <c r="W586" s="504"/>
      <c r="X586" s="504"/>
      <c r="Y586" s="504"/>
      <c r="Z586" s="504"/>
      <c r="AA586" s="504"/>
      <c r="AB586" s="504"/>
      <c r="AC586" s="322"/>
      <c r="AD586" s="322"/>
      <c r="AE586" s="322"/>
    </row>
    <row r="587" spans="1:31" x14ac:dyDescent="0.25">
      <c r="A587" s="1138">
        <v>578</v>
      </c>
      <c r="B587" s="1138" t="s">
        <v>48</v>
      </c>
      <c r="C587" s="1037" t="s">
        <v>142</v>
      </c>
      <c r="D587" s="1293" t="s">
        <v>1623</v>
      </c>
      <c r="E587" s="1271"/>
      <c r="G587" s="1037" t="s">
        <v>142</v>
      </c>
      <c r="H587" s="1037" t="s">
        <v>142</v>
      </c>
      <c r="I587" s="1038"/>
      <c r="J587" s="430"/>
      <c r="K587" s="1315"/>
      <c r="L587" s="1316"/>
      <c r="M587" s="1317"/>
      <c r="N587" s="1318"/>
      <c r="O587" s="1318"/>
      <c r="S587" s="1216"/>
      <c r="T587" s="504"/>
      <c r="U587" s="504"/>
      <c r="V587" s="504"/>
      <c r="W587" s="504"/>
      <c r="X587" s="504"/>
      <c r="Y587" s="504"/>
      <c r="Z587" s="504"/>
      <c r="AA587" s="504"/>
      <c r="AB587" s="504"/>
      <c r="AC587" s="322"/>
      <c r="AD587" s="322"/>
      <c r="AE587" s="322"/>
    </row>
    <row r="588" spans="1:31" x14ac:dyDescent="0.25">
      <c r="A588" s="1138">
        <v>579</v>
      </c>
      <c r="B588" s="1138" t="s">
        <v>48</v>
      </c>
      <c r="C588" s="1037" t="s">
        <v>142</v>
      </c>
      <c r="D588" s="1293" t="s">
        <v>1624</v>
      </c>
      <c r="E588" s="1271"/>
      <c r="G588" s="1037" t="s">
        <v>142</v>
      </c>
      <c r="H588" s="1037" t="s">
        <v>142</v>
      </c>
      <c r="I588" s="1038"/>
      <c r="J588" s="430"/>
      <c r="K588" s="1315"/>
      <c r="L588" s="1316"/>
      <c r="M588" s="1317"/>
      <c r="N588" s="1318"/>
      <c r="O588" s="1318"/>
      <c r="S588" s="1216"/>
      <c r="T588" s="504"/>
      <c r="U588" s="504"/>
      <c r="V588" s="504"/>
      <c r="W588" s="504"/>
      <c r="X588" s="504"/>
      <c r="Y588" s="504"/>
      <c r="Z588" s="504"/>
      <c r="AA588" s="504"/>
      <c r="AB588" s="504"/>
      <c r="AC588" s="322"/>
      <c r="AD588" s="322"/>
      <c r="AE588" s="322"/>
    </row>
    <row r="589" spans="1:31" x14ac:dyDescent="0.25">
      <c r="A589" s="1138">
        <v>580</v>
      </c>
      <c r="B589" s="1138" t="s">
        <v>48</v>
      </c>
      <c r="C589" s="1037" t="s">
        <v>142</v>
      </c>
      <c r="D589" s="1293" t="s">
        <v>1625</v>
      </c>
      <c r="E589" s="1271"/>
      <c r="G589" s="1037" t="s">
        <v>142</v>
      </c>
      <c r="H589" s="1037" t="s">
        <v>142</v>
      </c>
      <c r="I589" s="1038"/>
      <c r="J589" s="430"/>
      <c r="K589" s="1315"/>
      <c r="L589" s="1316"/>
      <c r="M589" s="1317"/>
      <c r="N589" s="1318"/>
      <c r="O589" s="1318"/>
      <c r="S589" s="1216"/>
      <c r="T589" s="504"/>
      <c r="U589" s="504"/>
      <c r="V589" s="504"/>
      <c r="W589" s="504"/>
      <c r="X589" s="504"/>
      <c r="Y589" s="504"/>
      <c r="Z589" s="504"/>
      <c r="AA589" s="504"/>
      <c r="AB589" s="504"/>
      <c r="AC589" s="322"/>
      <c r="AD589" s="322"/>
      <c r="AE589" s="322"/>
    </row>
    <row r="590" spans="1:31" x14ac:dyDescent="0.25">
      <c r="A590" s="1138">
        <v>581</v>
      </c>
      <c r="B590" s="1138" t="s">
        <v>48</v>
      </c>
      <c r="C590" s="1037" t="s">
        <v>142</v>
      </c>
      <c r="D590" s="1293" t="s">
        <v>1626</v>
      </c>
      <c r="E590" s="1271"/>
      <c r="G590" s="1037" t="s">
        <v>142</v>
      </c>
      <c r="H590" s="1037" t="s">
        <v>142</v>
      </c>
      <c r="I590" s="1038"/>
      <c r="J590" s="430"/>
      <c r="K590" s="1315"/>
      <c r="L590" s="1316"/>
      <c r="M590" s="1317"/>
      <c r="N590" s="1318"/>
      <c r="O590" s="1318"/>
      <c r="S590" s="1216"/>
      <c r="T590" s="504"/>
      <c r="U590" s="504"/>
      <c r="V590" s="504"/>
      <c r="W590" s="504"/>
      <c r="X590" s="504"/>
      <c r="Y590" s="504"/>
      <c r="Z590" s="504"/>
      <c r="AA590" s="504"/>
      <c r="AB590" s="504"/>
      <c r="AC590" s="322"/>
      <c r="AD590" s="322"/>
      <c r="AE590" s="322"/>
    </row>
    <row r="591" spans="1:31" x14ac:dyDescent="0.25">
      <c r="A591" s="1138">
        <v>582</v>
      </c>
      <c r="B591" s="1138" t="s">
        <v>48</v>
      </c>
      <c r="C591" s="1037" t="s">
        <v>142</v>
      </c>
      <c r="D591" s="1293" t="s">
        <v>1627</v>
      </c>
      <c r="E591" s="1271"/>
      <c r="G591" s="1037" t="s">
        <v>142</v>
      </c>
      <c r="H591" s="1037" t="s">
        <v>142</v>
      </c>
      <c r="I591" s="1038"/>
      <c r="J591" s="430"/>
      <c r="K591" s="1315"/>
      <c r="L591" s="1316"/>
      <c r="M591" s="1317"/>
      <c r="N591" s="1318"/>
      <c r="O591" s="1318"/>
      <c r="S591" s="1216"/>
      <c r="T591" s="504"/>
      <c r="U591" s="504"/>
      <c r="V591" s="504"/>
      <c r="W591" s="504"/>
      <c r="X591" s="504"/>
      <c r="Y591" s="504"/>
      <c r="Z591" s="504"/>
      <c r="AA591" s="504"/>
      <c r="AB591" s="504"/>
      <c r="AC591" s="322"/>
      <c r="AD591" s="322"/>
      <c r="AE591" s="322"/>
    </row>
    <row r="592" spans="1:31" ht="15.75" thickBot="1" x14ac:dyDescent="0.3">
      <c r="A592" s="1138">
        <v>583</v>
      </c>
      <c r="B592" s="1138" t="s">
        <v>48</v>
      </c>
      <c r="C592" s="1037" t="s">
        <v>142</v>
      </c>
      <c r="D592" s="1305" t="s">
        <v>1628</v>
      </c>
      <c r="E592" s="1301"/>
      <c r="G592" s="1037" t="s">
        <v>142</v>
      </c>
      <c r="H592" s="1037" t="s">
        <v>142</v>
      </c>
      <c r="I592" s="1038"/>
      <c r="J592" s="430"/>
      <c r="K592" s="1315"/>
      <c r="L592" s="1316"/>
      <c r="M592" s="1317"/>
      <c r="N592" s="1318"/>
      <c r="O592" s="1318"/>
      <c r="S592" s="1216"/>
      <c r="T592" s="504"/>
      <c r="U592" s="504"/>
      <c r="V592" s="504"/>
      <c r="W592" s="504"/>
      <c r="X592" s="504"/>
      <c r="Y592" s="504"/>
      <c r="Z592" s="504"/>
      <c r="AA592" s="504"/>
      <c r="AB592" s="504"/>
      <c r="AC592" s="322"/>
      <c r="AD592" s="322"/>
      <c r="AE592" s="322"/>
    </row>
    <row r="593" spans="1:31" x14ac:dyDescent="0.25">
      <c r="A593" s="1138">
        <v>584</v>
      </c>
      <c r="B593" s="1138" t="s">
        <v>48</v>
      </c>
      <c r="C593" s="1037" t="s">
        <v>142</v>
      </c>
      <c r="E593" s="959"/>
      <c r="I593" s="430"/>
      <c r="J593" s="430"/>
      <c r="K593" s="1182"/>
      <c r="L593" s="484"/>
      <c r="M593" s="1205"/>
      <c r="S593" s="1188"/>
      <c r="T593" s="504"/>
      <c r="U593" s="504"/>
      <c r="V593" s="504"/>
      <c r="W593" s="504"/>
      <c r="X593" s="504"/>
      <c r="Y593" s="504"/>
      <c r="Z593" s="504"/>
      <c r="AA593" s="504"/>
      <c r="AB593" s="504"/>
      <c r="AC593" s="322"/>
      <c r="AD593" s="322"/>
      <c r="AE593" s="322"/>
    </row>
    <row r="594" spans="1:31" x14ac:dyDescent="0.25">
      <c r="A594" s="1138">
        <v>585</v>
      </c>
      <c r="B594" s="1138" t="s">
        <v>48</v>
      </c>
      <c r="C594" s="1037" t="s">
        <v>142</v>
      </c>
      <c r="D594" s="958" t="s">
        <v>1012</v>
      </c>
      <c r="E594" s="1272">
        <f>G575</f>
        <v>0</v>
      </c>
      <c r="I594" s="917"/>
      <c r="J594" s="430"/>
      <c r="K594" s="1174"/>
      <c r="L594" s="1022"/>
      <c r="M594" s="1175"/>
      <c r="S594" s="1188"/>
      <c r="T594" s="504"/>
      <c r="U594" s="504"/>
      <c r="V594" s="504"/>
      <c r="W594" s="504"/>
      <c r="X594" s="504"/>
      <c r="Y594" s="504"/>
      <c r="Z594" s="504"/>
      <c r="AA594" s="504"/>
      <c r="AB594" s="504"/>
      <c r="AC594" s="322"/>
      <c r="AD594" s="322"/>
      <c r="AE594" s="322"/>
    </row>
    <row r="595" spans="1:31" x14ac:dyDescent="0.25">
      <c r="A595" s="1138">
        <v>586</v>
      </c>
      <c r="B595" s="1138" t="s">
        <v>48</v>
      </c>
      <c r="C595" s="1037" t="s">
        <v>142</v>
      </c>
      <c r="D595" s="924" t="s">
        <v>77</v>
      </c>
      <c r="E595" s="1273">
        <f>Tra02_07</f>
        <v>0</v>
      </c>
      <c r="I595" s="430"/>
      <c r="J595" s="430"/>
      <c r="K595" s="1174"/>
      <c r="L595" s="1022"/>
      <c r="M595" s="1175"/>
      <c r="S595" s="1188"/>
      <c r="T595" s="504"/>
      <c r="U595" s="504"/>
      <c r="V595" s="504"/>
      <c r="W595" s="504"/>
      <c r="X595" s="504"/>
      <c r="Y595" s="504"/>
      <c r="Z595" s="504"/>
      <c r="AA595" s="504"/>
      <c r="AB595" s="504"/>
      <c r="AC595" s="322"/>
      <c r="AD595" s="322"/>
      <c r="AE595" s="322"/>
    </row>
    <row r="596" spans="1:31" x14ac:dyDescent="0.25">
      <c r="A596" s="1138">
        <v>587</v>
      </c>
      <c r="B596" s="1138" t="s">
        <v>48</v>
      </c>
      <c r="C596" s="1037" t="s">
        <v>142</v>
      </c>
      <c r="D596" s="926" t="s">
        <v>1005</v>
      </c>
      <c r="E596" s="1272" t="s">
        <v>14</v>
      </c>
      <c r="I596" s="430"/>
      <c r="J596" s="430"/>
      <c r="K596" s="1174"/>
      <c r="L596" s="1022"/>
      <c r="M596" s="1175"/>
      <c r="S596" s="1188"/>
      <c r="T596" s="504"/>
      <c r="U596" s="504"/>
      <c r="V596" s="504"/>
      <c r="W596" s="504"/>
      <c r="X596" s="504"/>
      <c r="Y596" s="504"/>
      <c r="Z596" s="504"/>
      <c r="AA596" s="504"/>
      <c r="AB596" s="504"/>
      <c r="AC596" s="322"/>
      <c r="AD596" s="322"/>
      <c r="AE596" s="322"/>
    </row>
    <row r="597" spans="1:31" x14ac:dyDescent="0.25">
      <c r="A597" s="1138">
        <v>588</v>
      </c>
      <c r="B597" s="1138" t="s">
        <v>48</v>
      </c>
      <c r="C597" s="1037" t="s">
        <v>142</v>
      </c>
      <c r="D597" s="923" t="s">
        <v>46</v>
      </c>
      <c r="E597" s="1290" t="s">
        <v>14</v>
      </c>
      <c r="I597" s="430"/>
      <c r="J597" s="430"/>
      <c r="K597" s="1174"/>
      <c r="L597" s="1022"/>
      <c r="M597" s="1175"/>
      <c r="S597" s="1188"/>
      <c r="T597" s="504"/>
      <c r="U597" s="504"/>
      <c r="V597" s="504"/>
      <c r="W597" s="504"/>
      <c r="X597" s="504"/>
      <c r="Y597" s="504"/>
      <c r="Z597" s="504"/>
      <c r="AA597" s="504"/>
      <c r="AB597" s="504"/>
      <c r="AC597" s="322"/>
      <c r="AD597" s="322"/>
      <c r="AE597" s="322"/>
    </row>
    <row r="598" spans="1:31" x14ac:dyDescent="0.25">
      <c r="A598" s="1138">
        <v>589</v>
      </c>
      <c r="B598" s="1138" t="s">
        <v>48</v>
      </c>
      <c r="C598" s="1037" t="s">
        <v>142</v>
      </c>
      <c r="I598" s="430"/>
      <c r="J598" s="430"/>
      <c r="K598" s="1174"/>
      <c r="L598" s="1022"/>
      <c r="M598" s="1175"/>
      <c r="S598" s="1188"/>
      <c r="T598" s="504"/>
      <c r="U598" s="504"/>
      <c r="V598" s="504"/>
      <c r="W598" s="504"/>
      <c r="X598" s="504"/>
      <c r="Y598" s="504"/>
      <c r="Z598" s="504"/>
      <c r="AA598" s="504"/>
      <c r="AB598" s="504"/>
      <c r="AC598" s="322"/>
      <c r="AD598" s="322"/>
      <c r="AE598" s="322"/>
    </row>
    <row r="599" spans="1:31" x14ac:dyDescent="0.25">
      <c r="A599" s="1138">
        <v>590</v>
      </c>
      <c r="B599" s="1138" t="s">
        <v>48</v>
      </c>
      <c r="C599" s="1037" t="s">
        <v>142</v>
      </c>
      <c r="D599" s="920" t="s">
        <v>1004</v>
      </c>
      <c r="E599" s="920" t="s">
        <v>1003</v>
      </c>
      <c r="F599" s="920" t="str">
        <f>HLOOKUP(C599,'Assessment References'!$H$512:$BG$513,2,FALSE)</f>
        <v/>
      </c>
      <c r="G599" s="919"/>
      <c r="H599" s="918"/>
      <c r="I599" s="430"/>
      <c r="J599" s="430"/>
      <c r="K599" s="1174"/>
      <c r="L599" s="1022"/>
      <c r="M599" s="1175"/>
      <c r="S599" s="504"/>
      <c r="T599" s="504"/>
      <c r="U599" s="504"/>
      <c r="V599" s="504"/>
      <c r="W599" s="504"/>
      <c r="X599" s="504"/>
      <c r="Y599" s="504"/>
      <c r="Z599" s="504"/>
      <c r="AA599" s="504"/>
      <c r="AB599" s="504"/>
      <c r="AC599" s="322"/>
      <c r="AD599" s="322"/>
      <c r="AE599" s="322"/>
    </row>
    <row r="600" spans="1:31" x14ac:dyDescent="0.25">
      <c r="A600" s="1138">
        <v>591</v>
      </c>
      <c r="B600" s="1138" t="s">
        <v>48</v>
      </c>
      <c r="C600" s="1037" t="s">
        <v>142</v>
      </c>
      <c r="D600" s="1539"/>
      <c r="E600" s="1540"/>
      <c r="F600" s="1540"/>
      <c r="G600" s="1540"/>
      <c r="H600" s="1541"/>
      <c r="I600" s="430"/>
      <c r="J600" s="430"/>
      <c r="K600" s="1174"/>
      <c r="L600" s="1022"/>
      <c r="M600" s="1175"/>
      <c r="S600" s="504"/>
      <c r="T600" s="504"/>
      <c r="U600" s="504"/>
      <c r="V600" s="504"/>
      <c r="W600" s="504"/>
      <c r="X600" s="504"/>
      <c r="Y600" s="504"/>
      <c r="Z600" s="504"/>
      <c r="AA600" s="504"/>
      <c r="AB600" s="504"/>
      <c r="AC600" s="322"/>
      <c r="AD600" s="322"/>
      <c r="AE600" s="322"/>
    </row>
    <row r="601" spans="1:31" x14ac:dyDescent="0.25">
      <c r="A601" s="1138">
        <v>592</v>
      </c>
      <c r="B601" s="1138" t="s">
        <v>48</v>
      </c>
      <c r="C601" s="1037" t="s">
        <v>142</v>
      </c>
      <c r="D601" s="1530"/>
      <c r="E601" s="1531"/>
      <c r="F601" s="1531"/>
      <c r="G601" s="1531"/>
      <c r="H601" s="1532"/>
      <c r="I601" s="430"/>
      <c r="J601" s="430"/>
      <c r="K601" s="1174"/>
      <c r="L601" s="1022"/>
      <c r="M601" s="1175"/>
      <c r="O601" s="375" t="s">
        <v>1614</v>
      </c>
      <c r="P601" s="375" t="s">
        <v>1613</v>
      </c>
      <c r="S601" s="504"/>
      <c r="T601" s="504"/>
      <c r="U601" s="504"/>
      <c r="V601" s="504"/>
      <c r="W601" s="504"/>
      <c r="X601" s="504"/>
      <c r="Y601" s="504"/>
      <c r="Z601" s="504"/>
      <c r="AA601" s="504"/>
      <c r="AB601" s="504"/>
      <c r="AC601" s="322"/>
      <c r="AD601" s="322"/>
      <c r="AE601" s="322"/>
    </row>
    <row r="602" spans="1:31" x14ac:dyDescent="0.25">
      <c r="A602" s="1138">
        <v>593</v>
      </c>
      <c r="B602" s="1138" t="s">
        <v>48</v>
      </c>
      <c r="C602" s="1037" t="s">
        <v>142</v>
      </c>
      <c r="D602" s="1530"/>
      <c r="E602" s="1531"/>
      <c r="F602" s="1531"/>
      <c r="G602" s="1531"/>
      <c r="H602" s="1532"/>
      <c r="I602" s="430"/>
      <c r="J602" s="430"/>
      <c r="K602" s="1174"/>
      <c r="L602" s="1022"/>
      <c r="M602" s="1175"/>
      <c r="O602" s="960"/>
      <c r="S602" s="504"/>
      <c r="T602" s="504"/>
      <c r="U602" s="504"/>
      <c r="V602" s="504"/>
      <c r="W602" s="504"/>
      <c r="X602" s="504"/>
      <c r="Y602" s="504"/>
      <c r="Z602" s="504"/>
      <c r="AA602" s="504"/>
      <c r="AB602" s="504"/>
      <c r="AC602" s="322"/>
      <c r="AD602" s="322"/>
      <c r="AE602" s="322"/>
    </row>
    <row r="603" spans="1:31" x14ac:dyDescent="0.25">
      <c r="A603" s="1138">
        <v>594</v>
      </c>
      <c r="B603" s="1138" t="s">
        <v>48</v>
      </c>
      <c r="C603" s="1037" t="s">
        <v>142</v>
      </c>
      <c r="D603" s="1533"/>
      <c r="E603" s="1534"/>
      <c r="F603" s="1534"/>
      <c r="G603" s="1534"/>
      <c r="H603" s="1535"/>
      <c r="I603" s="430"/>
      <c r="J603" s="430"/>
      <c r="K603" s="1174"/>
      <c r="L603" s="1022"/>
      <c r="M603" s="1175"/>
      <c r="O603" s="960"/>
      <c r="S603" s="504"/>
      <c r="T603" s="504"/>
      <c r="U603" s="504"/>
      <c r="V603" s="504"/>
      <c r="W603" s="504"/>
      <c r="X603" s="504"/>
      <c r="Y603" s="504"/>
      <c r="Z603" s="504"/>
      <c r="AA603" s="504"/>
      <c r="AB603" s="504"/>
      <c r="AC603" s="322"/>
      <c r="AD603" s="322"/>
      <c r="AE603" s="322"/>
    </row>
    <row r="604" spans="1:31" x14ac:dyDescent="0.25">
      <c r="A604" s="1138">
        <v>595</v>
      </c>
      <c r="B604" s="1138" t="s">
        <v>48</v>
      </c>
      <c r="C604" s="1037" t="s">
        <v>142</v>
      </c>
      <c r="D604" s="1533"/>
      <c r="E604" s="1534"/>
      <c r="F604" s="1534"/>
      <c r="G604" s="1534"/>
      <c r="H604" s="1535"/>
      <c r="I604" s="430"/>
      <c r="J604" s="430"/>
      <c r="K604" s="1174"/>
      <c r="L604" s="1022"/>
      <c r="M604" s="1175"/>
      <c r="P604"/>
      <c r="S604" s="504"/>
      <c r="T604" s="504"/>
      <c r="U604" s="504"/>
      <c r="V604" s="504"/>
      <c r="W604" s="504"/>
      <c r="X604" s="504"/>
      <c r="Y604" s="504"/>
      <c r="Z604" s="504"/>
      <c r="AA604" s="504"/>
      <c r="AB604" s="504"/>
      <c r="AC604" s="322"/>
      <c r="AD604" s="322"/>
      <c r="AE604" s="322"/>
    </row>
    <row r="605" spans="1:31" x14ac:dyDescent="0.25">
      <c r="A605" s="1138">
        <v>596</v>
      </c>
      <c r="B605" s="1138" t="s">
        <v>48</v>
      </c>
      <c r="C605" s="1037" t="s">
        <v>142</v>
      </c>
      <c r="D605" s="1536"/>
      <c r="E605" s="1537"/>
      <c r="F605" s="1537"/>
      <c r="G605" s="1537"/>
      <c r="H605" s="1538"/>
      <c r="I605" s="430"/>
      <c r="J605" s="430"/>
      <c r="K605" s="1174"/>
      <c r="L605" s="1022"/>
      <c r="M605" s="1175"/>
      <c r="P605"/>
      <c r="S605" s="504"/>
      <c r="T605" s="504"/>
      <c r="U605" s="504"/>
      <c r="V605" s="504"/>
      <c r="W605" s="504"/>
      <c r="X605" s="504"/>
      <c r="Y605" s="504"/>
      <c r="Z605" s="504"/>
      <c r="AA605" s="504"/>
      <c r="AB605" s="504"/>
      <c r="AC605" s="322"/>
      <c r="AD605" s="322"/>
      <c r="AE605" s="322"/>
    </row>
    <row r="606" spans="1:31" x14ac:dyDescent="0.25">
      <c r="A606" s="1138">
        <v>597</v>
      </c>
      <c r="B606" s="1138" t="s">
        <v>48</v>
      </c>
      <c r="C606" s="1037" t="s">
        <v>142</v>
      </c>
      <c r="D606" s="984"/>
      <c r="E606" s="984"/>
      <c r="F606" s="984"/>
      <c r="G606" s="984"/>
      <c r="H606" s="984"/>
      <c r="I606" s="430"/>
      <c r="J606" s="430"/>
      <c r="K606" s="1174"/>
      <c r="L606" s="1022"/>
      <c r="M606" s="1175"/>
      <c r="P606"/>
      <c r="S606" s="504"/>
      <c r="T606" s="504"/>
      <c r="U606" s="504"/>
      <c r="V606" s="504"/>
      <c r="W606" s="504"/>
      <c r="X606" s="504"/>
      <c r="Y606" s="504"/>
      <c r="Z606" s="504"/>
      <c r="AA606" s="504"/>
      <c r="AB606" s="504"/>
      <c r="AC606" s="322"/>
      <c r="AD606" s="322"/>
      <c r="AE606" s="322"/>
    </row>
    <row r="607" spans="1:31" ht="18.75" x14ac:dyDescent="0.3">
      <c r="A607" s="1138">
        <v>598</v>
      </c>
      <c r="B607" s="957" t="s">
        <v>49</v>
      </c>
      <c r="C607" s="956"/>
      <c r="D607" s="954"/>
      <c r="E607" s="954"/>
      <c r="F607" s="954"/>
      <c r="G607" s="954"/>
      <c r="H607" s="953"/>
      <c r="I607" s="917"/>
      <c r="J607" s="1036"/>
      <c r="K607" s="1174"/>
      <c r="L607" s="1022"/>
      <c r="M607" s="1417"/>
      <c r="S607" s="504"/>
      <c r="T607" s="504"/>
      <c r="U607" s="504"/>
      <c r="V607" s="504"/>
      <c r="W607" s="504"/>
      <c r="X607" s="504"/>
      <c r="Y607" s="504"/>
      <c r="Z607" s="504"/>
      <c r="AA607" s="504"/>
      <c r="AB607" s="504"/>
      <c r="AC607" s="322"/>
      <c r="AD607" s="322"/>
      <c r="AE607" s="322"/>
    </row>
    <row r="608" spans="1:31" ht="15.75" thickBot="1" x14ac:dyDescent="0.3">
      <c r="A608" s="1138">
        <v>599</v>
      </c>
      <c r="B608" s="1138" t="s">
        <v>49</v>
      </c>
      <c r="C608" s="917"/>
      <c r="I608" s="917"/>
      <c r="J608" s="1036"/>
      <c r="K608" s="1174"/>
      <c r="L608" s="1022"/>
      <c r="M608" s="1417"/>
      <c r="S608" s="504"/>
      <c r="T608" s="504"/>
      <c r="U608" s="504"/>
      <c r="V608" s="504"/>
      <c r="W608" s="504"/>
      <c r="X608" s="504"/>
      <c r="Y608" s="504"/>
      <c r="Z608" s="504"/>
      <c r="AA608" s="504"/>
      <c r="AB608" s="504"/>
      <c r="AC608" s="322"/>
      <c r="AD608" s="322"/>
      <c r="AE608" s="322"/>
    </row>
    <row r="609" spans="1:37" ht="15.75" thickBot="1" x14ac:dyDescent="0.3">
      <c r="A609" s="1138">
        <v>600</v>
      </c>
      <c r="B609" s="1139" t="s">
        <v>49</v>
      </c>
      <c r="C609" s="950" t="s">
        <v>163</v>
      </c>
      <c r="D609" s="1015" t="s">
        <v>346</v>
      </c>
      <c r="E609" s="1014"/>
      <c r="F609" s="1014"/>
      <c r="G609" s="1013"/>
      <c r="H609" s="1013"/>
      <c r="I609" s="917"/>
      <c r="K609" s="947" t="str">
        <f>C609</f>
        <v>Wat 01</v>
      </c>
      <c r="L609" s="1022"/>
      <c r="M609" s="1417"/>
      <c r="S609" s="504"/>
      <c r="T609" s="504"/>
      <c r="U609" s="504"/>
      <c r="V609" s="504"/>
      <c r="W609" s="504"/>
      <c r="X609" s="504"/>
      <c r="Y609" s="504"/>
      <c r="Z609" s="504"/>
      <c r="AA609" s="504"/>
      <c r="AB609" s="504"/>
      <c r="AC609" s="322"/>
      <c r="AD609" s="322"/>
      <c r="AE609" s="322"/>
    </row>
    <row r="610" spans="1:37" ht="15.75" thickBot="1" x14ac:dyDescent="0.3">
      <c r="A610" s="1138">
        <v>601</v>
      </c>
      <c r="B610" s="1138" t="s">
        <v>49</v>
      </c>
      <c r="C610" s="1037" t="s">
        <v>163</v>
      </c>
      <c r="D610" s="946" t="s">
        <v>15</v>
      </c>
      <c r="E610" s="1362">
        <f>Wat01_credits</f>
        <v>5</v>
      </c>
      <c r="F610" s="945"/>
      <c r="G610" s="944" t="s">
        <v>76</v>
      </c>
      <c r="H610" s="1355">
        <f>Wat01_14</f>
        <v>2.2222222222222223E-2</v>
      </c>
      <c r="K610" s="1030" t="s">
        <v>316</v>
      </c>
      <c r="L610" s="1022"/>
      <c r="M610" s="1417"/>
      <c r="S610" s="504"/>
      <c r="T610" s="504"/>
      <c r="U610" s="504"/>
      <c r="V610" s="504"/>
      <c r="W610" s="504"/>
      <c r="X610" s="504"/>
      <c r="Y610" s="504"/>
      <c r="Z610" s="504"/>
      <c r="AA610" s="504"/>
      <c r="AB610" s="504"/>
      <c r="AC610" s="322"/>
      <c r="AD610" s="322"/>
      <c r="AE610" s="322"/>
    </row>
    <row r="611" spans="1:37" x14ac:dyDescent="0.25">
      <c r="A611" s="1138">
        <v>602</v>
      </c>
      <c r="B611" s="1138" t="s">
        <v>49</v>
      </c>
      <c r="C611" s="1037" t="s">
        <v>163</v>
      </c>
      <c r="D611" s="972" t="s">
        <v>1011</v>
      </c>
      <c r="E611" s="1363">
        <f>Inn07_credits</f>
        <v>1</v>
      </c>
      <c r="F611" s="941"/>
      <c r="G611" s="940" t="s">
        <v>1010</v>
      </c>
      <c r="H611" s="1356" t="s">
        <v>12</v>
      </c>
      <c r="K611" s="1030" t="s">
        <v>1077</v>
      </c>
      <c r="L611" s="1022"/>
      <c r="M611" s="1417"/>
      <c r="S611" s="504"/>
      <c r="T611" s="504"/>
      <c r="U611" s="504"/>
      <c r="V611" s="504"/>
      <c r="W611" s="504"/>
      <c r="X611" s="504"/>
      <c r="Y611" s="504"/>
      <c r="Z611" s="504"/>
      <c r="AA611" s="504"/>
      <c r="AB611" s="504"/>
      <c r="AC611" s="322"/>
      <c r="AD611" s="322"/>
      <c r="AE611" s="322"/>
    </row>
    <row r="612" spans="1:37" ht="15.75" thickBot="1" x14ac:dyDescent="0.3">
      <c r="A612" s="1138">
        <v>603</v>
      </c>
      <c r="B612" s="1138" t="s">
        <v>49</v>
      </c>
      <c r="C612" s="1037" t="s">
        <v>163</v>
      </c>
      <c r="K612" s="1029" t="s">
        <v>1076</v>
      </c>
      <c r="L612" s="1022"/>
      <c r="M612" s="1417"/>
      <c r="S612" s="504"/>
      <c r="T612" s="504"/>
      <c r="U612" s="504"/>
      <c r="V612" s="504"/>
      <c r="W612" s="504"/>
      <c r="X612" s="504"/>
      <c r="Y612" s="504"/>
      <c r="Z612" s="504"/>
      <c r="AA612" s="504"/>
      <c r="AB612" s="504"/>
      <c r="AC612" s="322"/>
      <c r="AD612" s="322"/>
      <c r="AE612" s="322"/>
    </row>
    <row r="613" spans="1:37" ht="15.75" thickBot="1" x14ac:dyDescent="0.3">
      <c r="A613" s="1138">
        <v>604</v>
      </c>
      <c r="B613" s="1138" t="s">
        <v>49</v>
      </c>
      <c r="C613" s="1037" t="s">
        <v>163</v>
      </c>
      <c r="D613" s="938" t="s">
        <v>1009</v>
      </c>
      <c r="E613" s="937" t="s">
        <v>1008</v>
      </c>
      <c r="H613" s="937" t="s">
        <v>1014</v>
      </c>
      <c r="K613" s="1033">
        <f>IF(E620=Options!Q3,0,IF('Assessment Issue Scoring'!E620&lt;0.125,0,IF('Assessment Issue Scoring'!E620&lt;0.25,1,IF('Assessment Issue Scoring'!E620&lt;0.4,2,IF('Assessment Issue Scoring'!E620&lt;0.5,3,IF('Assessment Issue Scoring'!E620&lt;0.55,4,5))))))</f>
        <v>0</v>
      </c>
      <c r="L613" s="1022"/>
      <c r="M613" s="1417"/>
      <c r="S613" s="504"/>
      <c r="T613" s="504"/>
      <c r="U613" s="504"/>
      <c r="V613" s="504"/>
      <c r="W613" s="504"/>
      <c r="X613" s="504"/>
      <c r="Y613" s="504"/>
      <c r="Z613" s="504"/>
      <c r="AA613" s="504"/>
      <c r="AB613" s="504"/>
      <c r="AC613" s="322"/>
      <c r="AD613" s="322"/>
      <c r="AE613" s="322"/>
    </row>
    <row r="614" spans="1:37" ht="15.75" thickBot="1" x14ac:dyDescent="0.3">
      <c r="A614" s="1138">
        <v>605</v>
      </c>
      <c r="B614" s="1138" t="s">
        <v>49</v>
      </c>
      <c r="C614" s="1037" t="s">
        <v>163</v>
      </c>
      <c r="D614" s="1357" t="s">
        <v>1075</v>
      </c>
      <c r="E614" s="970" t="s">
        <v>316</v>
      </c>
      <c r="H614" s="1025" t="s">
        <v>14</v>
      </c>
      <c r="K614" s="1033">
        <f>IF(E620=Options!Q3,0,IF('Assessment Issue Scoring'!E620&gt;0.64,E611,0))</f>
        <v>0</v>
      </c>
      <c r="L614" s="1022"/>
      <c r="M614" s="1417"/>
      <c r="S614" s="846">
        <v>1</v>
      </c>
      <c r="T614" s="846">
        <v>0</v>
      </c>
      <c r="U614" s="968">
        <v>1</v>
      </c>
      <c r="V614" s="146" t="str">
        <f>IF($X$4=AIS_Yes,S614,AIS_NA)</f>
        <v>N/A</v>
      </c>
      <c r="W614" s="43" t="str">
        <f>IF($X$4=AIS_Yes,T614,AIS_NA)</f>
        <v>N/A</v>
      </c>
      <c r="X614" s="163" t="str">
        <f>IF($X$4=AIS_Yes,U614,AIS_NA)</f>
        <v>N/A</v>
      </c>
      <c r="Y614" s="967" t="str">
        <f>IF(AND($X$4=AIS_Yes,OR(V614&lt;&gt;AIS_NA,W614&lt;&gt;AIS_NA,X614&lt;&gt;AIS_NA)),AIS_Yes,AIS_No)</f>
        <v>No</v>
      </c>
      <c r="Z614" s="146" t="e">
        <f>AIS_option01</f>
        <v>#NAME?</v>
      </c>
      <c r="AA614" s="43" t="e">
        <f>AIS_option02a</f>
        <v>#NAME?</v>
      </c>
      <c r="AB614" s="147" t="e">
        <f>AIS_option03</f>
        <v>#NAME?</v>
      </c>
      <c r="AC614" s="966"/>
      <c r="AD614" s="965" t="str">
        <f>AIS_NA</f>
        <v>N/A</v>
      </c>
      <c r="AE614" s="962" t="str">
        <f>IF(Y614=AIS_Yes,Z614,AIS_NA)</f>
        <v>N/A</v>
      </c>
      <c r="AF614" s="962" t="str">
        <f>IF(Y614=AIS_Yes,AA614,AIS_NA)</f>
        <v>N/A</v>
      </c>
      <c r="AG614" s="964" t="str">
        <f>IF(Y614=AIS_Yes,AB614,AIS_NA)</f>
        <v>N/A</v>
      </c>
      <c r="AH614" s="963" t="str">
        <f>C614</f>
        <v>Wat 01</v>
      </c>
      <c r="AI614" s="1026" t="str">
        <f>D609</f>
        <v>Water consumption</v>
      </c>
      <c r="AJ614" s="961" t="str">
        <f>H614</f>
        <v>N/A</v>
      </c>
      <c r="AK614" s="375">
        <f>IF(Y614=AIS_No,1,IF(H614=AE614,V614,IF(H614=AF614,W614,IF(H614=AG614,X614,1))))</f>
        <v>1</v>
      </c>
    </row>
    <row r="615" spans="1:37" ht="15.75" thickBot="1" x14ac:dyDescent="0.3">
      <c r="A615" s="1138">
        <v>606</v>
      </c>
      <c r="B615" s="1138" t="s">
        <v>49</v>
      </c>
      <c r="C615" s="1037" t="s">
        <v>163</v>
      </c>
      <c r="D615" s="1358" t="str">
        <f>Poeng!E254</f>
        <v>EU taxonomy requirements: criterion 2</v>
      </c>
      <c r="E615" s="1034" t="s">
        <v>316</v>
      </c>
      <c r="K615" s="1222"/>
      <c r="L615" s="1022"/>
      <c r="M615" s="1417"/>
      <c r="S615" s="213"/>
      <c r="T615" s="213"/>
      <c r="U615" s="213"/>
      <c r="V615"/>
      <c r="W615"/>
      <c r="X615"/>
      <c r="Y615" s="504"/>
      <c r="Z615"/>
      <c r="AA615"/>
      <c r="AB615"/>
      <c r="AC615"/>
      <c r="AD615"/>
      <c r="AE615"/>
      <c r="AF615"/>
      <c r="AG615"/>
    </row>
    <row r="616" spans="1:37" ht="15.75" thickBot="1" x14ac:dyDescent="0.3">
      <c r="A616" s="1138">
        <v>607</v>
      </c>
      <c r="B616" s="1138" t="s">
        <v>49</v>
      </c>
      <c r="C616" s="1037" t="s">
        <v>163</v>
      </c>
      <c r="I616" s="917"/>
      <c r="K616" s="1029" t="s">
        <v>1076</v>
      </c>
      <c r="L616" s="1022"/>
      <c r="M616" s="1417"/>
      <c r="S616" s="504"/>
      <c r="T616" s="504"/>
      <c r="U616" s="504"/>
      <c r="V616" s="504"/>
      <c r="W616" s="504"/>
      <c r="X616" s="504"/>
      <c r="Y616" s="504"/>
      <c r="Z616" s="504"/>
      <c r="AA616" s="504"/>
      <c r="AB616" s="504"/>
      <c r="AC616" s="322"/>
      <c r="AD616" s="322"/>
      <c r="AE616" s="322"/>
    </row>
    <row r="617" spans="1:37" ht="15.75" thickBot="1" x14ac:dyDescent="0.3">
      <c r="A617" s="1138">
        <v>608</v>
      </c>
      <c r="B617" s="1138" t="s">
        <v>49</v>
      </c>
      <c r="C617" s="1037" t="s">
        <v>163</v>
      </c>
      <c r="D617" s="938" t="s">
        <v>1779</v>
      </c>
      <c r="E617" s="937"/>
      <c r="I617" s="917"/>
      <c r="K617" s="1033">
        <f>IF(E623&gt;E610,E610,E623)</f>
        <v>0</v>
      </c>
      <c r="L617" s="1022"/>
      <c r="M617" s="1417"/>
      <c r="S617" s="504"/>
      <c r="T617" s="504"/>
      <c r="U617" s="504"/>
      <c r="V617" s="504"/>
      <c r="W617" s="504"/>
      <c r="X617" s="504"/>
      <c r="Y617" s="504"/>
      <c r="Z617" s="504"/>
      <c r="AA617" s="504"/>
      <c r="AB617" s="504"/>
      <c r="AC617" s="322"/>
      <c r="AD617" s="322"/>
      <c r="AE617" s="322"/>
    </row>
    <row r="618" spans="1:37" ht="15.75" thickBot="1" x14ac:dyDescent="0.3">
      <c r="A618" s="1138">
        <v>609</v>
      </c>
      <c r="B618" s="1138" t="s">
        <v>49</v>
      </c>
      <c r="C618" s="1037" t="s">
        <v>163</v>
      </c>
      <c r="D618" s="936" t="s">
        <v>1074</v>
      </c>
      <c r="E618" s="990"/>
      <c r="F618" s="375" t="s">
        <v>1072</v>
      </c>
      <c r="I618" s="917"/>
      <c r="K618" s="1033">
        <f>IF(E624&gt;E611,E611,E624)</f>
        <v>0</v>
      </c>
      <c r="L618" s="1022"/>
      <c r="M618" s="1417"/>
      <c r="S618" s="504"/>
      <c r="T618" s="504"/>
      <c r="U618" s="504"/>
      <c r="V618" s="504"/>
      <c r="W618" s="504"/>
      <c r="X618" s="504"/>
      <c r="Y618" s="504"/>
      <c r="Z618" s="504"/>
      <c r="AA618" s="504"/>
      <c r="AB618" s="504"/>
      <c r="AC618" s="322"/>
      <c r="AD618" s="322"/>
      <c r="AE618" s="322"/>
    </row>
    <row r="619" spans="1:37" x14ac:dyDescent="0.25">
      <c r="A619" s="1138">
        <v>610</v>
      </c>
      <c r="B619" s="1138" t="s">
        <v>49</v>
      </c>
      <c r="C619" s="1037" t="s">
        <v>163</v>
      </c>
      <c r="D619" s="1389" t="s">
        <v>1073</v>
      </c>
      <c r="E619" s="970"/>
      <c r="F619" s="375" t="s">
        <v>1072</v>
      </c>
      <c r="I619" s="917"/>
      <c r="K619" s="1174"/>
      <c r="L619" s="1022"/>
      <c r="M619" s="1417"/>
      <c r="S619" s="504"/>
      <c r="T619" s="504"/>
      <c r="U619" s="504"/>
      <c r="V619" s="504"/>
      <c r="W619" s="504"/>
      <c r="X619" s="504"/>
      <c r="Y619" s="504"/>
      <c r="Z619" s="504"/>
      <c r="AA619" s="504"/>
      <c r="AB619" s="504"/>
      <c r="AC619" s="322"/>
      <c r="AD619" s="322"/>
      <c r="AE619" s="322"/>
    </row>
    <row r="620" spans="1:37" ht="15.75" thickBot="1" x14ac:dyDescent="0.3">
      <c r="A620" s="1138">
        <v>611</v>
      </c>
      <c r="B620" s="1138" t="s">
        <v>49</v>
      </c>
      <c r="C620" s="1037" t="s">
        <v>163</v>
      </c>
      <c r="D620" s="1358" t="s">
        <v>1481</v>
      </c>
      <c r="E620" s="1034" t="s">
        <v>1036</v>
      </c>
      <c r="F620" s="994" t="s">
        <v>1859</v>
      </c>
      <c r="I620" s="917"/>
      <c r="K620" s="1174"/>
      <c r="L620" s="1022"/>
      <c r="M620" s="1417"/>
      <c r="S620" s="504"/>
      <c r="T620" s="504"/>
      <c r="U620" s="504"/>
      <c r="V620" s="504"/>
      <c r="W620" s="504"/>
      <c r="X620" s="504"/>
      <c r="Y620" s="504"/>
      <c r="Z620" s="504"/>
      <c r="AA620" s="504"/>
      <c r="AB620" s="504"/>
      <c r="AC620" s="322"/>
      <c r="AD620" s="322"/>
      <c r="AE620" s="322"/>
    </row>
    <row r="621" spans="1:37" x14ac:dyDescent="0.25">
      <c r="A621" s="1138">
        <v>612</v>
      </c>
      <c r="B621" s="1138" t="s">
        <v>49</v>
      </c>
      <c r="C621" s="1037" t="s">
        <v>163</v>
      </c>
      <c r="I621" s="917"/>
      <c r="K621" s="1174"/>
      <c r="L621" s="1022"/>
      <c r="M621" s="1417"/>
      <c r="S621" s="504"/>
      <c r="T621" s="504"/>
      <c r="U621" s="504"/>
      <c r="V621" s="504"/>
      <c r="W621" s="504"/>
      <c r="X621" s="504"/>
      <c r="Y621" s="504"/>
      <c r="Z621" s="504"/>
      <c r="AA621" s="504"/>
      <c r="AB621" s="504"/>
      <c r="AC621" s="322"/>
      <c r="AD621" s="322"/>
      <c r="AE621" s="322"/>
    </row>
    <row r="622" spans="1:37" ht="15.75" thickBot="1" x14ac:dyDescent="0.3">
      <c r="A622" s="1138">
        <v>613</v>
      </c>
      <c r="B622" s="1138" t="s">
        <v>49</v>
      </c>
      <c r="C622" s="1037" t="s">
        <v>163</v>
      </c>
      <c r="D622" s="938" t="s">
        <v>1780</v>
      </c>
      <c r="E622" s="937"/>
      <c r="I622" s="917"/>
      <c r="K622" s="1174"/>
      <c r="L622" s="1022"/>
      <c r="M622" s="1417"/>
      <c r="S622" s="504"/>
      <c r="T622" s="504"/>
      <c r="U622" s="504"/>
      <c r="V622" s="504"/>
      <c r="W622" s="504"/>
      <c r="X622" s="504"/>
      <c r="Y622" s="504"/>
      <c r="Z622" s="504"/>
      <c r="AA622" s="504"/>
      <c r="AB622" s="504"/>
      <c r="AC622" s="322"/>
      <c r="AD622" s="322"/>
      <c r="AE622" s="322"/>
    </row>
    <row r="623" spans="1:37" x14ac:dyDescent="0.25">
      <c r="A623" s="1138">
        <v>614</v>
      </c>
      <c r="B623" s="1138" t="s">
        <v>49</v>
      </c>
      <c r="C623" s="1037" t="s">
        <v>163</v>
      </c>
      <c r="D623" s="936" t="s">
        <v>1778</v>
      </c>
      <c r="E623" s="990"/>
      <c r="I623" s="917"/>
      <c r="K623" s="1174"/>
      <c r="L623" s="1022"/>
      <c r="M623" s="1417"/>
      <c r="S623" s="504"/>
      <c r="T623" s="504"/>
      <c r="U623" s="504"/>
      <c r="V623" s="504"/>
      <c r="W623" s="504"/>
      <c r="X623" s="504"/>
      <c r="Y623" s="504"/>
      <c r="Z623" s="504"/>
      <c r="AA623" s="504"/>
      <c r="AB623" s="504"/>
      <c r="AC623" s="322"/>
      <c r="AD623" s="322"/>
      <c r="AE623" s="322"/>
    </row>
    <row r="624" spans="1:37" ht="15.75" thickBot="1" x14ac:dyDescent="0.3">
      <c r="A624" s="1138">
        <v>615</v>
      </c>
      <c r="B624" s="1138" t="s">
        <v>49</v>
      </c>
      <c r="C624" s="1037" t="s">
        <v>163</v>
      </c>
      <c r="D624" s="1358" t="s">
        <v>1860</v>
      </c>
      <c r="E624" s="1446"/>
      <c r="I624" s="917"/>
      <c r="K624" s="1174"/>
      <c r="L624" s="1022"/>
      <c r="M624" s="1417"/>
      <c r="S624" s="504"/>
      <c r="T624" s="504"/>
      <c r="U624" s="504"/>
      <c r="V624" s="504"/>
      <c r="W624" s="504"/>
      <c r="X624" s="504"/>
      <c r="Y624" s="504"/>
      <c r="Z624" s="504"/>
      <c r="AA624" s="504"/>
      <c r="AB624" s="504"/>
      <c r="AC624" s="322"/>
      <c r="AD624" s="322"/>
      <c r="AE624" s="322"/>
    </row>
    <row r="625" spans="1:31" x14ac:dyDescent="0.25">
      <c r="A625" s="1138">
        <v>616</v>
      </c>
      <c r="B625" s="1138" t="s">
        <v>49</v>
      </c>
      <c r="C625" s="1037" t="s">
        <v>163</v>
      </c>
      <c r="I625" s="917"/>
      <c r="K625" s="1174"/>
      <c r="L625" s="1022"/>
      <c r="M625" s="1417"/>
      <c r="S625" s="504"/>
      <c r="T625" s="504"/>
      <c r="U625" s="504"/>
      <c r="V625" s="504"/>
      <c r="W625" s="504"/>
      <c r="X625" s="504"/>
      <c r="Y625" s="504"/>
      <c r="Z625" s="504"/>
      <c r="AA625" s="504"/>
      <c r="AB625" s="504"/>
      <c r="AC625" s="322"/>
      <c r="AD625" s="322"/>
      <c r="AE625" s="322"/>
    </row>
    <row r="626" spans="1:31" ht="15.75" thickBot="1" x14ac:dyDescent="0.3">
      <c r="A626" s="1138">
        <v>617</v>
      </c>
      <c r="B626" s="1138" t="s">
        <v>49</v>
      </c>
      <c r="C626" s="1037" t="s">
        <v>163</v>
      </c>
      <c r="D626" s="938" t="s">
        <v>1897</v>
      </c>
      <c r="E626" s="937"/>
      <c r="I626" s="917"/>
      <c r="K626" s="1174"/>
      <c r="L626" s="1022"/>
      <c r="M626" s="1417"/>
      <c r="S626" s="504"/>
      <c r="V626" s="504"/>
      <c r="W626" s="504"/>
      <c r="X626" s="504"/>
      <c r="Y626" s="504"/>
      <c r="Z626" s="504"/>
      <c r="AA626" s="504"/>
      <c r="AB626" s="504"/>
      <c r="AC626" s="322"/>
      <c r="AD626" s="322"/>
      <c r="AE626" s="322"/>
    </row>
    <row r="627" spans="1:31" x14ac:dyDescent="0.25">
      <c r="A627" s="1138">
        <v>618</v>
      </c>
      <c r="B627" s="1138" t="s">
        <v>49</v>
      </c>
      <c r="C627" s="1037" t="s">
        <v>163</v>
      </c>
      <c r="D627" s="936" t="s">
        <v>1298</v>
      </c>
      <c r="E627" s="990"/>
      <c r="F627" s="375" t="s">
        <v>1071</v>
      </c>
      <c r="I627" s="917"/>
      <c r="K627" s="1174"/>
      <c r="L627" s="1022"/>
      <c r="M627" s="1417"/>
      <c r="S627" s="504"/>
      <c r="V627" s="504"/>
      <c r="W627" s="504"/>
      <c r="X627" s="504"/>
      <c r="Y627" s="504"/>
      <c r="Z627" s="504"/>
      <c r="AA627" s="504"/>
      <c r="AB627" s="504"/>
      <c r="AC627" s="322"/>
      <c r="AD627" s="322"/>
      <c r="AE627" s="322"/>
    </row>
    <row r="628" spans="1:31" ht="15.75" thickBot="1" x14ac:dyDescent="0.3">
      <c r="A628" s="1138">
        <v>619</v>
      </c>
      <c r="B628" s="1138" t="s">
        <v>49</v>
      </c>
      <c r="C628" s="1037" t="s">
        <v>163</v>
      </c>
      <c r="D628" s="929" t="s">
        <v>1300</v>
      </c>
      <c r="E628" s="928"/>
      <c r="F628" s="1000" t="s">
        <v>1898</v>
      </c>
      <c r="I628" s="917"/>
      <c r="K628" s="1174"/>
      <c r="L628" s="1022"/>
      <c r="M628" s="1417"/>
      <c r="S628" s="504"/>
      <c r="T628" s="504"/>
      <c r="U628" s="504"/>
      <c r="V628" s="504"/>
      <c r="W628" s="504"/>
      <c r="X628" s="504"/>
      <c r="Y628" s="504"/>
      <c r="Z628" s="504"/>
      <c r="AA628" s="504"/>
      <c r="AB628" s="504"/>
      <c r="AC628" s="322"/>
      <c r="AD628" s="322"/>
      <c r="AE628" s="322"/>
    </row>
    <row r="629" spans="1:31" x14ac:dyDescent="0.25">
      <c r="A629" s="1138">
        <v>620</v>
      </c>
      <c r="B629" s="1138" t="s">
        <v>49</v>
      </c>
      <c r="C629" s="1037" t="s">
        <v>163</v>
      </c>
      <c r="I629" s="917"/>
      <c r="K629" s="1174"/>
      <c r="L629" s="1022"/>
      <c r="M629" s="1417"/>
      <c r="S629" s="504"/>
      <c r="T629" s="504"/>
      <c r="U629" s="504"/>
      <c r="V629" s="504"/>
      <c r="W629" s="504"/>
      <c r="X629" s="504"/>
      <c r="Y629" s="504"/>
      <c r="Z629" s="504"/>
      <c r="AA629" s="504"/>
      <c r="AB629" s="504"/>
      <c r="AC629" s="322"/>
      <c r="AD629" s="322"/>
      <c r="AE629" s="322"/>
    </row>
    <row r="630" spans="1:31" x14ac:dyDescent="0.25">
      <c r="A630" s="1138">
        <v>621</v>
      </c>
      <c r="B630" s="1138" t="s">
        <v>49</v>
      </c>
      <c r="C630" s="1037" t="s">
        <v>163</v>
      </c>
      <c r="D630" s="958" t="s">
        <v>1012</v>
      </c>
      <c r="E630" s="1359">
        <f>IF(E614=K610,0,IF(E614=K611,K613,K617))</f>
        <v>0</v>
      </c>
      <c r="I630" s="917"/>
      <c r="K630" s="1174"/>
      <c r="L630" s="1022"/>
      <c r="M630" s="1417"/>
      <c r="S630" s="504"/>
      <c r="T630" s="504"/>
      <c r="U630" s="504"/>
      <c r="V630" s="504"/>
      <c r="W630" s="504"/>
      <c r="X630" s="504"/>
      <c r="Y630" s="504"/>
      <c r="Z630" s="504"/>
      <c r="AA630" s="504"/>
      <c r="AB630" s="504"/>
      <c r="AC630" s="322"/>
      <c r="AD630" s="322"/>
      <c r="AE630" s="322"/>
    </row>
    <row r="631" spans="1:31" x14ac:dyDescent="0.25">
      <c r="A631" s="1138">
        <v>622</v>
      </c>
      <c r="B631" s="1138" t="s">
        <v>49</v>
      </c>
      <c r="C631" s="1037" t="s">
        <v>163</v>
      </c>
      <c r="D631" s="924" t="s">
        <v>77</v>
      </c>
      <c r="E631" s="1360">
        <f>Wat01_15</f>
        <v>0</v>
      </c>
      <c r="I631" s="917"/>
      <c r="K631" s="1174"/>
      <c r="L631" s="1022"/>
      <c r="M631" s="1417"/>
      <c r="S631" s="504"/>
      <c r="T631" s="504"/>
      <c r="U631" s="504"/>
      <c r="V631" s="504"/>
      <c r="W631" s="504"/>
      <c r="X631" s="504"/>
      <c r="Y631" s="504"/>
      <c r="Z631" s="504"/>
      <c r="AA631" s="504"/>
      <c r="AB631" s="504"/>
      <c r="AC631" s="322"/>
      <c r="AD631" s="322"/>
      <c r="AE631" s="322"/>
    </row>
    <row r="632" spans="1:31" x14ac:dyDescent="0.25">
      <c r="A632" s="1138">
        <v>623</v>
      </c>
      <c r="B632" s="1138" t="s">
        <v>49</v>
      </c>
      <c r="C632" s="1037" t="s">
        <v>163</v>
      </c>
      <c r="D632" s="926" t="s">
        <v>1005</v>
      </c>
      <c r="E632" s="1359">
        <f>IF(E614=K610,0,IF(E614=K611,K614,K618))</f>
        <v>0</v>
      </c>
      <c r="I632" s="917"/>
      <c r="K632" s="1174"/>
      <c r="L632" s="1022"/>
      <c r="M632" s="1417"/>
      <c r="S632" s="504"/>
      <c r="T632" s="504"/>
      <c r="U632" s="504"/>
      <c r="V632" s="504"/>
      <c r="W632" s="504"/>
      <c r="X632" s="504"/>
      <c r="Y632" s="504"/>
      <c r="Z632" s="504"/>
      <c r="AA632" s="504"/>
      <c r="AB632" s="504"/>
      <c r="AC632" s="322"/>
      <c r="AD632" s="322"/>
      <c r="AE632" s="322"/>
    </row>
    <row r="633" spans="1:31" x14ac:dyDescent="0.25">
      <c r="A633" s="1138">
        <v>624</v>
      </c>
      <c r="B633" s="1138" t="s">
        <v>49</v>
      </c>
      <c r="C633" s="1037" t="s">
        <v>163</v>
      </c>
      <c r="D633" s="923" t="s">
        <v>46</v>
      </c>
      <c r="E633" s="1361" t="str">
        <f>VLOOKUP(MIN(Poeng!BD113:BD114),Poeng!$BO$285:$BP$291,2,FALSE)</f>
        <v>Very Good</v>
      </c>
      <c r="I633" s="917"/>
      <c r="K633" s="1174"/>
      <c r="L633" s="1022"/>
      <c r="M633" s="1417"/>
      <c r="S633" s="504"/>
      <c r="T633" s="504"/>
      <c r="U633" s="504"/>
      <c r="V633" s="504"/>
      <c r="W633" s="504"/>
      <c r="X633" s="504"/>
      <c r="Y633" s="504"/>
      <c r="Z633" s="504"/>
      <c r="AA633" s="504"/>
      <c r="AB633" s="504"/>
      <c r="AC633" s="322"/>
      <c r="AD633" s="322"/>
      <c r="AE633" s="322"/>
    </row>
    <row r="634" spans="1:31" x14ac:dyDescent="0.25">
      <c r="A634" s="1138">
        <v>625</v>
      </c>
      <c r="B634" s="1138" t="s">
        <v>49</v>
      </c>
      <c r="C634" s="1037" t="s">
        <v>163</v>
      </c>
      <c r="I634" s="917"/>
      <c r="K634" s="1174"/>
      <c r="L634" s="1022"/>
      <c r="M634" s="1417"/>
      <c r="S634" s="504"/>
      <c r="T634" s="504"/>
      <c r="U634" s="504"/>
      <c r="V634" s="504"/>
      <c r="W634" s="504"/>
      <c r="X634" s="504"/>
      <c r="Y634" s="504"/>
      <c r="Z634" s="504"/>
      <c r="AA634" s="504"/>
      <c r="AB634" s="504"/>
      <c r="AC634" s="322"/>
      <c r="AD634" s="322"/>
      <c r="AE634" s="322"/>
    </row>
    <row r="635" spans="1:31" x14ac:dyDescent="0.25">
      <c r="A635" s="1138">
        <v>626</v>
      </c>
      <c r="B635" s="1138" t="s">
        <v>49</v>
      </c>
      <c r="C635" s="1037" t="s">
        <v>163</v>
      </c>
      <c r="D635" s="920" t="s">
        <v>1004</v>
      </c>
      <c r="E635" s="920" t="s">
        <v>1003</v>
      </c>
      <c r="F635" s="920" t="str">
        <f>HLOOKUP(C635,'Assessment References'!$H$512:$BG$513,2,FALSE)</f>
        <v/>
      </c>
      <c r="G635" s="919"/>
      <c r="H635" s="918"/>
      <c r="I635" s="917"/>
      <c r="K635" s="1174"/>
      <c r="L635" s="1022"/>
      <c r="M635" s="1417"/>
      <c r="S635" s="504"/>
      <c r="T635" s="504"/>
      <c r="U635" s="504"/>
      <c r="V635" s="504"/>
      <c r="W635" s="504"/>
      <c r="X635" s="504"/>
      <c r="Y635" s="504"/>
      <c r="Z635" s="504"/>
      <c r="AA635" s="504"/>
      <c r="AB635" s="504"/>
      <c r="AC635" s="322"/>
      <c r="AD635" s="322"/>
      <c r="AE635" s="322"/>
    </row>
    <row r="636" spans="1:31" x14ac:dyDescent="0.25">
      <c r="A636" s="1138">
        <v>627</v>
      </c>
      <c r="B636" s="1138" t="s">
        <v>49</v>
      </c>
      <c r="C636" s="1037" t="s">
        <v>163</v>
      </c>
      <c r="D636" s="1539"/>
      <c r="E636" s="1540"/>
      <c r="F636" s="1540"/>
      <c r="G636" s="1540"/>
      <c r="H636" s="1541"/>
      <c r="I636" s="917"/>
      <c r="K636" s="1174"/>
      <c r="L636" s="1022"/>
      <c r="M636" s="1417"/>
      <c r="S636" s="504"/>
      <c r="T636" s="504"/>
      <c r="U636" s="504"/>
      <c r="V636" s="504"/>
      <c r="W636" s="504"/>
      <c r="X636" s="504"/>
      <c r="Y636" s="504"/>
      <c r="Z636" s="504"/>
      <c r="AA636" s="504"/>
      <c r="AB636" s="504"/>
      <c r="AC636" s="322"/>
      <c r="AD636" s="322"/>
      <c r="AE636" s="322"/>
    </row>
    <row r="637" spans="1:31" x14ac:dyDescent="0.25">
      <c r="A637" s="1138">
        <v>628</v>
      </c>
      <c r="B637" s="1138" t="s">
        <v>49</v>
      </c>
      <c r="C637" s="1037" t="s">
        <v>163</v>
      </c>
      <c r="D637" s="1530"/>
      <c r="E637" s="1531"/>
      <c r="F637" s="1531"/>
      <c r="G637" s="1531"/>
      <c r="H637" s="1532"/>
      <c r="I637" s="917"/>
      <c r="K637" s="1174"/>
      <c r="L637" s="1022"/>
      <c r="M637" s="1417"/>
      <c r="S637" s="504"/>
      <c r="T637" s="504"/>
      <c r="U637" s="504"/>
      <c r="V637" s="504"/>
      <c r="W637" s="504"/>
      <c r="X637" s="504"/>
      <c r="Y637" s="504"/>
      <c r="Z637" s="504"/>
      <c r="AA637" s="504"/>
      <c r="AB637" s="504"/>
      <c r="AC637" s="322"/>
      <c r="AD637" s="322"/>
      <c r="AE637" s="322"/>
    </row>
    <row r="638" spans="1:31" x14ac:dyDescent="0.25">
      <c r="A638" s="1138">
        <v>629</v>
      </c>
      <c r="B638" s="1138" t="s">
        <v>49</v>
      </c>
      <c r="C638" s="1037" t="s">
        <v>163</v>
      </c>
      <c r="D638" s="1530"/>
      <c r="E638" s="1531"/>
      <c r="F638" s="1531"/>
      <c r="G638" s="1531"/>
      <c r="H638" s="1532"/>
      <c r="I638" s="917"/>
      <c r="K638" s="1174"/>
      <c r="L638" s="1022"/>
      <c r="M638" s="1417"/>
      <c r="S638" s="504"/>
      <c r="T638" s="504"/>
      <c r="U638" s="504"/>
      <c r="V638" s="504"/>
      <c r="W638" s="504"/>
      <c r="X638" s="504"/>
      <c r="Y638" s="504"/>
      <c r="Z638" s="504"/>
      <c r="AA638" s="504"/>
      <c r="AB638" s="504"/>
      <c r="AC638" s="322"/>
      <c r="AD638" s="322"/>
      <c r="AE638" s="322"/>
    </row>
    <row r="639" spans="1:31" x14ac:dyDescent="0.25">
      <c r="A639" s="1138">
        <v>630</v>
      </c>
      <c r="B639" s="1138" t="s">
        <v>49</v>
      </c>
      <c r="C639" s="1037" t="s">
        <v>163</v>
      </c>
      <c r="D639" s="1530"/>
      <c r="E639" s="1534"/>
      <c r="F639" s="1534"/>
      <c r="G639" s="1534"/>
      <c r="H639" s="1535"/>
      <c r="I639" s="917"/>
      <c r="K639" s="1174"/>
      <c r="L639" s="1022"/>
      <c r="M639" s="1417"/>
      <c r="S639" s="504"/>
      <c r="T639" s="504"/>
      <c r="U639" s="504"/>
      <c r="V639" s="504"/>
      <c r="W639" s="504"/>
      <c r="X639" s="504"/>
      <c r="Y639" s="504"/>
      <c r="Z639" s="504"/>
      <c r="AA639" s="504"/>
      <c r="AB639" s="504"/>
      <c r="AC639" s="322"/>
      <c r="AD639" s="322"/>
      <c r="AE639" s="322"/>
    </row>
    <row r="640" spans="1:31" x14ac:dyDescent="0.25">
      <c r="A640" s="1138">
        <v>631</v>
      </c>
      <c r="B640" s="1138" t="s">
        <v>49</v>
      </c>
      <c r="C640" s="1037" t="s">
        <v>163</v>
      </c>
      <c r="D640" s="1533"/>
      <c r="E640" s="1534"/>
      <c r="F640" s="1534"/>
      <c r="G640" s="1534"/>
      <c r="H640" s="1535"/>
      <c r="I640" s="917"/>
      <c r="K640" s="1174"/>
      <c r="L640" s="1022"/>
      <c r="M640" s="1417"/>
      <c r="S640" s="504"/>
      <c r="T640" s="504"/>
      <c r="U640" s="504"/>
      <c r="V640" s="504"/>
      <c r="W640" s="504"/>
      <c r="X640" s="504"/>
      <c r="Y640" s="504"/>
      <c r="Z640" s="504"/>
      <c r="AA640" s="504"/>
      <c r="AB640" s="504"/>
      <c r="AC640" s="322"/>
      <c r="AD640" s="322"/>
      <c r="AE640" s="322"/>
    </row>
    <row r="641" spans="1:37" x14ac:dyDescent="0.25">
      <c r="A641" s="1138">
        <v>632</v>
      </c>
      <c r="B641" s="1138" t="s">
        <v>49</v>
      </c>
      <c r="C641" s="1037" t="s">
        <v>163</v>
      </c>
      <c r="D641" s="1536"/>
      <c r="E641" s="1537"/>
      <c r="F641" s="1537"/>
      <c r="G641" s="1537"/>
      <c r="H641" s="1538"/>
      <c r="I641" s="917"/>
      <c r="K641" s="1174"/>
      <c r="L641" s="1022"/>
      <c r="M641" s="1175"/>
      <c r="S641" s="504"/>
      <c r="T641" s="504"/>
      <c r="U641" s="504"/>
      <c r="V641" s="504"/>
      <c r="W641" s="504"/>
      <c r="X641" s="504"/>
      <c r="Y641" s="504"/>
      <c r="Z641" s="504"/>
      <c r="AA641" s="504"/>
      <c r="AB641" s="504"/>
      <c r="AC641" s="322"/>
      <c r="AD641" s="322"/>
      <c r="AE641" s="322"/>
    </row>
    <row r="642" spans="1:37" x14ac:dyDescent="0.25">
      <c r="A642" s="1138">
        <v>633</v>
      </c>
      <c r="B642" s="1138" t="s">
        <v>49</v>
      </c>
      <c r="C642" s="1037" t="s">
        <v>163</v>
      </c>
      <c r="I642" s="917"/>
      <c r="K642" s="1174"/>
      <c r="L642" s="1022"/>
      <c r="M642" s="1175"/>
      <c r="S642" s="504"/>
      <c r="T642" s="504"/>
      <c r="U642" s="504"/>
      <c r="V642" s="504"/>
      <c r="W642" s="504"/>
      <c r="X642" s="504"/>
      <c r="Y642" s="504"/>
      <c r="Z642" s="504"/>
      <c r="AA642" s="504"/>
      <c r="AB642" s="504"/>
      <c r="AC642" s="322"/>
      <c r="AD642" s="322"/>
      <c r="AE642" s="322"/>
    </row>
    <row r="643" spans="1:37" x14ac:dyDescent="0.25">
      <c r="A643" s="1138">
        <v>634</v>
      </c>
      <c r="B643" s="1140" t="s">
        <v>49</v>
      </c>
      <c r="C643" s="950" t="s">
        <v>164</v>
      </c>
      <c r="D643" s="1015" t="s">
        <v>347</v>
      </c>
      <c r="E643" s="1014"/>
      <c r="F643" s="1014"/>
      <c r="G643" s="1013"/>
      <c r="H643" s="1013"/>
      <c r="I643" s="917"/>
      <c r="K643" s="1174"/>
      <c r="L643" s="1022"/>
      <c r="M643" s="1175"/>
      <c r="S643" s="504"/>
      <c r="T643" s="504"/>
      <c r="U643" s="504"/>
      <c r="V643" s="504"/>
      <c r="W643" s="504"/>
      <c r="X643" s="504"/>
      <c r="Y643" s="504"/>
      <c r="Z643" s="504"/>
      <c r="AA643" s="504"/>
      <c r="AB643" s="504"/>
      <c r="AC643" s="322"/>
      <c r="AD643" s="322"/>
      <c r="AE643" s="322"/>
    </row>
    <row r="644" spans="1:37" x14ac:dyDescent="0.25">
      <c r="A644" s="1138">
        <v>635</v>
      </c>
      <c r="B644" s="1138" t="s">
        <v>49</v>
      </c>
      <c r="C644" s="1037" t="s">
        <v>164</v>
      </c>
      <c r="D644" s="946" t="s">
        <v>15</v>
      </c>
      <c r="E644" s="1264">
        <f>Wat02_credits</f>
        <v>1</v>
      </c>
      <c r="F644" s="945"/>
      <c r="G644" s="944" t="s">
        <v>76</v>
      </c>
      <c r="H644" s="1266">
        <f>Wat02_12</f>
        <v>4.4444444444444444E-3</v>
      </c>
      <c r="I644" s="917"/>
      <c r="K644" s="1174"/>
      <c r="L644" s="1022"/>
      <c r="M644" s="1175"/>
      <c r="S644" s="504"/>
      <c r="T644" s="504"/>
      <c r="U644" s="504"/>
      <c r="V644" s="504"/>
      <c r="W644" s="504"/>
      <c r="X644" s="504"/>
      <c r="Y644" s="504"/>
      <c r="Z644" s="504"/>
      <c r="AA644" s="504"/>
      <c r="AB644" s="504"/>
      <c r="AC644" s="322"/>
      <c r="AD644" s="322"/>
      <c r="AE644" s="322"/>
    </row>
    <row r="645" spans="1:37" x14ac:dyDescent="0.25">
      <c r="A645" s="1138">
        <v>636</v>
      </c>
      <c r="B645" s="1138" t="s">
        <v>49</v>
      </c>
      <c r="C645" s="1037" t="s">
        <v>164</v>
      </c>
      <c r="D645" s="972" t="s">
        <v>1011</v>
      </c>
      <c r="E645" s="1265">
        <v>0</v>
      </c>
      <c r="F645" s="941"/>
      <c r="G645" s="940" t="s">
        <v>1010</v>
      </c>
      <c r="H645" s="1267" t="s">
        <v>13</v>
      </c>
      <c r="I645" s="917"/>
      <c r="K645" s="1174"/>
      <c r="L645" s="1022"/>
      <c r="M645" s="1175"/>
      <c r="S645" s="504"/>
      <c r="T645" s="504"/>
      <c r="U645" s="504"/>
      <c r="V645" s="504"/>
      <c r="W645" s="504"/>
      <c r="X645" s="504"/>
      <c r="Y645" s="504"/>
      <c r="Z645" s="504"/>
      <c r="AA645" s="504"/>
      <c r="AB645" s="504"/>
      <c r="AC645" s="322"/>
      <c r="AD645" s="322"/>
      <c r="AE645" s="322"/>
    </row>
    <row r="646" spans="1:37" x14ac:dyDescent="0.25">
      <c r="A646" s="1138">
        <v>637</v>
      </c>
      <c r="B646" s="1138" t="s">
        <v>49</v>
      </c>
      <c r="C646" s="1037" t="s">
        <v>164</v>
      </c>
      <c r="I646" s="917"/>
      <c r="K646" s="1174"/>
      <c r="L646" s="1022"/>
      <c r="M646" s="1175"/>
      <c r="S646" s="504"/>
      <c r="T646" s="504"/>
      <c r="U646" s="504"/>
      <c r="V646" s="504"/>
      <c r="W646" s="504"/>
      <c r="X646" s="504"/>
      <c r="Y646" s="504"/>
      <c r="Z646" s="504"/>
      <c r="AA646" s="504"/>
      <c r="AB646" s="504"/>
      <c r="AC646" s="322"/>
      <c r="AD646" s="322"/>
      <c r="AE646" s="322"/>
    </row>
    <row r="647" spans="1:37" ht="15.75" thickBot="1" x14ac:dyDescent="0.3">
      <c r="A647" s="1138">
        <v>638</v>
      </c>
      <c r="B647" s="1138" t="s">
        <v>49</v>
      </c>
      <c r="C647" s="1037" t="s">
        <v>164</v>
      </c>
      <c r="D647" s="938" t="s">
        <v>1009</v>
      </c>
      <c r="E647" s="937" t="s">
        <v>1008</v>
      </c>
      <c r="F647" s="937" t="s">
        <v>1007</v>
      </c>
      <c r="G647" s="937" t="s">
        <v>1006</v>
      </c>
      <c r="H647" s="937" t="s">
        <v>1014</v>
      </c>
      <c r="I647" s="917"/>
      <c r="K647" s="1174"/>
      <c r="L647" s="1022"/>
      <c r="M647" s="1175"/>
      <c r="S647" s="504"/>
      <c r="T647" s="504"/>
      <c r="U647" s="504"/>
      <c r="V647" s="504"/>
      <c r="W647" s="504"/>
      <c r="X647" s="504"/>
      <c r="Y647" s="504"/>
      <c r="Z647" s="504"/>
      <c r="AA647" s="504"/>
      <c r="AB647" s="504"/>
      <c r="AC647" s="322"/>
      <c r="AD647" s="322"/>
      <c r="AE647" s="322"/>
    </row>
    <row r="648" spans="1:37" ht="15.75" thickBot="1" x14ac:dyDescent="0.3">
      <c r="A648" s="1138">
        <v>639</v>
      </c>
      <c r="B648" s="1138" t="s">
        <v>49</v>
      </c>
      <c r="C648" s="1037" t="s">
        <v>164</v>
      </c>
      <c r="D648" s="1168" t="s">
        <v>1069</v>
      </c>
      <c r="E648" s="1268" t="s">
        <v>316</v>
      </c>
      <c r="F648" s="1228">
        <f>Poeng!AB116</f>
        <v>1</v>
      </c>
      <c r="G648" s="1319">
        <f>IF(AND(E648=AIS_Yes,OR(E649=AIS_Yes,E649=AIS_NA),E650=AIS_Yes,OR(E651=AIS_Yes,E651=AIS_NA)),E644,0)*IF(Y648=AIS_No,1,IF(H648=AE648,V648,IF(H648=AF648,W648,IF(H648=AG648,X648,1))))</f>
        <v>0</v>
      </c>
      <c r="H648" s="1320" t="s">
        <v>14</v>
      </c>
      <c r="I648" s="917"/>
      <c r="K648" s="1174"/>
      <c r="L648" s="1022"/>
      <c r="M648" s="1175"/>
      <c r="S648" s="846">
        <v>1</v>
      </c>
      <c r="T648" s="846">
        <v>0.5</v>
      </c>
      <c r="U648" s="968">
        <v>1</v>
      </c>
      <c r="V648" s="146" t="str">
        <f>IF($X$4=AIS_Yes,S648,AIS_NA)</f>
        <v>N/A</v>
      </c>
      <c r="W648" s="43" t="str">
        <f>IF($X$4=AIS_Yes,T648,AIS_NA)</f>
        <v>N/A</v>
      </c>
      <c r="X648" s="163" t="str">
        <f>IF($X$4=AIS_Yes,U648,AIS_NA)</f>
        <v>N/A</v>
      </c>
      <c r="Y648" s="967" t="str">
        <f>IF(AND($X$4=AIS_Yes,OR(V648&lt;&gt;AIS_NA,W648&lt;&gt;AIS_NA,X648&lt;&gt;AIS_NA)),AIS_Yes,AIS_No)</f>
        <v>No</v>
      </c>
      <c r="Z648" s="146" t="e">
        <f>AIS_option01</f>
        <v>#NAME?</v>
      </c>
      <c r="AA648" s="43" t="e">
        <f>AIS_option02_50</f>
        <v>#NAME?</v>
      </c>
      <c r="AB648" s="147" t="e">
        <f>AIS_option03</f>
        <v>#NAME?</v>
      </c>
      <c r="AC648" s="966"/>
      <c r="AD648" s="965" t="str">
        <f>AIS_NA</f>
        <v>N/A</v>
      </c>
      <c r="AE648" s="962" t="str">
        <f>IF(Y648=AIS_Yes,Z648,AIS_NA)</f>
        <v>N/A</v>
      </c>
      <c r="AF648" s="962" t="str">
        <f>IF(Y648=AIS_Yes,AA648,AIS_NA)</f>
        <v>N/A</v>
      </c>
      <c r="AG648" s="964" t="str">
        <f>IF(Y648=AIS_Yes,AB648,AIS_NA)</f>
        <v>N/A</v>
      </c>
      <c r="AH648" s="963" t="str">
        <f>C648</f>
        <v>Wat 02</v>
      </c>
      <c r="AI648" s="1026" t="str">
        <f>D643</f>
        <v>Water monitoring</v>
      </c>
      <c r="AJ648" s="961" t="str">
        <f>H648</f>
        <v>N/A</v>
      </c>
      <c r="AK648" s="375">
        <f>IF(Y648=AIS_No,1,IF(H648=AE648,V648,IF(H648=AF648,W648,IF(H648=AG648,X648,1))))</f>
        <v>1</v>
      </c>
    </row>
    <row r="649" spans="1:37" x14ac:dyDescent="0.25">
      <c r="A649" s="1138">
        <v>640</v>
      </c>
      <c r="B649" s="1138" t="s">
        <v>49</v>
      </c>
      <c r="C649" s="1037" t="s">
        <v>164</v>
      </c>
      <c r="D649" s="1169" t="s">
        <v>1068</v>
      </c>
      <c r="E649" s="1271" t="s">
        <v>316</v>
      </c>
      <c r="I649" s="917"/>
      <c r="K649" s="1174"/>
      <c r="L649" s="1022"/>
      <c r="M649" s="1175"/>
      <c r="S649" s="504"/>
      <c r="T649" s="504"/>
      <c r="U649" s="504"/>
      <c r="V649" s="504"/>
      <c r="W649" s="504"/>
      <c r="X649" s="504"/>
      <c r="Y649" s="504"/>
      <c r="Z649" s="504"/>
      <c r="AA649" s="504"/>
      <c r="AB649" s="504"/>
      <c r="AC649" s="322"/>
      <c r="AD649" s="322"/>
      <c r="AE649" s="322"/>
    </row>
    <row r="650" spans="1:37" x14ac:dyDescent="0.25">
      <c r="A650" s="1138">
        <v>641</v>
      </c>
      <c r="B650" s="1138" t="s">
        <v>49</v>
      </c>
      <c r="C650" s="1037" t="s">
        <v>164</v>
      </c>
      <c r="D650" s="1296" t="s">
        <v>1067</v>
      </c>
      <c r="E650" s="1271" t="s">
        <v>316</v>
      </c>
      <c r="I650" s="917"/>
      <c r="K650" s="1174"/>
      <c r="L650" s="1022"/>
      <c r="M650" s="1175"/>
      <c r="S650" s="504"/>
      <c r="T650" s="504"/>
      <c r="U650" s="504"/>
      <c r="V650" s="504"/>
      <c r="W650" s="504"/>
      <c r="X650" s="504"/>
      <c r="Y650" s="504"/>
      <c r="Z650" s="504"/>
      <c r="AA650" s="504"/>
      <c r="AB650" s="504"/>
      <c r="AC650" s="322"/>
      <c r="AD650" s="322"/>
      <c r="AE650" s="322"/>
    </row>
    <row r="651" spans="1:37" ht="15.75" thickBot="1" x14ac:dyDescent="0.3">
      <c r="A651" s="1138">
        <v>642</v>
      </c>
      <c r="B651" s="1138" t="s">
        <v>49</v>
      </c>
      <c r="C651" s="1037" t="s">
        <v>164</v>
      </c>
      <c r="D651" s="1170" t="s">
        <v>1066</v>
      </c>
      <c r="E651" s="1275" t="s">
        <v>316</v>
      </c>
      <c r="I651" s="917"/>
      <c r="K651" s="1174"/>
      <c r="L651" s="1022"/>
      <c r="M651" s="1175"/>
      <c r="S651" s="504"/>
      <c r="T651" s="504"/>
      <c r="U651" s="504"/>
      <c r="V651" s="504"/>
      <c r="W651" s="504"/>
      <c r="X651" s="504"/>
      <c r="Y651" s="504"/>
      <c r="Z651" s="504"/>
      <c r="AA651" s="504"/>
      <c r="AB651" s="504"/>
      <c r="AC651" s="322"/>
      <c r="AD651" s="322"/>
      <c r="AE651" s="322"/>
    </row>
    <row r="652" spans="1:37" x14ac:dyDescent="0.25">
      <c r="A652" s="1138">
        <v>643</v>
      </c>
      <c r="B652" s="1138" t="s">
        <v>49</v>
      </c>
      <c r="C652" s="1037" t="s">
        <v>164</v>
      </c>
      <c r="I652" s="917"/>
      <c r="K652" s="1174"/>
      <c r="L652" s="1022"/>
      <c r="M652" s="1175"/>
      <c r="S652" s="504"/>
      <c r="T652" s="504"/>
      <c r="U652" s="504"/>
      <c r="V652" s="504"/>
      <c r="W652" s="504"/>
      <c r="X652" s="504"/>
      <c r="Y652" s="504"/>
      <c r="Z652" s="504"/>
      <c r="AA652" s="504"/>
      <c r="AB652" s="504"/>
      <c r="AC652" s="322"/>
      <c r="AD652" s="322"/>
      <c r="AE652" s="322"/>
    </row>
    <row r="653" spans="1:37" x14ac:dyDescent="0.25">
      <c r="A653" s="1138">
        <v>644</v>
      </c>
      <c r="B653" s="1138" t="s">
        <v>49</v>
      </c>
      <c r="C653" s="1037" t="s">
        <v>164</v>
      </c>
      <c r="D653" s="958" t="s">
        <v>1012</v>
      </c>
      <c r="E653" s="1307">
        <f>G648</f>
        <v>0</v>
      </c>
      <c r="I653" s="917"/>
      <c r="K653" s="1174"/>
      <c r="L653" s="1022"/>
      <c r="M653" s="1175"/>
      <c r="S653" s="504"/>
      <c r="T653" s="504"/>
      <c r="U653" s="504"/>
      <c r="V653" s="504"/>
      <c r="W653" s="504"/>
      <c r="X653" s="504"/>
      <c r="Y653" s="504"/>
      <c r="Z653" s="504"/>
      <c r="AA653" s="504"/>
      <c r="AB653" s="504"/>
      <c r="AC653" s="322"/>
      <c r="AD653" s="322"/>
      <c r="AE653" s="322"/>
    </row>
    <row r="654" spans="1:37" x14ac:dyDescent="0.25">
      <c r="A654" s="1138">
        <v>645</v>
      </c>
      <c r="B654" s="1138" t="s">
        <v>49</v>
      </c>
      <c r="C654" s="1037" t="s">
        <v>164</v>
      </c>
      <c r="D654" s="924" t="s">
        <v>77</v>
      </c>
      <c r="E654" s="1273">
        <f>Wat02_13</f>
        <v>0</v>
      </c>
      <c r="I654" s="917"/>
      <c r="K654" s="1174"/>
      <c r="L654" s="1022"/>
      <c r="M654" s="1175"/>
      <c r="S654" s="504"/>
      <c r="T654" s="504"/>
      <c r="U654" s="504"/>
      <c r="V654" s="504"/>
      <c r="W654" s="504"/>
      <c r="X654" s="504"/>
      <c r="Y654" s="504"/>
      <c r="Z654" s="504"/>
      <c r="AA654" s="504"/>
      <c r="AB654" s="504"/>
      <c r="AC654" s="322"/>
      <c r="AD654" s="322"/>
      <c r="AE654" s="322"/>
    </row>
    <row r="655" spans="1:37" x14ac:dyDescent="0.25">
      <c r="A655" s="1138">
        <v>646</v>
      </c>
      <c r="B655" s="1138" t="s">
        <v>49</v>
      </c>
      <c r="C655" s="1037" t="s">
        <v>164</v>
      </c>
      <c r="D655" s="926" t="s">
        <v>1005</v>
      </c>
      <c r="E655" s="1272" t="s">
        <v>14</v>
      </c>
      <c r="I655" s="917"/>
      <c r="K655" s="1174"/>
      <c r="L655" s="1022"/>
      <c r="M655" s="1175"/>
      <c r="S655" s="504"/>
      <c r="T655" s="504"/>
      <c r="U655" s="504"/>
      <c r="V655" s="504"/>
      <c r="W655" s="504"/>
      <c r="X655" s="504"/>
      <c r="Y655" s="504"/>
      <c r="Z655" s="504"/>
      <c r="AA655" s="504"/>
      <c r="AB655" s="504"/>
      <c r="AC655" s="322"/>
      <c r="AD655" s="322"/>
      <c r="AE655" s="322"/>
    </row>
    <row r="656" spans="1:37" x14ac:dyDescent="0.25">
      <c r="A656" s="1138">
        <v>647</v>
      </c>
      <c r="B656" s="1138" t="s">
        <v>49</v>
      </c>
      <c r="C656" s="1037" t="s">
        <v>164</v>
      </c>
      <c r="D656" s="923" t="s">
        <v>46</v>
      </c>
      <c r="E656" s="1290" t="s">
        <v>14</v>
      </c>
      <c r="I656" s="917"/>
      <c r="K656" s="1174"/>
      <c r="L656" s="1022"/>
      <c r="M656" s="1175"/>
      <c r="S656" s="504"/>
      <c r="T656" s="504"/>
      <c r="U656" s="504"/>
      <c r="V656" s="504"/>
      <c r="W656" s="504"/>
      <c r="X656" s="504"/>
      <c r="Y656" s="504"/>
      <c r="Z656" s="504"/>
      <c r="AA656" s="504"/>
      <c r="AB656" s="504"/>
      <c r="AC656" s="322"/>
      <c r="AD656" s="322"/>
      <c r="AE656" s="322"/>
    </row>
    <row r="657" spans="1:36" x14ac:dyDescent="0.25">
      <c r="A657" s="1138">
        <v>648</v>
      </c>
      <c r="B657" s="1138" t="s">
        <v>49</v>
      </c>
      <c r="C657" s="1037" t="s">
        <v>164</v>
      </c>
      <c r="I657" s="917"/>
      <c r="K657" s="1174"/>
      <c r="L657" s="1022"/>
      <c r="M657" s="1175"/>
      <c r="S657" s="504"/>
      <c r="T657" s="504"/>
      <c r="U657" s="504"/>
      <c r="V657" s="504"/>
      <c r="W657" s="504"/>
      <c r="X657" s="504"/>
      <c r="Y657" s="504"/>
      <c r="Z657" s="504"/>
      <c r="AA657" s="504"/>
      <c r="AB657" s="504"/>
      <c r="AC657" s="322"/>
      <c r="AD657" s="322"/>
      <c r="AE657" s="322"/>
    </row>
    <row r="658" spans="1:36" x14ac:dyDescent="0.25">
      <c r="A658" s="1138">
        <v>649</v>
      </c>
      <c r="B658" s="1138" t="s">
        <v>49</v>
      </c>
      <c r="C658" s="1037" t="s">
        <v>164</v>
      </c>
      <c r="D658" s="920" t="s">
        <v>1004</v>
      </c>
      <c r="E658" s="920" t="s">
        <v>1003</v>
      </c>
      <c r="F658" s="920" t="str">
        <f>HLOOKUP(C658,'Assessment References'!$H$512:$BG$513,2,FALSE)</f>
        <v/>
      </c>
      <c r="G658" s="919"/>
      <c r="H658" s="918"/>
      <c r="I658" s="917"/>
      <c r="K658" s="1174"/>
      <c r="L658" s="1022"/>
      <c r="M658" s="1175"/>
      <c r="S658" s="504"/>
      <c r="T658" s="504"/>
      <c r="U658" s="504"/>
      <c r="V658" s="504"/>
      <c r="W658" s="504"/>
      <c r="X658" s="504"/>
      <c r="Y658" s="504"/>
      <c r="Z658" s="504"/>
      <c r="AA658" s="504"/>
      <c r="AB658" s="504"/>
      <c r="AC658" s="322"/>
      <c r="AD658" s="322"/>
      <c r="AE658" s="322"/>
    </row>
    <row r="659" spans="1:36" x14ac:dyDescent="0.25">
      <c r="A659" s="1138">
        <v>650</v>
      </c>
      <c r="B659" s="1138" t="s">
        <v>49</v>
      </c>
      <c r="C659" s="1037" t="s">
        <v>164</v>
      </c>
      <c r="D659" s="1539"/>
      <c r="E659" s="1540"/>
      <c r="F659" s="1540"/>
      <c r="G659" s="1540"/>
      <c r="H659" s="1541"/>
      <c r="I659" s="917"/>
      <c r="K659" s="1174"/>
      <c r="L659" s="1022"/>
      <c r="M659" s="1175"/>
      <c r="S659" s="504"/>
      <c r="T659" s="504"/>
      <c r="U659" s="504"/>
      <c r="V659" s="504"/>
      <c r="W659" s="504"/>
      <c r="X659" s="504"/>
      <c r="Y659" s="504"/>
      <c r="Z659" s="504"/>
      <c r="AA659" s="504"/>
      <c r="AB659" s="504"/>
      <c r="AC659" s="322"/>
      <c r="AD659" s="322"/>
      <c r="AE659" s="322"/>
    </row>
    <row r="660" spans="1:36" x14ac:dyDescent="0.25">
      <c r="A660" s="1138">
        <v>651</v>
      </c>
      <c r="B660" s="1138" t="s">
        <v>49</v>
      </c>
      <c r="C660" s="1037" t="s">
        <v>164</v>
      </c>
      <c r="D660" s="1530"/>
      <c r="E660" s="1531"/>
      <c r="F660" s="1531"/>
      <c r="G660" s="1531"/>
      <c r="H660" s="1532"/>
      <c r="I660" s="917"/>
      <c r="K660" s="1174"/>
      <c r="L660" s="1022"/>
      <c r="M660" s="1175"/>
      <c r="S660" s="504"/>
      <c r="T660" s="504"/>
      <c r="U660" s="504"/>
      <c r="V660" s="504"/>
      <c r="W660" s="504"/>
      <c r="X660" s="504"/>
      <c r="Y660" s="504"/>
      <c r="Z660" s="504"/>
      <c r="AA660" s="504"/>
      <c r="AB660" s="504"/>
      <c r="AC660" s="322"/>
      <c r="AD660" s="322"/>
      <c r="AE660" s="322"/>
    </row>
    <row r="661" spans="1:36" x14ac:dyDescent="0.25">
      <c r="A661" s="1138">
        <v>652</v>
      </c>
      <c r="B661" s="1138" t="s">
        <v>49</v>
      </c>
      <c r="C661" s="1037" t="s">
        <v>164</v>
      </c>
      <c r="D661" s="1530"/>
      <c r="E661" s="1531"/>
      <c r="F661" s="1531"/>
      <c r="G661" s="1531"/>
      <c r="H661" s="1532"/>
      <c r="I661" s="917"/>
      <c r="K661" s="1174"/>
      <c r="L661" s="1022"/>
      <c r="M661" s="1175"/>
      <c r="S661" s="504"/>
      <c r="T661" s="504"/>
      <c r="U661" s="504"/>
      <c r="V661" s="504"/>
      <c r="W661" s="504"/>
      <c r="X661" s="504"/>
      <c r="Y661" s="504"/>
      <c r="Z661" s="504"/>
      <c r="AA661" s="504"/>
      <c r="AB661" s="504"/>
      <c r="AC661" s="322"/>
      <c r="AD661" s="322"/>
      <c r="AE661" s="322"/>
    </row>
    <row r="662" spans="1:36" x14ac:dyDescent="0.25">
      <c r="A662" s="1138">
        <v>653</v>
      </c>
      <c r="B662" s="1138" t="s">
        <v>49</v>
      </c>
      <c r="C662" s="1037" t="s">
        <v>164</v>
      </c>
      <c r="D662" s="1533"/>
      <c r="E662" s="1534"/>
      <c r="F662" s="1534"/>
      <c r="G662" s="1534"/>
      <c r="H662" s="1535"/>
      <c r="I662" s="917"/>
      <c r="K662" s="1174"/>
      <c r="L662" s="1022"/>
      <c r="M662" s="1175"/>
      <c r="S662" s="504"/>
      <c r="T662" s="504"/>
      <c r="U662" s="504"/>
      <c r="V662" s="504"/>
      <c r="W662" s="504"/>
      <c r="X662" s="504"/>
      <c r="Y662" s="504"/>
      <c r="Z662" s="504"/>
      <c r="AA662" s="504"/>
      <c r="AB662" s="504"/>
      <c r="AC662" s="322"/>
      <c r="AD662" s="322"/>
      <c r="AE662" s="322"/>
    </row>
    <row r="663" spans="1:36" x14ac:dyDescent="0.25">
      <c r="A663" s="1138">
        <v>654</v>
      </c>
      <c r="B663" s="1138" t="s">
        <v>49</v>
      </c>
      <c r="C663" s="1037" t="s">
        <v>164</v>
      </c>
      <c r="D663" s="1533"/>
      <c r="E663" s="1534"/>
      <c r="F663" s="1534"/>
      <c r="G663" s="1534"/>
      <c r="H663" s="1535"/>
      <c r="I663" s="917"/>
      <c r="K663" s="1174"/>
      <c r="L663" s="1022"/>
      <c r="M663" s="1175"/>
      <c r="S663" s="504"/>
      <c r="T663" s="504"/>
      <c r="U663" s="504"/>
      <c r="V663" s="504"/>
      <c r="W663" s="504"/>
      <c r="X663" s="504"/>
      <c r="Y663" s="504"/>
      <c r="Z663" s="504"/>
      <c r="AA663" s="504"/>
      <c r="AB663" s="504"/>
      <c r="AC663" s="322"/>
      <c r="AD663" s="322"/>
      <c r="AE663" s="322"/>
    </row>
    <row r="664" spans="1:36" x14ac:dyDescent="0.25">
      <c r="A664" s="1138">
        <v>655</v>
      </c>
      <c r="B664" s="1138" t="s">
        <v>49</v>
      </c>
      <c r="C664" s="1037" t="s">
        <v>164</v>
      </c>
      <c r="D664" s="1536"/>
      <c r="E664" s="1537"/>
      <c r="F664" s="1537"/>
      <c r="G664" s="1537"/>
      <c r="H664" s="1538"/>
      <c r="I664" s="917"/>
      <c r="K664" s="1174"/>
      <c r="L664" s="1022"/>
      <c r="M664" s="1175"/>
      <c r="S664" s="504"/>
      <c r="T664" s="504"/>
      <c r="U664" s="504"/>
      <c r="V664" s="504"/>
      <c r="W664" s="504"/>
      <c r="X664" s="504"/>
      <c r="Y664" s="504"/>
      <c r="Z664" s="504"/>
      <c r="AA664" s="504"/>
      <c r="AB664" s="504"/>
      <c r="AC664" s="322"/>
      <c r="AD664" s="322"/>
      <c r="AE664" s="322"/>
    </row>
    <row r="665" spans="1:36" x14ac:dyDescent="0.25">
      <c r="A665" s="1138">
        <v>656</v>
      </c>
      <c r="B665" s="1138" t="s">
        <v>49</v>
      </c>
      <c r="C665" s="1037" t="s">
        <v>164</v>
      </c>
      <c r="I665" s="917"/>
      <c r="K665" s="1174"/>
      <c r="L665" s="1022"/>
      <c r="M665" s="1175"/>
      <c r="S665" s="504"/>
      <c r="T665" s="504"/>
      <c r="U665" s="504"/>
      <c r="V665" s="504"/>
      <c r="W665" s="504"/>
      <c r="X665" s="504"/>
      <c r="Y665" s="504"/>
      <c r="Z665" s="504"/>
      <c r="AA665" s="504"/>
      <c r="AB665" s="504"/>
      <c r="AC665" s="322"/>
      <c r="AD665" s="322"/>
      <c r="AE665" s="322"/>
    </row>
    <row r="666" spans="1:36" x14ac:dyDescent="0.25">
      <c r="A666" s="1138">
        <v>657</v>
      </c>
      <c r="B666" s="1140" t="s">
        <v>49</v>
      </c>
      <c r="C666" s="1012" t="s">
        <v>165</v>
      </c>
      <c r="D666" s="1015" t="s">
        <v>348</v>
      </c>
      <c r="E666" s="1014"/>
      <c r="F666" s="1014"/>
      <c r="G666" s="1013"/>
      <c r="H666" s="974" t="str" cm="1">
        <f t="array" ref="H666">IF(Wat03_credits=AIS_credit00,AIS_statement32,"")</f>
        <v/>
      </c>
      <c r="I666" s="917"/>
      <c r="K666" s="1174"/>
      <c r="L666" s="1022"/>
      <c r="M666" s="1175"/>
      <c r="S666" s="504"/>
      <c r="T666" s="504"/>
      <c r="U666" s="504"/>
      <c r="V666" s="504"/>
      <c r="W666" s="504"/>
      <c r="X666" s="504"/>
      <c r="Y666" s="504"/>
      <c r="Z666" s="504"/>
      <c r="AA666" s="504"/>
      <c r="AB666" s="504"/>
      <c r="AC666" s="322"/>
      <c r="AD666" s="322"/>
      <c r="AE666" s="322"/>
    </row>
    <row r="667" spans="1:36" x14ac:dyDescent="0.25">
      <c r="A667" s="1138">
        <v>658</v>
      </c>
      <c r="B667" s="1138" t="s">
        <v>49</v>
      </c>
      <c r="C667" s="1037" t="s">
        <v>165</v>
      </c>
      <c r="D667" s="946" t="s">
        <v>15</v>
      </c>
      <c r="E667" s="1264">
        <f>Wat03_credits</f>
        <v>2</v>
      </c>
      <c r="F667" s="945"/>
      <c r="G667" s="944" t="s">
        <v>76</v>
      </c>
      <c r="H667" s="1266">
        <f>Wat03_09</f>
        <v>8.8888888888888889E-3</v>
      </c>
      <c r="I667" s="917"/>
      <c r="K667" s="1174"/>
      <c r="L667" s="1022"/>
      <c r="M667" s="1175"/>
      <c r="S667" s="504"/>
      <c r="T667" s="504"/>
      <c r="U667" s="504"/>
      <c r="V667" s="504"/>
      <c r="W667" s="504"/>
      <c r="X667" s="504"/>
      <c r="Y667" s="504"/>
      <c r="Z667" s="504"/>
      <c r="AA667" s="504"/>
      <c r="AB667" s="504"/>
      <c r="AC667" s="322"/>
      <c r="AD667" s="322"/>
      <c r="AE667" s="322"/>
    </row>
    <row r="668" spans="1:36" x14ac:dyDescent="0.25">
      <c r="A668" s="1138">
        <v>659</v>
      </c>
      <c r="B668" s="1138" t="s">
        <v>49</v>
      </c>
      <c r="C668" s="1037" t="s">
        <v>165</v>
      </c>
      <c r="D668" s="972" t="s">
        <v>1011</v>
      </c>
      <c r="E668" s="1265">
        <v>0</v>
      </c>
      <c r="F668" s="941"/>
      <c r="G668" s="940" t="s">
        <v>1010</v>
      </c>
      <c r="H668" s="1267" t="s">
        <v>13</v>
      </c>
      <c r="I668" s="917"/>
      <c r="K668" s="1174"/>
      <c r="L668" s="1022"/>
      <c r="M668" s="1175"/>
      <c r="S668" s="504"/>
      <c r="T668" s="504"/>
      <c r="U668" s="504"/>
      <c r="V668" s="504"/>
      <c r="W668" s="504"/>
      <c r="X668" s="504"/>
      <c r="Y668" s="504"/>
      <c r="Z668" s="504"/>
      <c r="AA668" s="504"/>
      <c r="AB668" s="504"/>
      <c r="AC668" s="322"/>
      <c r="AD668" s="322"/>
      <c r="AE668" s="322"/>
    </row>
    <row r="669" spans="1:36" x14ac:dyDescent="0.25">
      <c r="A669" s="1138">
        <v>660</v>
      </c>
      <c r="B669" s="1138" t="s">
        <v>49</v>
      </c>
      <c r="C669" s="1037" t="s">
        <v>165</v>
      </c>
      <c r="I669" s="917"/>
      <c r="K669" s="1174"/>
      <c r="L669" s="1022"/>
      <c r="M669" s="1175"/>
      <c r="S669" s="504"/>
      <c r="T669" s="504"/>
      <c r="U669" s="504"/>
      <c r="V669" s="504"/>
      <c r="W669" s="504"/>
      <c r="X669" s="504"/>
      <c r="Y669" s="504"/>
      <c r="Z669" s="504"/>
      <c r="AA669" s="504"/>
      <c r="AB669" s="504"/>
      <c r="AC669" s="322"/>
      <c r="AD669" s="322"/>
      <c r="AE669" s="322"/>
    </row>
    <row r="670" spans="1:36" ht="15.75" thickBot="1" x14ac:dyDescent="0.3">
      <c r="A670" s="1138">
        <v>661</v>
      </c>
      <c r="B670" s="1138" t="s">
        <v>49</v>
      </c>
      <c r="C670" s="1037" t="s">
        <v>165</v>
      </c>
      <c r="D670" s="938" t="s">
        <v>1009</v>
      </c>
      <c r="E670" s="937" t="s">
        <v>1008</v>
      </c>
      <c r="F670" s="937" t="s">
        <v>1007</v>
      </c>
      <c r="G670" s="937" t="s">
        <v>1006</v>
      </c>
      <c r="H670" s="937" t="s">
        <v>1014</v>
      </c>
      <c r="I670" s="917"/>
      <c r="K670" s="1174"/>
      <c r="L670" s="1022"/>
      <c r="M670" s="1175"/>
      <c r="S670" s="504"/>
      <c r="T670" s="504"/>
      <c r="U670" s="504"/>
      <c r="V670" s="504"/>
      <c r="W670" s="504"/>
      <c r="X670" s="504"/>
      <c r="Y670" s="504"/>
      <c r="Z670" s="504"/>
      <c r="AA670" s="504"/>
      <c r="AB670" s="504"/>
      <c r="AC670" s="322"/>
      <c r="AD670" s="322"/>
      <c r="AE670" s="322"/>
    </row>
    <row r="671" spans="1:36" x14ac:dyDescent="0.25">
      <c r="A671" s="1138">
        <v>662</v>
      </c>
      <c r="B671" s="1138" t="s">
        <v>49</v>
      </c>
      <c r="C671" s="1037" t="s">
        <v>165</v>
      </c>
      <c r="D671" s="1168" t="s">
        <v>1065</v>
      </c>
      <c r="E671" s="1268" t="s">
        <v>316</v>
      </c>
      <c r="F671" s="1223">
        <f>Poeng!AB118</f>
        <v>1</v>
      </c>
      <c r="G671" s="1223">
        <f>IF(E671=AIS_Yes,F671,0)</f>
        <v>0</v>
      </c>
      <c r="H671" s="989" t="s">
        <v>14</v>
      </c>
      <c r="I671" s="917"/>
      <c r="K671" s="1174"/>
      <c r="L671" s="1022"/>
      <c r="M671" s="1175"/>
      <c r="S671"/>
      <c r="T671"/>
      <c r="U671"/>
      <c r="V671"/>
      <c r="W671"/>
      <c r="X671"/>
      <c r="Y671" t="str">
        <f>X4</f>
        <v>No</v>
      </c>
      <c r="Z671"/>
      <c r="AA671"/>
      <c r="AB671"/>
      <c r="AC671"/>
      <c r="AD671"/>
      <c r="AE671"/>
      <c r="AF671"/>
      <c r="AG671"/>
      <c r="AH671"/>
      <c r="AI671"/>
      <c r="AJ671"/>
    </row>
    <row r="672" spans="1:36" ht="15.75" thickBot="1" x14ac:dyDescent="0.3">
      <c r="A672" s="1138">
        <v>663</v>
      </c>
      <c r="B672" s="1138" t="s">
        <v>49</v>
      </c>
      <c r="C672" s="1037" t="s">
        <v>165</v>
      </c>
      <c r="D672" s="1296" t="s">
        <v>1064</v>
      </c>
      <c r="E672" s="1271" t="s">
        <v>316</v>
      </c>
      <c r="F672" s="1274">
        <f>Poeng!AB119</f>
        <v>1</v>
      </c>
      <c r="G672" s="1274">
        <f>IF(E672=AIS_Yes,F672,0)</f>
        <v>0</v>
      </c>
      <c r="H672" s="1052" t="s">
        <v>14</v>
      </c>
      <c r="I672" s="917"/>
      <c r="K672" s="1174"/>
      <c r="L672" s="1022"/>
      <c r="M672" s="1175"/>
      <c r="S672"/>
      <c r="T672"/>
      <c r="U672"/>
      <c r="V672"/>
      <c r="W672"/>
      <c r="X672"/>
      <c r="Y672"/>
      <c r="Z672"/>
      <c r="AA672"/>
      <c r="AB672"/>
      <c r="AC672"/>
      <c r="AD672"/>
      <c r="AE672"/>
      <c r="AF672"/>
      <c r="AG672"/>
      <c r="AH672"/>
      <c r="AI672"/>
      <c r="AJ672"/>
    </row>
    <row r="673" spans="1:37" ht="15.75" thickBot="1" x14ac:dyDescent="0.3">
      <c r="A673" s="1138">
        <v>664</v>
      </c>
      <c r="B673" s="1138" t="s">
        <v>49</v>
      </c>
      <c r="C673" s="1037" t="s">
        <v>165</v>
      </c>
      <c r="D673" s="1170" t="s">
        <v>625</v>
      </c>
      <c r="E673" s="1275" t="s">
        <v>316</v>
      </c>
      <c r="F673" s="1321">
        <f>Poeng!AB120</f>
        <v>0</v>
      </c>
      <c r="G673" s="1321">
        <f>IF(E673=AIS_Yes,F673,0)</f>
        <v>0</v>
      </c>
      <c r="H673" s="986" t="s">
        <v>14</v>
      </c>
      <c r="I673" s="917"/>
      <c r="K673" s="1174"/>
      <c r="L673" s="1022"/>
      <c r="M673" s="1175"/>
      <c r="S673" s="846">
        <v>1</v>
      </c>
      <c r="T673" s="846">
        <v>0.5</v>
      </c>
      <c r="U673" s="968">
        <v>1</v>
      </c>
      <c r="V673" s="146" t="str">
        <f>IF($X$4=AIS_Yes,S673,AIS_NA)</f>
        <v>N/A</v>
      </c>
      <c r="W673" s="43" t="str">
        <f>IF($X$4=AIS_Yes,T673,AIS_NA)</f>
        <v>N/A</v>
      </c>
      <c r="X673" s="163" t="str">
        <f>IF($X$4=AIS_Yes,U673,AIS_NA)</f>
        <v>N/A</v>
      </c>
      <c r="Y673" s="967" t="str">
        <f>IF(AND($X$4=AIS_Yes,OR(V673&lt;&gt;AIS_NA,W673&lt;&gt;AIS_NA,X673&lt;&gt;AIS_NA)),AIS_Yes,AIS_No)</f>
        <v>No</v>
      </c>
      <c r="Z673" s="146" t="e">
        <f>AIS_option01</f>
        <v>#NAME?</v>
      </c>
      <c r="AA673" s="43" t="e">
        <f>AIS_option02_50</f>
        <v>#NAME?</v>
      </c>
      <c r="AB673" s="147" t="e">
        <f>AIS_option03</f>
        <v>#NAME?</v>
      </c>
      <c r="AC673" s="966"/>
      <c r="AD673" s="965" t="str">
        <f>AIS_NA</f>
        <v>N/A</v>
      </c>
      <c r="AE673" s="962" t="str">
        <f>IF(Y673=AIS_Yes,Z673,AIS_NA)</f>
        <v>N/A</v>
      </c>
      <c r="AF673" s="962" t="str">
        <f>IF(Y673=AIS_Yes,AA673,AIS_NA)</f>
        <v>N/A</v>
      </c>
      <c r="AG673" s="964" t="str">
        <f>IF(Y673=AIS_Yes,AB673,AIS_NA)</f>
        <v>N/A</v>
      </c>
      <c r="AH673" s="963" t="str">
        <f>C673</f>
        <v>Wat 03</v>
      </c>
      <c r="AI673" s="1026" t="str">
        <f>D673</f>
        <v>Leak isolation</v>
      </c>
      <c r="AJ673" s="961" t="str">
        <f>H673</f>
        <v>N/A</v>
      </c>
      <c r="AK673" s="375">
        <f>IF(Y673=AIS_No,1,IF(H673=AE673,V673,IF(H673=AF673,W673,IF(H673=AG673,X673,1))))</f>
        <v>1</v>
      </c>
    </row>
    <row r="674" spans="1:37" x14ac:dyDescent="0.25">
      <c r="A674" s="1138">
        <v>665</v>
      </c>
      <c r="B674" s="1138" t="s">
        <v>49</v>
      </c>
      <c r="C674" s="1037" t="s">
        <v>165</v>
      </c>
      <c r="I674" s="917"/>
      <c r="K674" s="1174"/>
      <c r="L674" s="1022"/>
      <c r="M674" s="1175"/>
      <c r="S674" s="504"/>
      <c r="T674" s="504"/>
      <c r="U674" s="504"/>
      <c r="V674" s="504"/>
      <c r="W674" s="504"/>
      <c r="X674" s="504"/>
      <c r="Y674" s="504"/>
      <c r="Z674" s="504"/>
      <c r="AA674" s="504"/>
      <c r="AB674" s="504"/>
      <c r="AC674" s="322"/>
      <c r="AD674" s="322"/>
      <c r="AE674" s="322"/>
    </row>
    <row r="675" spans="1:37" x14ac:dyDescent="0.25">
      <c r="A675" s="1138">
        <v>666</v>
      </c>
      <c r="B675" s="1138" t="s">
        <v>49</v>
      </c>
      <c r="C675" s="1037" t="s">
        <v>165</v>
      </c>
      <c r="D675" s="958" t="s">
        <v>1012</v>
      </c>
      <c r="E675" s="1272">
        <f>IF(G671+G672+G673&gt;E667,E667,G671+G672+G673)</f>
        <v>0</v>
      </c>
      <c r="I675" s="917"/>
      <c r="K675" s="1174"/>
      <c r="L675" s="1022"/>
      <c r="M675" s="1175"/>
      <c r="S675" s="504"/>
      <c r="T675" s="504"/>
      <c r="U675" s="504"/>
      <c r="V675" s="504"/>
      <c r="W675" s="504"/>
      <c r="X675" s="504"/>
      <c r="Y675" s="504"/>
      <c r="Z675" s="504"/>
      <c r="AA675" s="504"/>
      <c r="AB675" s="504"/>
      <c r="AC675" s="322"/>
      <c r="AD675" s="322"/>
      <c r="AE675" s="322"/>
    </row>
    <row r="676" spans="1:37" x14ac:dyDescent="0.25">
      <c r="A676" s="1138">
        <v>667</v>
      </c>
      <c r="B676" s="1138" t="s">
        <v>49</v>
      </c>
      <c r="C676" s="1037" t="s">
        <v>165</v>
      </c>
      <c r="D676" s="924" t="s">
        <v>77</v>
      </c>
      <c r="E676" s="1273">
        <f>Wat03_10</f>
        <v>0</v>
      </c>
      <c r="I676" s="917"/>
      <c r="K676" s="1174"/>
      <c r="L676" s="1022"/>
      <c r="M676" s="1175"/>
      <c r="S676" s="504"/>
      <c r="T676" s="504"/>
      <c r="U676" s="504"/>
      <c r="V676" s="504"/>
      <c r="W676" s="504"/>
      <c r="X676" s="504"/>
      <c r="Y676" s="504"/>
      <c r="Z676" s="504"/>
      <c r="AA676" s="504"/>
      <c r="AB676" s="504"/>
      <c r="AC676" s="322"/>
      <c r="AD676" s="322"/>
      <c r="AE676" s="322"/>
    </row>
    <row r="677" spans="1:37" x14ac:dyDescent="0.25">
      <c r="A677" s="1138">
        <v>668</v>
      </c>
      <c r="B677" s="1138" t="s">
        <v>49</v>
      </c>
      <c r="C677" s="1037" t="s">
        <v>165</v>
      </c>
      <c r="D677" s="926" t="s">
        <v>1005</v>
      </c>
      <c r="E677" s="1272" t="s">
        <v>14</v>
      </c>
      <c r="I677" s="917"/>
      <c r="K677" s="1174"/>
      <c r="L677" s="1022"/>
      <c r="M677" s="1175"/>
      <c r="S677" s="504"/>
      <c r="T677" s="504"/>
      <c r="U677" s="504"/>
      <c r="V677" s="504"/>
      <c r="W677" s="504"/>
      <c r="X677" s="504"/>
      <c r="Y677" s="504"/>
      <c r="Z677" s="504"/>
      <c r="AA677" s="504"/>
      <c r="AB677" s="504"/>
      <c r="AC677" s="322"/>
      <c r="AD677" s="322"/>
      <c r="AE677" s="322"/>
    </row>
    <row r="678" spans="1:37" x14ac:dyDescent="0.25">
      <c r="A678" s="1138">
        <v>669</v>
      </c>
      <c r="B678" s="1138" t="s">
        <v>49</v>
      </c>
      <c r="C678" s="1037" t="s">
        <v>165</v>
      </c>
      <c r="D678" s="923" t="s">
        <v>46</v>
      </c>
      <c r="E678" s="1290" t="s">
        <v>14</v>
      </c>
      <c r="I678" s="917"/>
      <c r="K678" s="1174"/>
      <c r="L678" s="1022"/>
      <c r="M678" s="1175"/>
      <c r="S678" s="504"/>
      <c r="T678" s="504"/>
      <c r="U678" s="504"/>
      <c r="V678" s="504"/>
      <c r="W678" s="504"/>
      <c r="X678" s="504"/>
      <c r="Y678" s="504"/>
      <c r="Z678" s="504"/>
      <c r="AA678" s="504"/>
      <c r="AB678" s="504"/>
      <c r="AC678" s="322"/>
      <c r="AD678" s="322"/>
      <c r="AE678" s="322"/>
    </row>
    <row r="679" spans="1:37" x14ac:dyDescent="0.25">
      <c r="A679" s="1138">
        <v>670</v>
      </c>
      <c r="B679" s="1138" t="s">
        <v>49</v>
      </c>
      <c r="C679" s="1037" t="s">
        <v>165</v>
      </c>
      <c r="I679" s="917"/>
      <c r="K679" s="1174"/>
      <c r="L679" s="1022"/>
      <c r="M679" s="1175"/>
      <c r="S679" s="504"/>
      <c r="T679" s="504"/>
      <c r="U679" s="504"/>
      <c r="V679" s="504"/>
      <c r="W679" s="504"/>
      <c r="X679" s="504"/>
      <c r="Y679" s="504"/>
      <c r="Z679" s="504"/>
      <c r="AA679" s="504"/>
      <c r="AB679" s="504"/>
      <c r="AC679" s="322"/>
      <c r="AD679" s="322"/>
      <c r="AE679" s="322"/>
    </row>
    <row r="680" spans="1:37" x14ac:dyDescent="0.25">
      <c r="A680" s="1138">
        <v>671</v>
      </c>
      <c r="B680" s="1138" t="s">
        <v>49</v>
      </c>
      <c r="C680" s="1037" t="s">
        <v>165</v>
      </c>
      <c r="D680" s="920" t="s">
        <v>1004</v>
      </c>
      <c r="E680" s="920" t="s">
        <v>1003</v>
      </c>
      <c r="F680" s="920" t="str">
        <f>HLOOKUP(C680,'Assessment References'!$H$512:$BG$513,2,FALSE)</f>
        <v/>
      </c>
      <c r="G680" s="919"/>
      <c r="H680" s="918"/>
      <c r="I680" s="917"/>
      <c r="K680" s="1174"/>
      <c r="L680" s="1022"/>
      <c r="M680" s="1175"/>
      <c r="S680" s="504"/>
      <c r="T680" s="504"/>
      <c r="U680" s="504"/>
      <c r="V680" s="504"/>
      <c r="W680" s="504"/>
      <c r="X680" s="504"/>
      <c r="Y680" s="504"/>
      <c r="Z680" s="504"/>
      <c r="AA680" s="504"/>
      <c r="AB680" s="504"/>
      <c r="AC680" s="322"/>
      <c r="AD680" s="322"/>
      <c r="AE680" s="322"/>
    </row>
    <row r="681" spans="1:37" x14ac:dyDescent="0.25">
      <c r="A681" s="1138">
        <v>672</v>
      </c>
      <c r="B681" s="1138" t="s">
        <v>49</v>
      </c>
      <c r="C681" s="1037" t="s">
        <v>165</v>
      </c>
      <c r="D681" s="1539"/>
      <c r="E681" s="1540"/>
      <c r="F681" s="1540"/>
      <c r="G681" s="1540"/>
      <c r="H681" s="1541"/>
      <c r="I681" s="917"/>
      <c r="K681" s="1174"/>
      <c r="L681" s="1022"/>
      <c r="M681" s="1175"/>
      <c r="S681" s="504"/>
      <c r="T681" s="504"/>
      <c r="U681" s="504"/>
      <c r="V681" s="504"/>
      <c r="W681" s="504"/>
      <c r="X681" s="504"/>
      <c r="Y681" s="504"/>
      <c r="Z681" s="504"/>
      <c r="AA681" s="504"/>
      <c r="AB681" s="504"/>
      <c r="AC681" s="322"/>
      <c r="AD681" s="322"/>
      <c r="AE681" s="322"/>
    </row>
    <row r="682" spans="1:37" x14ac:dyDescent="0.25">
      <c r="A682" s="1138">
        <v>673</v>
      </c>
      <c r="B682" s="1138" t="s">
        <v>49</v>
      </c>
      <c r="C682" s="1037" t="s">
        <v>165</v>
      </c>
      <c r="D682" s="1530"/>
      <c r="E682" s="1531"/>
      <c r="F682" s="1531"/>
      <c r="G682" s="1531"/>
      <c r="H682" s="1532"/>
      <c r="I682" s="917"/>
      <c r="K682" s="1174"/>
      <c r="L682" s="1022"/>
      <c r="M682" s="1175"/>
      <c r="S682" s="504"/>
      <c r="T682" s="504"/>
      <c r="U682" s="504"/>
      <c r="V682" s="504"/>
      <c r="W682" s="504"/>
      <c r="X682" s="504"/>
      <c r="Y682" s="504"/>
      <c r="Z682" s="504"/>
      <c r="AA682" s="504"/>
      <c r="AB682" s="504"/>
      <c r="AC682" s="322"/>
      <c r="AD682" s="322"/>
      <c r="AE682" s="322"/>
    </row>
    <row r="683" spans="1:37" x14ac:dyDescent="0.25">
      <c r="A683" s="1138">
        <v>674</v>
      </c>
      <c r="B683" s="1138" t="s">
        <v>49</v>
      </c>
      <c r="C683" s="1037" t="s">
        <v>165</v>
      </c>
      <c r="D683" s="1530"/>
      <c r="E683" s="1531"/>
      <c r="F683" s="1531"/>
      <c r="G683" s="1531"/>
      <c r="H683" s="1532"/>
      <c r="I683" s="917"/>
      <c r="K683" s="1174"/>
      <c r="L683" s="1022"/>
      <c r="M683" s="1175"/>
      <c r="S683" s="504"/>
      <c r="T683" s="504"/>
      <c r="U683" s="504"/>
      <c r="V683" s="504"/>
      <c r="W683" s="504"/>
      <c r="X683" s="504"/>
      <c r="Y683" s="504"/>
      <c r="Z683" s="504"/>
      <c r="AA683" s="504"/>
      <c r="AB683" s="504"/>
      <c r="AC683" s="322"/>
      <c r="AD683" s="322"/>
      <c r="AE683" s="322"/>
    </row>
    <row r="684" spans="1:37" x14ac:dyDescent="0.25">
      <c r="A684" s="1138">
        <v>675</v>
      </c>
      <c r="B684" s="1138" t="s">
        <v>49</v>
      </c>
      <c r="C684" s="1037" t="s">
        <v>165</v>
      </c>
      <c r="D684" s="1533"/>
      <c r="E684" s="1534"/>
      <c r="F684" s="1534"/>
      <c r="G684" s="1534"/>
      <c r="H684" s="1535"/>
      <c r="I684" s="917"/>
      <c r="K684" s="1174"/>
      <c r="L684" s="1022"/>
      <c r="M684" s="1175"/>
      <c r="S684" s="504"/>
      <c r="T684" s="504"/>
      <c r="U684" s="504"/>
      <c r="V684" s="504"/>
      <c r="W684" s="504"/>
      <c r="X684" s="504"/>
      <c r="Y684" s="504"/>
      <c r="Z684" s="504"/>
      <c r="AA684" s="504"/>
      <c r="AB684" s="504"/>
      <c r="AC684" s="322"/>
      <c r="AD684" s="322"/>
      <c r="AE684" s="322"/>
    </row>
    <row r="685" spans="1:37" x14ac:dyDescent="0.25">
      <c r="A685" s="1138">
        <v>676</v>
      </c>
      <c r="B685" s="1138" t="s">
        <v>49</v>
      </c>
      <c r="C685" s="1037" t="s">
        <v>165</v>
      </c>
      <c r="D685" s="1533"/>
      <c r="E685" s="1534"/>
      <c r="F685" s="1534"/>
      <c r="G685" s="1534"/>
      <c r="H685" s="1535"/>
      <c r="I685" s="917"/>
      <c r="K685" s="1174"/>
      <c r="L685" s="1022"/>
      <c r="M685" s="1175"/>
      <c r="S685" s="504"/>
      <c r="T685" s="504"/>
      <c r="U685" s="504"/>
      <c r="V685" s="504"/>
      <c r="W685" s="504"/>
      <c r="X685" s="504"/>
      <c r="Y685" s="504"/>
      <c r="Z685" s="504"/>
      <c r="AA685" s="504"/>
      <c r="AB685" s="504"/>
      <c r="AC685" s="322"/>
      <c r="AD685" s="322"/>
      <c r="AE685" s="322"/>
    </row>
    <row r="686" spans="1:37" x14ac:dyDescent="0.25">
      <c r="A686" s="1138">
        <v>677</v>
      </c>
      <c r="B686" s="1138" t="s">
        <v>49</v>
      </c>
      <c r="C686" s="1037" t="s">
        <v>165</v>
      </c>
      <c r="D686" s="1536"/>
      <c r="E686" s="1537"/>
      <c r="F686" s="1537"/>
      <c r="G686" s="1537"/>
      <c r="H686" s="1538"/>
      <c r="I686" s="917"/>
      <c r="K686" s="1174"/>
      <c r="L686" s="1022"/>
      <c r="M686" s="1175"/>
      <c r="S686" s="504"/>
      <c r="T686" s="504"/>
      <c r="U686" s="504"/>
      <c r="V686" s="504"/>
      <c r="W686" s="504"/>
      <c r="X686" s="504"/>
      <c r="Y686" s="504"/>
      <c r="Z686" s="504"/>
      <c r="AA686" s="504"/>
      <c r="AB686" s="504"/>
      <c r="AC686" s="322"/>
      <c r="AD686" s="322"/>
      <c r="AE686" s="322"/>
    </row>
    <row r="687" spans="1:37" x14ac:dyDescent="0.25">
      <c r="A687" s="1138">
        <v>678</v>
      </c>
      <c r="B687" s="1138" t="s">
        <v>49</v>
      </c>
      <c r="C687" s="1037" t="s">
        <v>165</v>
      </c>
      <c r="I687" s="917"/>
      <c r="K687" s="1174"/>
      <c r="L687" s="1022"/>
      <c r="M687" s="1175"/>
      <c r="S687" s="504"/>
      <c r="T687" s="504"/>
      <c r="U687" s="504"/>
      <c r="V687" s="504"/>
      <c r="W687" s="504"/>
      <c r="X687" s="504"/>
      <c r="Y687" s="504"/>
      <c r="Z687" s="504"/>
      <c r="AA687" s="504"/>
      <c r="AB687" s="504"/>
      <c r="AC687" s="322"/>
      <c r="AD687" s="322"/>
      <c r="AE687" s="322"/>
    </row>
    <row r="688" spans="1:37" x14ac:dyDescent="0.25">
      <c r="A688" s="1138">
        <v>679</v>
      </c>
      <c r="B688" s="1139" t="s">
        <v>49</v>
      </c>
      <c r="C688" s="950" t="s">
        <v>166</v>
      </c>
      <c r="D688" s="1015" t="s">
        <v>349</v>
      </c>
      <c r="E688" s="1014"/>
      <c r="F688" s="1014"/>
      <c r="G688" s="1013"/>
      <c r="H688" s="974"/>
      <c r="I688" s="917"/>
      <c r="K688" s="1174" t="str" cm="1">
        <f t="array" ref="K688">IF(Wat04_credits=AIS_credit00,AIS_statement32,"")</f>
        <v/>
      </c>
      <c r="L688" s="1022"/>
      <c r="M688" s="1175"/>
      <c r="S688" s="504"/>
      <c r="T688" s="504"/>
      <c r="U688" s="504"/>
      <c r="V688" s="504"/>
      <c r="W688" s="504"/>
      <c r="X688" s="504"/>
      <c r="Y688" s="504"/>
      <c r="Z688" s="504"/>
      <c r="AA688" s="504"/>
      <c r="AB688" s="504"/>
      <c r="AC688" s="322"/>
      <c r="AD688" s="322"/>
      <c r="AE688" s="322"/>
    </row>
    <row r="689" spans="1:31" x14ac:dyDescent="0.25">
      <c r="A689" s="1138">
        <v>680</v>
      </c>
      <c r="B689" s="1138" t="s">
        <v>49</v>
      </c>
      <c r="C689" s="1037" t="s">
        <v>166</v>
      </c>
      <c r="D689" s="946" t="s">
        <v>15</v>
      </c>
      <c r="E689" s="1264">
        <f>Wat04_credits</f>
        <v>1</v>
      </c>
      <c r="F689" s="945"/>
      <c r="G689" s="944" t="s">
        <v>76</v>
      </c>
      <c r="H689" s="1266">
        <f>Wat04_05</f>
        <v>4.4444444444444444E-3</v>
      </c>
      <c r="I689" s="917"/>
      <c r="K689" s="1174"/>
      <c r="L689" s="1022"/>
      <c r="M689" s="1175"/>
      <c r="S689" s="504"/>
      <c r="T689" s="504"/>
      <c r="U689" s="504"/>
      <c r="V689" s="504"/>
      <c r="W689" s="504"/>
      <c r="X689" s="504"/>
      <c r="Y689" s="504"/>
      <c r="Z689" s="504"/>
      <c r="AA689" s="504"/>
      <c r="AB689" s="504"/>
      <c r="AC689" s="322"/>
      <c r="AD689" s="322"/>
      <c r="AE689" s="322"/>
    </row>
    <row r="690" spans="1:31" x14ac:dyDescent="0.25">
      <c r="A690" s="1138">
        <v>681</v>
      </c>
      <c r="B690" s="1138" t="s">
        <v>49</v>
      </c>
      <c r="C690" s="1037" t="s">
        <v>166</v>
      </c>
      <c r="D690" s="972" t="s">
        <v>1011</v>
      </c>
      <c r="E690" s="1265">
        <v>0</v>
      </c>
      <c r="F690" s="941"/>
      <c r="G690" s="940" t="s">
        <v>1010</v>
      </c>
      <c r="H690" s="1267" t="s">
        <v>13</v>
      </c>
      <c r="I690" s="917"/>
      <c r="K690" s="1174"/>
      <c r="L690" s="1022"/>
      <c r="M690" s="1175"/>
      <c r="S690" s="504"/>
      <c r="T690" s="504"/>
      <c r="U690" s="504"/>
      <c r="V690" s="504"/>
      <c r="W690" s="504"/>
      <c r="X690" s="504"/>
      <c r="Y690" s="504"/>
      <c r="Z690" s="504"/>
      <c r="AA690" s="504"/>
      <c r="AB690" s="504"/>
      <c r="AC690" s="322"/>
      <c r="AD690" s="322"/>
      <c r="AE690" s="322"/>
    </row>
    <row r="691" spans="1:31" x14ac:dyDescent="0.25">
      <c r="A691" s="1138">
        <v>682</v>
      </c>
      <c r="B691" s="1138" t="s">
        <v>49</v>
      </c>
      <c r="C691" s="1037" t="s">
        <v>166</v>
      </c>
      <c r="I691" s="917"/>
      <c r="K691" s="1174"/>
      <c r="L691" s="1022"/>
      <c r="M691" s="1175"/>
      <c r="S691" s="504"/>
      <c r="T691" s="504"/>
      <c r="U691" s="504"/>
      <c r="V691" s="504"/>
      <c r="W691" s="504"/>
      <c r="X691" s="504"/>
      <c r="Y691" s="504"/>
      <c r="Z691" s="504"/>
      <c r="AA691" s="504"/>
      <c r="AB691" s="504"/>
      <c r="AC691" s="322"/>
      <c r="AD691" s="322"/>
      <c r="AE691" s="322"/>
    </row>
    <row r="692" spans="1:31" ht="15.75" thickBot="1" x14ac:dyDescent="0.3">
      <c r="A692" s="1138">
        <v>683</v>
      </c>
      <c r="B692" s="1138" t="s">
        <v>49</v>
      </c>
      <c r="C692" s="1037" t="s">
        <v>166</v>
      </c>
      <c r="D692" s="938" t="s">
        <v>1009</v>
      </c>
      <c r="E692" s="937" t="s">
        <v>1008</v>
      </c>
      <c r="F692" s="937" t="s">
        <v>1007</v>
      </c>
      <c r="G692" s="937" t="s">
        <v>1006</v>
      </c>
      <c r="H692" s="937" t="s">
        <v>1014</v>
      </c>
      <c r="I692" s="917"/>
      <c r="K692" s="1174"/>
      <c r="L692" s="1022"/>
      <c r="M692" s="1175"/>
      <c r="S692" s="504"/>
      <c r="T692" s="504"/>
      <c r="U692" s="504"/>
      <c r="V692" s="504"/>
      <c r="W692" s="504"/>
      <c r="X692" s="504"/>
      <c r="Y692" s="504"/>
      <c r="Z692" s="504"/>
      <c r="AA692" s="504"/>
      <c r="AB692" s="504"/>
      <c r="AC692" s="322"/>
      <c r="AD692" s="322"/>
      <c r="AE692" s="322"/>
    </row>
    <row r="693" spans="1:31" ht="15.75" thickBot="1" x14ac:dyDescent="0.3">
      <c r="A693" s="1138">
        <v>684</v>
      </c>
      <c r="B693" s="1138" t="s">
        <v>49</v>
      </c>
      <c r="C693" s="1037" t="s">
        <v>166</v>
      </c>
      <c r="D693" s="1239" t="s">
        <v>1482</v>
      </c>
      <c r="E693" s="1240" t="s">
        <v>316</v>
      </c>
      <c r="F693" s="1228">
        <f>Poeng!AB122</f>
        <v>1</v>
      </c>
      <c r="G693" s="1228">
        <f>IF(E693=AIS_Yes,F693,0)</f>
        <v>0</v>
      </c>
      <c r="H693" s="969" t="s">
        <v>14</v>
      </c>
      <c r="I693" s="917"/>
      <c r="K693" s="1174"/>
      <c r="L693" s="1022"/>
      <c r="M693" s="1175"/>
      <c r="S693" s="62" t="s">
        <v>1015</v>
      </c>
      <c r="T693" s="504"/>
      <c r="U693" s="504"/>
      <c r="V693" s="504"/>
      <c r="W693" s="504"/>
      <c r="X693" s="504"/>
      <c r="Y693" s="504" t="str">
        <f>$X$4</f>
        <v>No</v>
      </c>
      <c r="Z693" s="504"/>
      <c r="AA693" s="504"/>
      <c r="AB693" s="504"/>
      <c r="AC693" s="322"/>
      <c r="AD693" s="322"/>
      <c r="AE693" s="322"/>
    </row>
    <row r="694" spans="1:31" x14ac:dyDescent="0.25">
      <c r="A694" s="1138">
        <v>685</v>
      </c>
      <c r="B694" s="1138" t="s">
        <v>49</v>
      </c>
      <c r="C694" s="1037" t="s">
        <v>166</v>
      </c>
      <c r="E694" s="959"/>
      <c r="I694" s="917"/>
      <c r="K694" s="1174"/>
      <c r="L694" s="1022"/>
      <c r="M694" s="1175"/>
      <c r="S694" s="504"/>
      <c r="T694" s="504"/>
      <c r="U694" s="504"/>
      <c r="V694" s="504"/>
      <c r="W694" s="504"/>
      <c r="X694" s="504"/>
      <c r="Y694" s="504"/>
      <c r="Z694" s="504"/>
      <c r="AA694" s="504"/>
      <c r="AB694" s="504"/>
      <c r="AC694" s="322"/>
      <c r="AD694" s="322"/>
      <c r="AE694" s="322"/>
    </row>
    <row r="695" spans="1:31" x14ac:dyDescent="0.25">
      <c r="A695" s="1138">
        <v>686</v>
      </c>
      <c r="B695" s="1138" t="s">
        <v>49</v>
      </c>
      <c r="C695" s="1037" t="s">
        <v>166</v>
      </c>
      <c r="D695" s="958" t="s">
        <v>1012</v>
      </c>
      <c r="E695" s="1272">
        <f>G693</f>
        <v>0</v>
      </c>
      <c r="I695" s="917"/>
      <c r="K695" s="1174"/>
      <c r="L695" s="1022"/>
      <c r="M695" s="1175"/>
      <c r="S695" s="504"/>
      <c r="T695" s="504"/>
      <c r="U695" s="504"/>
      <c r="V695" s="504"/>
      <c r="W695" s="504"/>
      <c r="X695" s="504"/>
      <c r="Y695" s="504"/>
      <c r="Z695" s="504"/>
      <c r="AA695" s="504"/>
      <c r="AB695" s="504"/>
      <c r="AC695" s="322"/>
      <c r="AD695" s="322"/>
      <c r="AE695" s="322"/>
    </row>
    <row r="696" spans="1:31" x14ac:dyDescent="0.25">
      <c r="A696" s="1138">
        <v>687</v>
      </c>
      <c r="B696" s="1138" t="s">
        <v>49</v>
      </c>
      <c r="C696" s="1037" t="s">
        <v>166</v>
      </c>
      <c r="D696" s="924" t="s">
        <v>77</v>
      </c>
      <c r="E696" s="1273">
        <f>Wat04_06</f>
        <v>0</v>
      </c>
      <c r="I696" s="917"/>
      <c r="K696" s="1174"/>
      <c r="L696" s="1022"/>
      <c r="M696" s="1175"/>
      <c r="S696" s="504"/>
      <c r="T696" s="504"/>
      <c r="U696" s="504"/>
      <c r="V696" s="504"/>
      <c r="W696" s="504"/>
      <c r="X696" s="504"/>
      <c r="Y696" s="504"/>
      <c r="Z696" s="504"/>
      <c r="AA696" s="504"/>
      <c r="AB696" s="504"/>
      <c r="AC696" s="322"/>
      <c r="AD696" s="322"/>
      <c r="AE696" s="322"/>
    </row>
    <row r="697" spans="1:31" x14ac:dyDescent="0.25">
      <c r="A697" s="1138">
        <v>688</v>
      </c>
      <c r="B697" s="1138" t="s">
        <v>49</v>
      </c>
      <c r="C697" s="1037" t="s">
        <v>166</v>
      </c>
      <c r="D697" s="926" t="s">
        <v>1005</v>
      </c>
      <c r="E697" s="1272" t="s">
        <v>14</v>
      </c>
      <c r="I697" s="917"/>
      <c r="K697" s="1174"/>
      <c r="L697" s="1022"/>
      <c r="M697" s="1175"/>
      <c r="S697" s="504"/>
      <c r="T697" s="504"/>
      <c r="U697" s="504"/>
      <c r="V697" s="504"/>
      <c r="W697" s="504"/>
      <c r="X697" s="504"/>
      <c r="Y697" s="504"/>
      <c r="Z697" s="504"/>
      <c r="AA697" s="504"/>
      <c r="AB697" s="504"/>
      <c r="AC697" s="322"/>
      <c r="AD697" s="322"/>
      <c r="AE697" s="322"/>
    </row>
    <row r="698" spans="1:31" x14ac:dyDescent="0.25">
      <c r="A698" s="1138">
        <v>689</v>
      </c>
      <c r="B698" s="1138" t="s">
        <v>49</v>
      </c>
      <c r="C698" s="1037" t="s">
        <v>166</v>
      </c>
      <c r="D698" s="923" t="s">
        <v>46</v>
      </c>
      <c r="E698" s="1290" t="s">
        <v>14</v>
      </c>
      <c r="I698" s="917"/>
      <c r="K698" s="1174"/>
      <c r="L698" s="1022"/>
      <c r="M698" s="1175"/>
      <c r="S698" s="504"/>
      <c r="T698" s="504"/>
      <c r="U698" s="504"/>
      <c r="V698" s="504"/>
      <c r="W698" s="504"/>
      <c r="X698" s="504"/>
      <c r="Y698" s="504"/>
      <c r="Z698" s="504"/>
      <c r="AA698" s="504"/>
      <c r="AB698" s="504"/>
      <c r="AC698" s="322"/>
      <c r="AD698" s="322"/>
      <c r="AE698" s="322"/>
    </row>
    <row r="699" spans="1:31" x14ac:dyDescent="0.25">
      <c r="A699" s="1138">
        <v>690</v>
      </c>
      <c r="B699" s="1138" t="s">
        <v>49</v>
      </c>
      <c r="C699" s="1037" t="s">
        <v>166</v>
      </c>
      <c r="I699" s="917"/>
      <c r="K699" s="1174"/>
      <c r="L699" s="1022"/>
      <c r="M699" s="1175"/>
      <c r="S699" s="504"/>
      <c r="T699" s="504"/>
      <c r="U699" s="504"/>
      <c r="V699" s="504"/>
      <c r="W699" s="504"/>
      <c r="X699" s="504"/>
      <c r="Y699" s="504"/>
      <c r="Z699" s="504"/>
      <c r="AA699" s="504"/>
      <c r="AB699" s="504"/>
      <c r="AC699" s="322"/>
      <c r="AD699" s="322"/>
      <c r="AE699" s="322"/>
    </row>
    <row r="700" spans="1:31" x14ac:dyDescent="0.25">
      <c r="A700" s="1138">
        <v>691</v>
      </c>
      <c r="B700" s="1138" t="s">
        <v>49</v>
      </c>
      <c r="C700" s="1037" t="s">
        <v>166</v>
      </c>
      <c r="D700" s="920" t="s">
        <v>1004</v>
      </c>
      <c r="E700" s="920" t="s">
        <v>1003</v>
      </c>
      <c r="F700" s="920" t="str">
        <f>HLOOKUP(C700,'Assessment References'!$H$512:$BG$513,2,FALSE)</f>
        <v/>
      </c>
      <c r="G700" s="919"/>
      <c r="H700" s="918"/>
      <c r="I700" s="917"/>
      <c r="K700" s="1174"/>
      <c r="L700" s="1022"/>
      <c r="M700" s="1175"/>
      <c r="S700" s="504"/>
      <c r="T700" s="504"/>
      <c r="U700" s="504"/>
      <c r="V700" s="504"/>
      <c r="W700" s="504"/>
      <c r="X700" s="504"/>
      <c r="Y700" s="504"/>
      <c r="Z700" s="504"/>
      <c r="AA700" s="504"/>
      <c r="AB700" s="504"/>
      <c r="AC700" s="322"/>
      <c r="AD700" s="322"/>
      <c r="AE700" s="322"/>
    </row>
    <row r="701" spans="1:31" x14ac:dyDescent="0.25">
      <c r="A701" s="1138">
        <v>692</v>
      </c>
      <c r="B701" s="1138" t="s">
        <v>49</v>
      </c>
      <c r="C701" s="1037" t="s">
        <v>166</v>
      </c>
      <c r="D701" s="1539"/>
      <c r="E701" s="1540"/>
      <c r="F701" s="1540"/>
      <c r="G701" s="1540"/>
      <c r="H701" s="1541"/>
      <c r="I701" s="917"/>
      <c r="K701" s="1174"/>
      <c r="L701" s="1022"/>
      <c r="M701" s="1175"/>
      <c r="S701" s="504"/>
      <c r="T701" s="504"/>
      <c r="U701" s="504"/>
      <c r="V701" s="504"/>
      <c r="W701" s="504"/>
      <c r="X701" s="504"/>
      <c r="Y701" s="504"/>
      <c r="Z701" s="504"/>
      <c r="AA701" s="504"/>
      <c r="AB701" s="504"/>
      <c r="AC701" s="322"/>
      <c r="AD701" s="322"/>
      <c r="AE701" s="322"/>
    </row>
    <row r="702" spans="1:31" x14ac:dyDescent="0.25">
      <c r="A702" s="1138">
        <v>693</v>
      </c>
      <c r="B702" s="1138" t="s">
        <v>49</v>
      </c>
      <c r="C702" s="1037" t="s">
        <v>166</v>
      </c>
      <c r="D702" s="1530"/>
      <c r="E702" s="1531"/>
      <c r="F702" s="1531"/>
      <c r="G702" s="1531"/>
      <c r="H702" s="1532"/>
      <c r="I702" s="917"/>
      <c r="K702" s="1174"/>
      <c r="L702" s="1022"/>
      <c r="M702" s="1175"/>
      <c r="S702" s="504"/>
      <c r="T702" s="504"/>
      <c r="U702" s="504"/>
      <c r="V702" s="504"/>
      <c r="W702" s="504"/>
      <c r="X702" s="504"/>
      <c r="Y702" s="504"/>
      <c r="Z702" s="504"/>
      <c r="AA702" s="504"/>
      <c r="AB702" s="504"/>
      <c r="AC702" s="322"/>
      <c r="AD702" s="322"/>
      <c r="AE702" s="322"/>
    </row>
    <row r="703" spans="1:31" x14ac:dyDescent="0.25">
      <c r="A703" s="1138">
        <v>694</v>
      </c>
      <c r="B703" s="1138" t="s">
        <v>49</v>
      </c>
      <c r="C703" s="1037" t="s">
        <v>166</v>
      </c>
      <c r="D703" s="1530"/>
      <c r="E703" s="1531"/>
      <c r="F703" s="1531"/>
      <c r="G703" s="1531"/>
      <c r="H703" s="1532"/>
      <c r="I703" s="917"/>
      <c r="K703" s="1174"/>
      <c r="L703" s="1022"/>
      <c r="M703" s="1175"/>
      <c r="S703" s="504"/>
      <c r="T703" s="504"/>
      <c r="U703" s="504"/>
      <c r="V703" s="504"/>
      <c r="W703" s="504"/>
      <c r="X703" s="504"/>
      <c r="Y703" s="504"/>
      <c r="Z703" s="504"/>
      <c r="AA703" s="504"/>
      <c r="AB703" s="504"/>
      <c r="AC703" s="322"/>
      <c r="AD703" s="322"/>
      <c r="AE703" s="322"/>
    </row>
    <row r="704" spans="1:31" x14ac:dyDescent="0.25">
      <c r="A704" s="1138">
        <v>695</v>
      </c>
      <c r="B704" s="1138" t="s">
        <v>49</v>
      </c>
      <c r="C704" s="1037" t="s">
        <v>166</v>
      </c>
      <c r="D704" s="1533"/>
      <c r="E704" s="1534"/>
      <c r="F704" s="1534"/>
      <c r="G704" s="1534"/>
      <c r="H704" s="1535"/>
      <c r="I704" s="917"/>
      <c r="K704" s="1174"/>
      <c r="L704" s="1022"/>
      <c r="M704" s="1175"/>
      <c r="S704" s="504"/>
      <c r="T704" s="504"/>
      <c r="U704" s="504"/>
      <c r="V704" s="504"/>
      <c r="W704" s="504"/>
      <c r="X704" s="504"/>
      <c r="Y704" s="504"/>
      <c r="Z704" s="504"/>
      <c r="AA704" s="504"/>
      <c r="AB704" s="504"/>
      <c r="AC704" s="322"/>
      <c r="AD704" s="322"/>
      <c r="AE704" s="322"/>
    </row>
    <row r="705" spans="1:31" x14ac:dyDescent="0.25">
      <c r="A705" s="1138">
        <v>696</v>
      </c>
      <c r="B705" s="1138" t="s">
        <v>49</v>
      </c>
      <c r="C705" s="1037" t="s">
        <v>166</v>
      </c>
      <c r="D705" s="1533"/>
      <c r="E705" s="1534"/>
      <c r="F705" s="1534"/>
      <c r="G705" s="1534"/>
      <c r="H705" s="1535"/>
      <c r="I705" s="917"/>
      <c r="K705" s="1174"/>
      <c r="L705" s="1022"/>
      <c r="M705" s="1175"/>
      <c r="S705" s="504"/>
      <c r="T705" s="504"/>
      <c r="U705" s="504"/>
      <c r="V705" s="504"/>
      <c r="W705" s="504"/>
      <c r="X705" s="504"/>
      <c r="Y705" s="504"/>
      <c r="Z705" s="504"/>
      <c r="AA705" s="504"/>
      <c r="AB705" s="504"/>
      <c r="AC705" s="322"/>
      <c r="AD705" s="322"/>
      <c r="AE705" s="322"/>
    </row>
    <row r="706" spans="1:31" x14ac:dyDescent="0.25">
      <c r="A706" s="1138">
        <v>697</v>
      </c>
      <c r="B706" s="1138" t="s">
        <v>49</v>
      </c>
      <c r="C706" s="1037" t="s">
        <v>166</v>
      </c>
      <c r="D706" s="1536"/>
      <c r="E706" s="1537"/>
      <c r="F706" s="1537"/>
      <c r="G706" s="1537"/>
      <c r="H706" s="1538"/>
      <c r="I706" s="917"/>
      <c r="K706" s="1174"/>
      <c r="L706" s="1022"/>
      <c r="M706" s="1175"/>
      <c r="S706" s="504"/>
      <c r="T706" s="504"/>
      <c r="U706" s="504"/>
      <c r="V706" s="504"/>
      <c r="W706" s="504"/>
      <c r="X706" s="504"/>
      <c r="Y706" s="504"/>
      <c r="Z706" s="504"/>
      <c r="AA706" s="504"/>
      <c r="AB706" s="504"/>
      <c r="AC706" s="322"/>
      <c r="AD706" s="322"/>
      <c r="AE706" s="322"/>
    </row>
    <row r="707" spans="1:31" x14ac:dyDescent="0.25">
      <c r="A707" s="1138">
        <v>698</v>
      </c>
      <c r="B707" s="1138" t="s">
        <v>49</v>
      </c>
      <c r="C707" s="1037" t="s">
        <v>166</v>
      </c>
      <c r="I707" s="917"/>
      <c r="K707" s="1174"/>
      <c r="L707" s="1022"/>
      <c r="M707" s="1175"/>
      <c r="S707" s="504"/>
      <c r="T707" s="504"/>
      <c r="U707" s="504"/>
      <c r="V707" s="504"/>
      <c r="W707" s="504"/>
      <c r="X707" s="504"/>
      <c r="Y707" s="504"/>
      <c r="Z707" s="504"/>
      <c r="AA707" s="504"/>
      <c r="AB707" s="504"/>
      <c r="AC707" s="322"/>
      <c r="AD707" s="322"/>
      <c r="AE707" s="322"/>
    </row>
    <row r="708" spans="1:31" ht="18.75" x14ac:dyDescent="0.3">
      <c r="A708" s="1138">
        <v>699</v>
      </c>
      <c r="B708" s="957" t="s">
        <v>50</v>
      </c>
      <c r="C708" s="956"/>
      <c r="D708" s="954"/>
      <c r="E708" s="954"/>
      <c r="F708" s="954"/>
      <c r="G708" s="954"/>
      <c r="H708" s="953"/>
      <c r="I708" s="917"/>
      <c r="K708" s="1174"/>
      <c r="L708" s="1022"/>
      <c r="M708" s="1175"/>
      <c r="S708" s="504"/>
      <c r="T708" s="504"/>
      <c r="U708" s="504"/>
      <c r="V708" s="504"/>
      <c r="W708" s="504"/>
      <c r="X708" s="504"/>
      <c r="Y708" s="504"/>
      <c r="Z708" s="504"/>
      <c r="AA708" s="504"/>
      <c r="AB708" s="504"/>
      <c r="AC708" s="322"/>
      <c r="AD708" s="322"/>
      <c r="AE708" s="322"/>
    </row>
    <row r="709" spans="1:31" x14ac:dyDescent="0.25">
      <c r="A709" s="1138">
        <v>700</v>
      </c>
      <c r="B709" s="1138" t="s">
        <v>50</v>
      </c>
      <c r="C709" s="917"/>
      <c r="I709" s="917"/>
      <c r="K709" s="1174"/>
      <c r="L709" s="1022"/>
      <c r="M709" s="1175"/>
      <c r="S709" s="504"/>
      <c r="T709" s="504"/>
      <c r="U709" s="504"/>
      <c r="V709" s="504"/>
      <c r="W709" s="504"/>
      <c r="X709" s="504"/>
      <c r="Y709" s="504"/>
      <c r="Z709" s="504"/>
      <c r="AA709" s="504"/>
      <c r="AB709" s="504"/>
      <c r="AC709" s="322"/>
      <c r="AD709" s="322"/>
      <c r="AE709" s="322"/>
    </row>
    <row r="710" spans="1:31" ht="15.75" thickBot="1" x14ac:dyDescent="0.3">
      <c r="A710" s="1138">
        <v>701</v>
      </c>
      <c r="B710" s="1140" t="s">
        <v>50</v>
      </c>
      <c r="C710" s="1012" t="s">
        <v>167</v>
      </c>
      <c r="D710" s="1015" t="s">
        <v>1063</v>
      </c>
      <c r="E710" s="1014"/>
      <c r="F710" s="1014"/>
      <c r="G710" s="1013"/>
      <c r="H710" s="1013"/>
      <c r="I710" s="917"/>
      <c r="K710" s="1174"/>
      <c r="L710" s="1022"/>
      <c r="M710" s="1175"/>
      <c r="S710" s="504"/>
      <c r="T710" s="504"/>
      <c r="U710" s="504"/>
      <c r="V710" s="504"/>
      <c r="W710" s="504"/>
      <c r="X710" s="504"/>
      <c r="Y710" s="504"/>
      <c r="Z710" s="504"/>
      <c r="AA710" s="504"/>
      <c r="AB710" s="504"/>
      <c r="AC710" s="322"/>
      <c r="AD710" s="322"/>
      <c r="AE710" s="322"/>
    </row>
    <row r="711" spans="1:31" x14ac:dyDescent="0.25">
      <c r="A711" s="1138">
        <v>702</v>
      </c>
      <c r="B711" s="1138" t="s">
        <v>50</v>
      </c>
      <c r="C711" s="1037" t="s">
        <v>167</v>
      </c>
      <c r="D711" s="946" t="s">
        <v>15</v>
      </c>
      <c r="E711" s="1264">
        <f>Mat01_credits</f>
        <v>5</v>
      </c>
      <c r="F711" s="945"/>
      <c r="G711" s="944" t="s">
        <v>76</v>
      </c>
      <c r="H711" s="1266">
        <f>Mat01_27</f>
        <v>4.0476190476190485E-2</v>
      </c>
      <c r="I711" s="430"/>
      <c r="J711" s="430"/>
      <c r="K711" s="1060"/>
      <c r="L711" s="942" t="s">
        <v>1487</v>
      </c>
      <c r="M711" s="1218"/>
      <c r="S711" s="504"/>
      <c r="T711" s="504"/>
      <c r="U711" s="504"/>
      <c r="V711" s="504"/>
      <c r="W711" s="504"/>
      <c r="X711" s="504"/>
      <c r="Y711" s="504"/>
      <c r="Z711" s="504"/>
      <c r="AA711" s="504"/>
      <c r="AB711" s="504"/>
      <c r="AC711" s="322"/>
      <c r="AD711" s="322"/>
      <c r="AE711" s="322"/>
    </row>
    <row r="712" spans="1:31" x14ac:dyDescent="0.25">
      <c r="A712" s="1138">
        <v>703</v>
      </c>
      <c r="B712" s="1138" t="s">
        <v>50</v>
      </c>
      <c r="C712" s="1037" t="s">
        <v>167</v>
      </c>
      <c r="D712" s="972" t="s">
        <v>1011</v>
      </c>
      <c r="E712" s="1265">
        <f>Inn08_credits</f>
        <v>1</v>
      </c>
      <c r="F712" s="941"/>
      <c r="G712" s="940" t="s">
        <v>1010</v>
      </c>
      <c r="H712" s="1267" t="s">
        <v>12</v>
      </c>
      <c r="I712" s="917"/>
      <c r="K712" s="1217">
        <v>0.2</v>
      </c>
      <c r="L712" s="934">
        <v>1</v>
      </c>
      <c r="M712" s="1218"/>
      <c r="S712" s="504"/>
      <c r="T712" s="504"/>
      <c r="U712" s="504"/>
      <c r="V712" s="504"/>
      <c r="W712" s="504"/>
      <c r="X712" s="504"/>
      <c r="Y712" s="504"/>
      <c r="Z712" s="504"/>
      <c r="AA712" s="504"/>
      <c r="AB712" s="504"/>
      <c r="AC712" s="322"/>
      <c r="AD712" s="322"/>
      <c r="AE712" s="322"/>
    </row>
    <row r="713" spans="1:31" x14ac:dyDescent="0.25">
      <c r="A713" s="1138">
        <v>704</v>
      </c>
      <c r="B713" s="1138" t="s">
        <v>50</v>
      </c>
      <c r="C713" s="1037" t="s">
        <v>167</v>
      </c>
      <c r="I713" s="917"/>
      <c r="K713" s="1217">
        <v>0.3</v>
      </c>
      <c r="L713" s="934">
        <v>2</v>
      </c>
      <c r="M713" s="1218"/>
      <c r="S713" s="504"/>
      <c r="T713" s="504"/>
      <c r="U713" s="504"/>
      <c r="V713" s="504"/>
      <c r="W713" s="504"/>
      <c r="X713" s="504"/>
      <c r="Y713" s="504"/>
      <c r="Z713" s="504"/>
      <c r="AA713" s="504"/>
      <c r="AB713" s="504"/>
      <c r="AC713" s="322"/>
      <c r="AD713" s="322"/>
      <c r="AE713" s="322"/>
    </row>
    <row r="714" spans="1:31" ht="15.75" thickBot="1" x14ac:dyDescent="0.3">
      <c r="A714" s="1138">
        <v>705</v>
      </c>
      <c r="B714" s="1138" t="s">
        <v>50</v>
      </c>
      <c r="C714" s="1037" t="s">
        <v>167</v>
      </c>
      <c r="D714" s="938" t="s">
        <v>1989</v>
      </c>
      <c r="E714" s="937" t="s">
        <v>1008</v>
      </c>
      <c r="H714" s="937" t="s">
        <v>1014</v>
      </c>
      <c r="I714" s="917"/>
      <c r="K714" s="1217">
        <v>0.4</v>
      </c>
      <c r="L714" s="934">
        <v>3</v>
      </c>
      <c r="M714" s="1220"/>
      <c r="S714" s="504"/>
      <c r="T714" s="504"/>
      <c r="U714" s="504"/>
      <c r="V714" s="504"/>
      <c r="W714" s="504"/>
      <c r="X714" s="504"/>
      <c r="Y714" s="504"/>
      <c r="Z714" s="504"/>
      <c r="AA714" s="504"/>
      <c r="AB714" s="504"/>
      <c r="AC714" s="322"/>
      <c r="AD714" s="322"/>
      <c r="AE714" s="322"/>
    </row>
    <row r="715" spans="1:31" ht="15.75" thickBot="1" x14ac:dyDescent="0.3">
      <c r="A715" s="1138">
        <v>706</v>
      </c>
      <c r="B715" s="1138" t="s">
        <v>50</v>
      </c>
      <c r="C715" s="1037" t="s">
        <v>167</v>
      </c>
      <c r="D715" s="1239" t="s">
        <v>1484</v>
      </c>
      <c r="E715" s="1240" t="s">
        <v>316</v>
      </c>
      <c r="F715" s="994" t="str">
        <f>IF(OR(E715=AIS_No,E715=AIS_PS),"Pre-requisite: Please select yes","")</f>
        <v>Pre-requisite: Please select yes</v>
      </c>
      <c r="H715" s="969" t="s">
        <v>14</v>
      </c>
      <c r="I715" s="917"/>
      <c r="K715" s="1219">
        <v>0.6</v>
      </c>
      <c r="L715" s="932">
        <f>E712</f>
        <v>1</v>
      </c>
      <c r="M715" s="1033">
        <f>IF(KPI_27=Options!Q3,0,IFERROR(IF(KPI_27&gt;(K715-0.01),L715,0),0))</f>
        <v>0</v>
      </c>
      <c r="S715" s="62" t="s">
        <v>1015</v>
      </c>
      <c r="T715" s="504"/>
      <c r="U715" s="504"/>
      <c r="V715" s="504"/>
      <c r="W715" s="504"/>
      <c r="X715" s="504"/>
      <c r="Y715" s="504" t="str">
        <f>$X$4</f>
        <v>No</v>
      </c>
      <c r="Z715" s="504"/>
      <c r="AA715" s="504"/>
      <c r="AB715" s="504"/>
      <c r="AC715" s="322"/>
      <c r="AD715" s="322"/>
      <c r="AE715" s="322"/>
    </row>
    <row r="716" spans="1:31" x14ac:dyDescent="0.25">
      <c r="A716" s="1138">
        <v>707</v>
      </c>
      <c r="B716" s="1138" t="s">
        <v>50</v>
      </c>
      <c r="C716" s="1037" t="s">
        <v>167</v>
      </c>
      <c r="I716" s="917"/>
      <c r="K716" s="1182"/>
      <c r="L716" s="484"/>
      <c r="M716" s="1205"/>
      <c r="S716" s="504"/>
      <c r="T716" s="504"/>
      <c r="U716" s="504"/>
      <c r="V716" s="504"/>
      <c r="W716" s="504"/>
      <c r="X716" s="504"/>
      <c r="Y716" s="504"/>
      <c r="Z716" s="504"/>
      <c r="AA716" s="504"/>
      <c r="AB716" s="504"/>
      <c r="AC716" s="322"/>
      <c r="AD716" s="322"/>
      <c r="AE716" s="322"/>
    </row>
    <row r="717" spans="1:31" ht="15.75" thickBot="1" x14ac:dyDescent="0.3">
      <c r="A717" s="1138">
        <v>708</v>
      </c>
      <c r="B717" s="1138" t="s">
        <v>50</v>
      </c>
      <c r="C717" s="1037" t="s">
        <v>167</v>
      </c>
      <c r="D717" s="938" t="s">
        <v>1051</v>
      </c>
      <c r="E717" s="937" t="s">
        <v>1008</v>
      </c>
      <c r="F717" s="937" t="s">
        <v>1007</v>
      </c>
      <c r="G717" s="937" t="s">
        <v>1006</v>
      </c>
      <c r="H717" s="937" t="s">
        <v>1014</v>
      </c>
      <c r="I717" s="917"/>
      <c r="K717" s="1174"/>
      <c r="L717" s="1022"/>
      <c r="M717" s="1175"/>
      <c r="S717" s="504"/>
      <c r="T717" s="504"/>
      <c r="U717" s="504"/>
      <c r="V717" s="504"/>
      <c r="W717" s="504"/>
      <c r="X717" s="504"/>
      <c r="Y717" s="504"/>
      <c r="Z717" s="504"/>
      <c r="AA717" s="504"/>
      <c r="AB717" s="504"/>
      <c r="AC717" s="322"/>
      <c r="AD717" s="322"/>
      <c r="AE717" s="322"/>
    </row>
    <row r="718" spans="1:31" ht="15.75" thickBot="1" x14ac:dyDescent="0.3">
      <c r="A718" s="1138">
        <v>709</v>
      </c>
      <c r="B718" s="1138" t="s">
        <v>50</v>
      </c>
      <c r="C718" s="1037" t="s">
        <v>167</v>
      </c>
      <c r="D718" s="1168" t="s">
        <v>1485</v>
      </c>
      <c r="E718" s="1268" t="s">
        <v>316</v>
      </c>
      <c r="F718" s="1232">
        <f>Poeng!AB128</f>
        <v>3</v>
      </c>
      <c r="G718" s="1232">
        <f>IF(KPI_27=Options!Q3,0,IFERROR(IF(KPI_27&gt;(K714-0.01),L714,IF(KPI_27&gt;(K713-0.01),L713,IF(KPI_27&gt;(K712-0.01),L712,0))),0))*IF(E718=AIS_Yes,1,0)</f>
        <v>0</v>
      </c>
      <c r="H718" s="1008" t="s">
        <v>14</v>
      </c>
      <c r="I718" s="917"/>
      <c r="K718" s="1033">
        <f>IF(E725=Options!Q3,0,IF(E725&gt;0.84,2,IF(E725&gt;0.74,1,0)))</f>
        <v>0</v>
      </c>
      <c r="L718" s="1022"/>
      <c r="M718" s="1175"/>
      <c r="S718" s="504"/>
      <c r="T718" s="504"/>
      <c r="U718" s="504"/>
      <c r="V718" s="504"/>
      <c r="W718" s="504"/>
      <c r="X718" s="504"/>
      <c r="Y718" s="504"/>
      <c r="Z718" s="504"/>
      <c r="AA718" s="504"/>
      <c r="AB718" s="504"/>
      <c r="AC718" s="322"/>
      <c r="AD718" s="322"/>
      <c r="AE718" s="322"/>
    </row>
    <row r="719" spans="1:31" ht="15.75" thickBot="1" x14ac:dyDescent="0.3">
      <c r="A719" s="1138">
        <v>710</v>
      </c>
      <c r="B719" s="1138" t="s">
        <v>50</v>
      </c>
      <c r="C719" s="1037" t="s">
        <v>167</v>
      </c>
      <c r="D719" s="1305" t="s">
        <v>1486</v>
      </c>
      <c r="E719" s="1322" t="s">
        <v>1036</v>
      </c>
      <c r="F719" s="1226" t="s">
        <v>1837</v>
      </c>
      <c r="G719" s="1226"/>
      <c r="H719" s="1007"/>
      <c r="I719" s="917"/>
      <c r="K719" s="1174"/>
      <c r="L719" s="1022"/>
      <c r="M719" s="1175"/>
      <c r="S719" s="504"/>
      <c r="T719" s="504"/>
      <c r="U719" s="504"/>
      <c r="V719" s="504"/>
      <c r="W719" s="504"/>
      <c r="X719" s="504"/>
      <c r="Y719" s="504"/>
      <c r="Z719" s="504"/>
      <c r="AA719" s="504"/>
      <c r="AB719" s="504"/>
      <c r="AC719" s="322"/>
      <c r="AD719" s="322"/>
      <c r="AE719" s="322"/>
    </row>
    <row r="720" spans="1:31" x14ac:dyDescent="0.25">
      <c r="A720" s="1138">
        <v>711</v>
      </c>
      <c r="B720" s="1138" t="s">
        <v>50</v>
      </c>
      <c r="C720" s="1037" t="s">
        <v>167</v>
      </c>
      <c r="I720" s="917"/>
      <c r="K720" s="1174" t="s">
        <v>316</v>
      </c>
      <c r="L720" s="1022"/>
      <c r="M720" s="1175"/>
      <c r="S720" s="504"/>
      <c r="T720" s="504"/>
      <c r="U720" s="504"/>
      <c r="V720" s="504"/>
      <c r="W720" s="504"/>
      <c r="X720" s="504"/>
      <c r="Y720" s="504"/>
      <c r="Z720" s="504"/>
      <c r="AA720" s="504"/>
      <c r="AB720" s="504"/>
      <c r="AC720" s="322"/>
      <c r="AD720" s="322"/>
      <c r="AE720" s="322"/>
    </row>
    <row r="721" spans="1:31" ht="15.75" thickBot="1" x14ac:dyDescent="0.3">
      <c r="A721" s="1138">
        <v>712</v>
      </c>
      <c r="B721" s="1138" t="s">
        <v>50</v>
      </c>
      <c r="C721" s="1037" t="s">
        <v>167</v>
      </c>
      <c r="D721" s="938" t="s">
        <v>1488</v>
      </c>
      <c r="E721" s="937" t="s">
        <v>1008</v>
      </c>
      <c r="F721" s="937" t="s">
        <v>1007</v>
      </c>
      <c r="G721" s="937" t="s">
        <v>1006</v>
      </c>
      <c r="H721" s="937" t="s">
        <v>1014</v>
      </c>
      <c r="I721" s="917"/>
      <c r="K721" s="1174" t="s">
        <v>1844</v>
      </c>
      <c r="L721" s="1022"/>
      <c r="M721" s="1175"/>
      <c r="S721" s="504"/>
      <c r="T721" s="504"/>
      <c r="U721" s="504"/>
      <c r="V721" s="504"/>
      <c r="W721" s="504"/>
      <c r="X721" s="504"/>
      <c r="Y721" s="504"/>
      <c r="Z721" s="504"/>
      <c r="AA721" s="504"/>
      <c r="AB721" s="504"/>
      <c r="AC721" s="322"/>
      <c r="AD721" s="322"/>
      <c r="AE721" s="322"/>
    </row>
    <row r="722" spans="1:31" x14ac:dyDescent="0.25">
      <c r="A722" s="1138">
        <v>713</v>
      </c>
      <c r="B722" s="1138" t="s">
        <v>50</v>
      </c>
      <c r="C722" s="1037" t="s">
        <v>167</v>
      </c>
      <c r="D722" s="936" t="s">
        <v>1055</v>
      </c>
      <c r="E722" s="1268" t="s">
        <v>316</v>
      </c>
      <c r="F722" s="1232">
        <f>Poeng!AB129</f>
        <v>2</v>
      </c>
      <c r="G722" s="1232">
        <f>IF(F722=0,0,IF(AND(E723=AIS_Yes,E722=AIS_Yes,E724=AIS_Yes),K718,0))</f>
        <v>0</v>
      </c>
      <c r="H722" s="1008" t="s">
        <v>14</v>
      </c>
      <c r="I722" s="917"/>
      <c r="K722" s="1174" t="s">
        <v>1845</v>
      </c>
      <c r="L722" s="1022"/>
      <c r="M722" s="1175"/>
      <c r="S722" s="504"/>
      <c r="T722" s="504"/>
      <c r="U722" s="504"/>
      <c r="V722" s="504"/>
      <c r="W722" s="504"/>
      <c r="X722" s="504"/>
      <c r="Y722" s="504"/>
      <c r="Z722" s="504"/>
      <c r="AA722" s="504"/>
      <c r="AB722" s="504"/>
      <c r="AC722" s="322"/>
      <c r="AD722" s="322"/>
      <c r="AE722" s="322"/>
    </row>
    <row r="723" spans="1:31" x14ac:dyDescent="0.25">
      <c r="A723" s="1138">
        <v>714</v>
      </c>
      <c r="B723" s="1138" t="s">
        <v>50</v>
      </c>
      <c r="C723" s="1037" t="s">
        <v>167</v>
      </c>
      <c r="D723" s="931" t="s">
        <v>1054</v>
      </c>
      <c r="E723" s="1271" t="s">
        <v>316</v>
      </c>
      <c r="F723" s="1274"/>
      <c r="G723" s="1274"/>
      <c r="H723" s="1052"/>
      <c r="I723" s="917"/>
      <c r="K723" s="1174"/>
      <c r="L723" s="1022"/>
      <c r="M723" s="1175"/>
      <c r="S723" s="504"/>
      <c r="T723" s="504"/>
      <c r="U723" s="504"/>
      <c r="V723" s="504"/>
      <c r="W723" s="504"/>
      <c r="X723" s="504"/>
      <c r="Y723" s="504"/>
      <c r="Z723" s="504"/>
      <c r="AA723" s="504"/>
      <c r="AB723" s="504"/>
      <c r="AC723" s="322"/>
      <c r="AD723" s="322"/>
      <c r="AE723" s="322"/>
    </row>
    <row r="724" spans="1:31" x14ac:dyDescent="0.25">
      <c r="A724" s="1138">
        <v>715</v>
      </c>
      <c r="B724" s="1138" t="s">
        <v>50</v>
      </c>
      <c r="C724" s="1037" t="s">
        <v>167</v>
      </c>
      <c r="D724" s="988" t="s">
        <v>1053</v>
      </c>
      <c r="E724" s="1271" t="s">
        <v>316</v>
      </c>
      <c r="F724" s="1274"/>
      <c r="G724" s="1274"/>
      <c r="H724" s="1052"/>
      <c r="I724" s="917"/>
      <c r="K724" s="1174"/>
      <c r="L724" s="1022"/>
      <c r="M724" s="1175"/>
      <c r="S724" s="504"/>
      <c r="T724" s="504"/>
      <c r="U724" s="504"/>
      <c r="V724" s="504"/>
      <c r="W724" s="504"/>
      <c r="X724" s="504"/>
      <c r="Y724" s="504"/>
      <c r="Z724" s="504"/>
      <c r="AA724" s="504"/>
      <c r="AB724" s="504"/>
      <c r="AC724" s="322"/>
      <c r="AD724" s="322"/>
      <c r="AE724" s="322"/>
    </row>
    <row r="725" spans="1:31" ht="15.75" thickBot="1" x14ac:dyDescent="0.3">
      <c r="A725" s="1138">
        <v>716</v>
      </c>
      <c r="B725" s="1138" t="s">
        <v>50</v>
      </c>
      <c r="C725" s="1037" t="s">
        <v>167</v>
      </c>
      <c r="D725" s="1002" t="s">
        <v>1052</v>
      </c>
      <c r="E725" s="1325" t="s">
        <v>1036</v>
      </c>
      <c r="F725" s="1314"/>
      <c r="G725" s="1314"/>
      <c r="H725" s="1007"/>
      <c r="I725" s="917"/>
      <c r="K725" s="1174"/>
      <c r="L725" s="1022"/>
      <c r="M725" s="1175"/>
      <c r="S725" s="504"/>
      <c r="T725" s="504"/>
      <c r="U725" s="504"/>
      <c r="V725" s="504"/>
      <c r="W725" s="504"/>
      <c r="X725" s="504"/>
      <c r="Y725" s="504"/>
      <c r="Z725" s="504"/>
      <c r="AA725" s="504"/>
      <c r="AB725" s="504"/>
      <c r="AC725" s="322"/>
      <c r="AD725" s="322"/>
      <c r="AE725" s="322"/>
    </row>
    <row r="726" spans="1:31" x14ac:dyDescent="0.25">
      <c r="A726" s="1138">
        <v>717</v>
      </c>
      <c r="B726" s="1138" t="s">
        <v>50</v>
      </c>
      <c r="C726" s="1037" t="s">
        <v>167</v>
      </c>
      <c r="I726" s="917"/>
      <c r="K726" s="1174"/>
      <c r="L726" s="1022"/>
      <c r="M726" s="1175"/>
      <c r="S726" s="504"/>
      <c r="T726" s="504"/>
      <c r="U726" s="504"/>
      <c r="V726" s="504"/>
      <c r="W726" s="504"/>
      <c r="X726" s="504"/>
      <c r="Y726" s="504"/>
      <c r="Z726" s="504"/>
      <c r="AA726" s="504"/>
      <c r="AB726" s="504"/>
      <c r="AC726" s="322"/>
      <c r="AD726" s="322"/>
      <c r="AE726" s="322"/>
    </row>
    <row r="727" spans="1:31" ht="15.75" thickBot="1" x14ac:dyDescent="0.3">
      <c r="A727" s="1138">
        <v>718</v>
      </c>
      <c r="B727" s="1138" t="s">
        <v>50</v>
      </c>
      <c r="C727" s="1037" t="s">
        <v>167</v>
      </c>
      <c r="D727" s="938" t="s">
        <v>1755</v>
      </c>
      <c r="E727" s="937"/>
      <c r="I727" s="917"/>
      <c r="K727" s="1174"/>
      <c r="L727" s="1022"/>
      <c r="M727" s="1175"/>
      <c r="S727" s="504"/>
      <c r="T727" s="504"/>
      <c r="U727" s="504"/>
      <c r="V727" s="504"/>
      <c r="W727" s="504"/>
      <c r="X727" s="504"/>
      <c r="Y727" s="504"/>
      <c r="Z727" s="504"/>
      <c r="AA727" s="504"/>
      <c r="AB727" s="504"/>
      <c r="AC727" s="322"/>
      <c r="AD727" s="322"/>
      <c r="AE727" s="322"/>
    </row>
    <row r="728" spans="1:31" x14ac:dyDescent="0.25">
      <c r="A728" s="1138">
        <v>719</v>
      </c>
      <c r="B728" s="1138" t="s">
        <v>50</v>
      </c>
      <c r="C728" s="1037" t="s">
        <v>167</v>
      </c>
      <c r="D728" s="1168" t="s">
        <v>1985</v>
      </c>
      <c r="E728" s="1268"/>
      <c r="F728" s="375" t="s">
        <v>1756</v>
      </c>
      <c r="I728" s="917"/>
      <c r="K728" s="1174"/>
      <c r="L728" s="1022"/>
      <c r="M728" s="1175"/>
      <c r="S728" s="504"/>
      <c r="T728" s="504"/>
      <c r="U728" s="504"/>
      <c r="V728" s="504"/>
      <c r="W728" s="504"/>
      <c r="X728" s="504"/>
      <c r="Y728" s="504"/>
      <c r="Z728" s="504"/>
      <c r="AA728" s="504"/>
      <c r="AB728" s="504"/>
      <c r="AC728" s="322"/>
      <c r="AD728" s="322"/>
      <c r="AE728" s="322"/>
    </row>
    <row r="729" spans="1:31" ht="15.75" thickBot="1" x14ac:dyDescent="0.3">
      <c r="A729" s="1138">
        <v>720</v>
      </c>
      <c r="B729" s="1138" t="s">
        <v>50</v>
      </c>
      <c r="C729" s="1037" t="s">
        <v>167</v>
      </c>
      <c r="D729" s="1305" t="s">
        <v>1846</v>
      </c>
      <c r="E729" s="1322" t="s">
        <v>316</v>
      </c>
      <c r="I729" s="917"/>
      <c r="K729" s="1174"/>
      <c r="L729" s="1022"/>
      <c r="M729" s="1175"/>
      <c r="S729" s="504"/>
      <c r="T729" s="504"/>
      <c r="U729" s="504"/>
      <c r="V729" s="504"/>
      <c r="W729" s="504"/>
      <c r="X729" s="504"/>
      <c r="Y729" s="504"/>
      <c r="Z729" s="504"/>
      <c r="AA729" s="504"/>
      <c r="AB729" s="504"/>
      <c r="AC729" s="322"/>
      <c r="AD729" s="322"/>
      <c r="AE729" s="322"/>
    </row>
    <row r="730" spans="1:31" x14ac:dyDescent="0.25">
      <c r="A730" s="1138">
        <v>721</v>
      </c>
      <c r="B730" s="1138" t="s">
        <v>50</v>
      </c>
      <c r="C730" s="1037" t="s">
        <v>167</v>
      </c>
      <c r="D730" s="1037"/>
      <c r="E730" s="1037"/>
      <c r="F730" s="1037"/>
      <c r="G730" s="1037"/>
      <c r="I730" s="917"/>
      <c r="K730" s="1174"/>
      <c r="L730" s="1022"/>
      <c r="M730" s="1175"/>
      <c r="S730" s="504"/>
      <c r="T730" s="504"/>
      <c r="U730" s="504"/>
      <c r="V730" s="504"/>
      <c r="W730" s="504"/>
      <c r="X730" s="504"/>
      <c r="Y730" s="504"/>
      <c r="Z730" s="504"/>
      <c r="AA730" s="504"/>
      <c r="AB730" s="504"/>
      <c r="AC730" s="322"/>
      <c r="AD730" s="322"/>
      <c r="AE730" s="322"/>
    </row>
    <row r="731" spans="1:31" ht="15.75" thickBot="1" x14ac:dyDescent="0.3">
      <c r="A731" s="1138">
        <v>722</v>
      </c>
      <c r="B731" s="1138" t="s">
        <v>50</v>
      </c>
      <c r="C731" s="1037" t="s">
        <v>167</v>
      </c>
      <c r="D731" s="938" t="s">
        <v>1629</v>
      </c>
      <c r="E731" s="937"/>
      <c r="I731" s="917"/>
      <c r="K731" s="1174"/>
      <c r="L731" s="1022"/>
      <c r="M731" s="1175"/>
      <c r="S731" s="504"/>
      <c r="T731" s="504"/>
      <c r="U731" s="504"/>
      <c r="V731" s="504"/>
      <c r="W731" s="504"/>
      <c r="X731" s="504"/>
      <c r="Y731" s="504"/>
      <c r="Z731" s="504"/>
      <c r="AA731" s="504"/>
      <c r="AB731" s="504"/>
      <c r="AC731" s="322"/>
      <c r="AD731" s="322"/>
      <c r="AE731" s="322"/>
    </row>
    <row r="732" spans="1:31" x14ac:dyDescent="0.25">
      <c r="A732" s="1138">
        <v>723</v>
      </c>
      <c r="B732" s="1138" t="s">
        <v>50</v>
      </c>
      <c r="C732" s="1037" t="s">
        <v>167</v>
      </c>
      <c r="D732" s="1168" t="s">
        <v>2013</v>
      </c>
      <c r="E732" s="1384"/>
      <c r="F732" s="375" t="s">
        <v>1048</v>
      </c>
      <c r="I732" s="917"/>
      <c r="K732" s="1174"/>
      <c r="L732" s="1022"/>
      <c r="M732" s="1175"/>
      <c r="S732" s="504"/>
      <c r="T732" s="504"/>
      <c r="U732" s="504"/>
      <c r="V732" s="504"/>
      <c r="W732" s="504"/>
      <c r="X732" s="504"/>
      <c r="Y732" s="504"/>
      <c r="Z732" s="504"/>
      <c r="AA732" s="504"/>
      <c r="AB732" s="504"/>
      <c r="AC732" s="322"/>
      <c r="AD732" s="322"/>
      <c r="AE732" s="322"/>
    </row>
    <row r="733" spans="1:31" x14ac:dyDescent="0.25">
      <c r="A733" s="1138">
        <v>724</v>
      </c>
      <c r="B733" s="1138" t="s">
        <v>50</v>
      </c>
      <c r="C733" s="1037" t="s">
        <v>167</v>
      </c>
      <c r="D733" s="1293" t="s">
        <v>1986</v>
      </c>
      <c r="E733" s="1385"/>
      <c r="F733" s="375" t="s">
        <v>1048</v>
      </c>
      <c r="I733" s="917"/>
      <c r="K733" s="1174"/>
      <c r="L733" s="1022"/>
      <c r="M733" s="1175"/>
      <c r="S733" s="504"/>
      <c r="T733" s="504"/>
      <c r="U733" s="504"/>
      <c r="V733" s="504"/>
      <c r="W733" s="504"/>
      <c r="X733" s="504"/>
      <c r="Y733" s="504"/>
      <c r="Z733" s="504"/>
      <c r="AA733" s="504"/>
      <c r="AB733" s="504"/>
      <c r="AC733" s="322"/>
      <c r="AD733" s="322"/>
      <c r="AE733" s="322"/>
    </row>
    <row r="734" spans="1:31" x14ac:dyDescent="0.25">
      <c r="A734" s="1138">
        <v>725</v>
      </c>
      <c r="B734" s="1138" t="s">
        <v>50</v>
      </c>
      <c r="C734" s="1037" t="s">
        <v>167</v>
      </c>
      <c r="D734" s="1293" t="s">
        <v>1987</v>
      </c>
      <c r="E734" s="1385"/>
      <c r="F734" s="375" t="s">
        <v>1048</v>
      </c>
      <c r="I734" s="917"/>
      <c r="K734" s="1174"/>
      <c r="L734" s="1022"/>
      <c r="M734" s="1175"/>
      <c r="S734" s="504"/>
      <c r="T734" s="504"/>
      <c r="U734" s="504"/>
      <c r="V734" s="504"/>
      <c r="W734" s="504"/>
      <c r="X734" s="504"/>
      <c r="Y734" s="504"/>
      <c r="Z734" s="504"/>
      <c r="AA734" s="504"/>
      <c r="AB734" s="504"/>
      <c r="AC734" s="322"/>
      <c r="AD734" s="322"/>
      <c r="AE734" s="322"/>
    </row>
    <row r="735" spans="1:31" x14ac:dyDescent="0.25">
      <c r="A735" s="1138">
        <v>726</v>
      </c>
      <c r="B735" s="1138" t="s">
        <v>50</v>
      </c>
      <c r="C735" s="1037" t="s">
        <v>167</v>
      </c>
      <c r="D735" s="988" t="s">
        <v>204</v>
      </c>
      <c r="E735" s="1390">
        <f>SUM(E732:E734)</f>
        <v>0</v>
      </c>
      <c r="F735" s="375" t="s">
        <v>1048</v>
      </c>
      <c r="I735" s="917"/>
      <c r="K735" s="1184" t="s">
        <v>316</v>
      </c>
      <c r="L735" s="1183"/>
      <c r="M735" s="934"/>
      <c r="S735" s="504"/>
      <c r="T735" s="504"/>
      <c r="U735" s="504"/>
      <c r="V735" s="504"/>
      <c r="W735" s="504"/>
      <c r="X735" s="504"/>
      <c r="Y735" s="504"/>
      <c r="Z735" s="504"/>
      <c r="AA735" s="504"/>
      <c r="AB735" s="504"/>
      <c r="AC735" s="322"/>
      <c r="AD735" s="322"/>
      <c r="AE735" s="322"/>
    </row>
    <row r="736" spans="1:31" ht="15.75" thickBot="1" x14ac:dyDescent="0.3">
      <c r="A736" s="1138">
        <v>727</v>
      </c>
      <c r="B736" s="1138" t="s">
        <v>50</v>
      </c>
      <c r="C736" s="1037" t="s">
        <v>167</v>
      </c>
      <c r="D736" s="1305" t="s">
        <v>2014</v>
      </c>
      <c r="E736" s="1391">
        <f>IFERROR(1-(E735/KPI_27a),0)</f>
        <v>0</v>
      </c>
      <c r="F736" s="375" t="s">
        <v>1111</v>
      </c>
      <c r="I736" s="917"/>
      <c r="K736" s="1184" t="s">
        <v>1758</v>
      </c>
      <c r="L736" s="1183"/>
      <c r="M736" s="934"/>
      <c r="S736" s="504"/>
      <c r="T736" s="504"/>
      <c r="U736" s="504"/>
      <c r="V736" s="504"/>
      <c r="W736" s="504"/>
      <c r="X736" s="504"/>
      <c r="Y736" s="504"/>
      <c r="Z736" s="504"/>
      <c r="AA736" s="504"/>
      <c r="AB736" s="504"/>
      <c r="AC736" s="322"/>
      <c r="AD736" s="322"/>
      <c r="AE736" s="322"/>
    </row>
    <row r="737" spans="1:31" x14ac:dyDescent="0.25">
      <c r="A737" s="1138">
        <v>728</v>
      </c>
      <c r="B737" s="1138" t="s">
        <v>50</v>
      </c>
      <c r="C737" s="1037" t="s">
        <v>167</v>
      </c>
      <c r="I737" s="917"/>
      <c r="K737" s="1184" t="s">
        <v>1759</v>
      </c>
      <c r="L737" s="1183"/>
      <c r="M737" s="934"/>
      <c r="S737" s="504"/>
      <c r="T737" s="504"/>
      <c r="U737" s="504"/>
      <c r="V737" s="504"/>
      <c r="W737" s="504"/>
      <c r="X737" s="504"/>
      <c r="Y737" s="504"/>
      <c r="Z737" s="504"/>
      <c r="AA737" s="504"/>
      <c r="AB737" s="504"/>
      <c r="AC737" s="322"/>
      <c r="AD737" s="322"/>
      <c r="AE737" s="322"/>
    </row>
    <row r="738" spans="1:31" ht="15.75" thickBot="1" x14ac:dyDescent="0.3">
      <c r="A738" s="1138">
        <v>729</v>
      </c>
      <c r="B738" s="1138" t="s">
        <v>50</v>
      </c>
      <c r="C738" s="1037" t="s">
        <v>167</v>
      </c>
      <c r="D738" s="938" t="s">
        <v>1630</v>
      </c>
      <c r="E738" s="937"/>
      <c r="I738" s="917"/>
      <c r="K738" s="1184" t="s">
        <v>1637</v>
      </c>
      <c r="L738" s="1183"/>
      <c r="M738" s="934"/>
      <c r="S738" s="504"/>
      <c r="T738" s="504"/>
      <c r="U738" s="504"/>
      <c r="V738" s="504"/>
      <c r="W738" s="504"/>
      <c r="X738" s="504"/>
      <c r="Y738" s="504"/>
      <c r="Z738" s="504"/>
      <c r="AA738" s="504"/>
      <c r="AB738" s="504"/>
      <c r="AC738" s="322"/>
      <c r="AD738" s="322"/>
      <c r="AE738" s="322"/>
    </row>
    <row r="739" spans="1:31" x14ac:dyDescent="0.25">
      <c r="A739" s="1138">
        <v>730</v>
      </c>
      <c r="B739" s="1138" t="s">
        <v>50</v>
      </c>
      <c r="C739" s="1037" t="s">
        <v>167</v>
      </c>
      <c r="D739" s="1168" t="s">
        <v>1632</v>
      </c>
      <c r="E739" s="1501" t="s">
        <v>1631</v>
      </c>
      <c r="I739" s="917"/>
      <c r="K739" s="1184" t="s">
        <v>54</v>
      </c>
      <c r="L739" s="934"/>
      <c r="M739" s="934"/>
      <c r="S739" s="504"/>
      <c r="T739" s="504"/>
      <c r="U739" s="504"/>
      <c r="V739" s="504"/>
      <c r="W739" s="504"/>
      <c r="X739" s="504"/>
      <c r="Y739" s="504"/>
      <c r="Z739" s="504"/>
      <c r="AA739" s="504"/>
      <c r="AB739" s="504"/>
      <c r="AC739" s="322"/>
      <c r="AD739" s="322"/>
      <c r="AE739" s="322"/>
    </row>
    <row r="740" spans="1:31" x14ac:dyDescent="0.25">
      <c r="A740" s="1138">
        <v>731</v>
      </c>
      <c r="B740" s="1138" t="s">
        <v>50</v>
      </c>
      <c r="C740" s="1037" t="s">
        <v>167</v>
      </c>
      <c r="D740" s="1293" t="s">
        <v>1633</v>
      </c>
      <c r="E740" s="1324" t="s">
        <v>316</v>
      </c>
      <c r="F740" s="375" t="str">
        <f>IF(E740=K741,L741,"")</f>
        <v/>
      </c>
      <c r="I740" s="917"/>
      <c r="K740" s="1184" t="s">
        <v>64</v>
      </c>
      <c r="L740" s="934"/>
      <c r="M740" s="934"/>
      <c r="S740" s="504"/>
      <c r="T740" s="504"/>
      <c r="U740" s="504"/>
      <c r="V740" s="504"/>
      <c r="W740" s="504"/>
      <c r="X740" s="504"/>
      <c r="Y740" s="504"/>
      <c r="Z740" s="504"/>
      <c r="AA740" s="504"/>
      <c r="AB740" s="504"/>
      <c r="AC740" s="322"/>
      <c r="AD740" s="322"/>
      <c r="AE740" s="322"/>
    </row>
    <row r="741" spans="1:31" x14ac:dyDescent="0.25">
      <c r="A741" s="1138">
        <v>732</v>
      </c>
      <c r="B741" s="1138" t="s">
        <v>50</v>
      </c>
      <c r="C741" s="1037" t="s">
        <v>167</v>
      </c>
      <c r="D741" s="1293" t="s">
        <v>1634</v>
      </c>
      <c r="E741" s="1324" t="s">
        <v>316</v>
      </c>
      <c r="I741" s="917"/>
      <c r="K741" s="1184" t="s">
        <v>978</v>
      </c>
      <c r="L741" s="1183" t="s">
        <v>1757</v>
      </c>
      <c r="M741" s="934"/>
      <c r="S741" s="504"/>
      <c r="T741" s="504"/>
      <c r="U741" s="504"/>
      <c r="V741" s="504"/>
      <c r="W741" s="504"/>
      <c r="X741" s="504"/>
      <c r="Y741" s="504"/>
      <c r="Z741" s="504"/>
      <c r="AA741" s="504"/>
      <c r="AB741" s="504"/>
      <c r="AC741" s="322"/>
      <c r="AD741" s="322"/>
      <c r="AE741" s="322"/>
    </row>
    <row r="742" spans="1:31" x14ac:dyDescent="0.25">
      <c r="A742" s="1138">
        <v>733</v>
      </c>
      <c r="B742" s="1138" t="s">
        <v>50</v>
      </c>
      <c r="C742" s="1037" t="s">
        <v>167</v>
      </c>
      <c r="D742" s="1293" t="s">
        <v>1635</v>
      </c>
      <c r="E742" s="1324" t="s">
        <v>316</v>
      </c>
      <c r="I742" s="917"/>
      <c r="K742" s="1184" t="s">
        <v>14</v>
      </c>
      <c r="L742" s="1183"/>
      <c r="M742" s="934"/>
      <c r="S742" s="504"/>
      <c r="T742" s="504"/>
      <c r="U742" s="504"/>
      <c r="V742" s="504"/>
      <c r="W742" s="504"/>
      <c r="X742" s="504"/>
      <c r="Y742" s="504"/>
      <c r="Z742" s="504"/>
      <c r="AA742" s="504"/>
      <c r="AB742" s="504"/>
      <c r="AC742" s="322"/>
      <c r="AD742" s="322"/>
      <c r="AE742" s="322"/>
    </row>
    <row r="743" spans="1:31" ht="15.75" thickBot="1" x14ac:dyDescent="0.3">
      <c r="A743" s="1138">
        <v>734</v>
      </c>
      <c r="B743" s="1138" t="s">
        <v>50</v>
      </c>
      <c r="C743" s="1037" t="s">
        <v>167</v>
      </c>
      <c r="D743" s="1002" t="s">
        <v>1636</v>
      </c>
      <c r="E743" s="1326" t="s">
        <v>316</v>
      </c>
      <c r="I743" s="917"/>
      <c r="K743" s="1174"/>
      <c r="L743" s="1022"/>
      <c r="M743" s="1175"/>
      <c r="S743" s="504"/>
      <c r="T743" s="504"/>
      <c r="U743" s="504"/>
      <c r="V743" s="504"/>
      <c r="W743" s="504"/>
      <c r="X743" s="504"/>
      <c r="Y743" s="504"/>
      <c r="Z743" s="504"/>
      <c r="AA743" s="504"/>
      <c r="AB743" s="504"/>
      <c r="AC743" s="322"/>
      <c r="AD743" s="322"/>
      <c r="AE743" s="322"/>
    </row>
    <row r="744" spans="1:31" x14ac:dyDescent="0.25">
      <c r="A744" s="1138">
        <v>735</v>
      </c>
      <c r="B744" s="1138" t="s">
        <v>50</v>
      </c>
      <c r="C744" s="1037" t="s">
        <v>167</v>
      </c>
      <c r="I744" s="917"/>
      <c r="K744" s="1174"/>
      <c r="L744" s="1022"/>
      <c r="M744" s="1175"/>
      <c r="S744" s="504"/>
      <c r="T744" s="504"/>
      <c r="U744" s="504"/>
      <c r="V744" s="504"/>
      <c r="W744" s="504"/>
      <c r="X744" s="504"/>
      <c r="Y744" s="504"/>
      <c r="Z744" s="504"/>
      <c r="AA744" s="504"/>
      <c r="AB744" s="504"/>
      <c r="AC744" s="322"/>
      <c r="AD744" s="322"/>
      <c r="AE744" s="322"/>
    </row>
    <row r="745" spans="1:31" x14ac:dyDescent="0.25">
      <c r="A745" s="1138">
        <v>736</v>
      </c>
      <c r="B745" s="1138" t="s">
        <v>50</v>
      </c>
      <c r="C745" s="1037" t="s">
        <v>167</v>
      </c>
      <c r="D745" s="958" t="s">
        <v>1012</v>
      </c>
      <c r="E745" s="1272">
        <f>G718+G722</f>
        <v>0</v>
      </c>
      <c r="I745" s="917"/>
      <c r="K745" s="1174"/>
      <c r="L745" s="1022"/>
      <c r="M745" s="1175"/>
      <c r="S745" s="504"/>
      <c r="T745" s="504"/>
      <c r="U745" s="504"/>
      <c r="V745" s="504"/>
      <c r="W745" s="504"/>
      <c r="X745" s="504"/>
      <c r="Y745" s="504"/>
      <c r="Z745" s="504"/>
      <c r="AA745" s="504"/>
      <c r="AB745" s="504"/>
      <c r="AC745" s="322"/>
      <c r="AD745" s="322"/>
      <c r="AE745" s="322"/>
    </row>
    <row r="746" spans="1:31" x14ac:dyDescent="0.25">
      <c r="A746" s="1138">
        <v>737</v>
      </c>
      <c r="B746" s="1138" t="s">
        <v>50</v>
      </c>
      <c r="C746" s="1037" t="s">
        <v>167</v>
      </c>
      <c r="D746" s="924" t="s">
        <v>77</v>
      </c>
      <c r="E746" s="1273">
        <f>Mat01_28</f>
        <v>0</v>
      </c>
      <c r="I746" s="917"/>
      <c r="K746" s="1174"/>
      <c r="L746" s="1022"/>
      <c r="M746" s="1175"/>
      <c r="S746" s="504"/>
      <c r="T746" s="504"/>
      <c r="U746" s="504"/>
      <c r="V746" s="504"/>
      <c r="W746" s="504"/>
      <c r="X746" s="504"/>
      <c r="Y746" s="504"/>
      <c r="Z746" s="504"/>
      <c r="AA746" s="504"/>
      <c r="AB746" s="504"/>
      <c r="AC746" s="322"/>
      <c r="AD746" s="322"/>
      <c r="AE746" s="322"/>
    </row>
    <row r="747" spans="1:31" x14ac:dyDescent="0.25">
      <c r="A747" s="1138">
        <v>738</v>
      </c>
      <c r="B747" s="1138" t="s">
        <v>50</v>
      </c>
      <c r="C747" s="1037" t="s">
        <v>167</v>
      </c>
      <c r="D747" s="926" t="s">
        <v>1005</v>
      </c>
      <c r="E747" s="1272">
        <f>M715</f>
        <v>0</v>
      </c>
      <c r="I747" s="917"/>
      <c r="K747" s="1174"/>
      <c r="L747" s="1022"/>
      <c r="M747" s="1175"/>
      <c r="S747" s="504"/>
      <c r="T747" s="504"/>
      <c r="U747" s="504"/>
      <c r="V747" s="504"/>
      <c r="W747" s="504"/>
      <c r="X747" s="504"/>
      <c r="Y747" s="504"/>
      <c r="Z747" s="504"/>
      <c r="AA747" s="504"/>
      <c r="AB747" s="504"/>
      <c r="AC747" s="322"/>
      <c r="AD747" s="322"/>
      <c r="AE747" s="322"/>
    </row>
    <row r="748" spans="1:31" x14ac:dyDescent="0.25">
      <c r="A748" s="1138">
        <v>739</v>
      </c>
      <c r="B748" s="1138" t="s">
        <v>50</v>
      </c>
      <c r="C748" s="1037" t="s">
        <v>167</v>
      </c>
      <c r="D748" s="923" t="s">
        <v>46</v>
      </c>
      <c r="E748" s="1290" t="str">
        <f>VLOOKUP(MIN(Poeng!BD126:BD129,Poeng!BD238),Poeng!$BO$285:$BP$291,2,FALSE)</f>
        <v>Unclassified</v>
      </c>
      <c r="I748" s="917"/>
      <c r="K748" s="1174"/>
      <c r="L748" s="1022"/>
      <c r="M748" s="1175"/>
      <c r="S748" s="504"/>
      <c r="T748" s="504"/>
      <c r="U748" s="504"/>
      <c r="V748" s="504"/>
      <c r="W748" s="504"/>
      <c r="X748" s="504"/>
      <c r="Y748" s="504"/>
      <c r="Z748" s="504"/>
      <c r="AA748" s="504"/>
      <c r="AB748" s="504"/>
      <c r="AC748" s="322"/>
      <c r="AD748" s="322"/>
      <c r="AE748" s="322"/>
    </row>
    <row r="749" spans="1:31" x14ac:dyDescent="0.25">
      <c r="A749" s="1138">
        <v>740</v>
      </c>
      <c r="B749" s="1138" t="s">
        <v>50</v>
      </c>
      <c r="C749" s="1037" t="s">
        <v>167</v>
      </c>
      <c r="I749" s="917"/>
      <c r="K749" s="1174"/>
      <c r="L749" s="1022"/>
      <c r="M749" s="1175"/>
      <c r="S749" s="504"/>
      <c r="T749" s="504"/>
      <c r="U749" s="504"/>
      <c r="V749" s="504"/>
      <c r="W749" s="504"/>
      <c r="X749" s="504"/>
      <c r="Y749" s="504"/>
      <c r="Z749" s="504"/>
      <c r="AA749" s="504"/>
      <c r="AB749" s="504"/>
      <c r="AC749" s="322"/>
      <c r="AD749" s="322"/>
      <c r="AE749" s="322"/>
    </row>
    <row r="750" spans="1:31" x14ac:dyDescent="0.25">
      <c r="A750" s="1138">
        <v>741</v>
      </c>
      <c r="B750" s="1138" t="s">
        <v>50</v>
      </c>
      <c r="C750" s="1037" t="s">
        <v>167</v>
      </c>
      <c r="D750" s="920" t="s">
        <v>1004</v>
      </c>
      <c r="E750" s="920" t="s">
        <v>1003</v>
      </c>
      <c r="F750" s="920" t="str">
        <f>HLOOKUP(C750,'Assessment References'!$H$512:$BG$513,2,FALSE)</f>
        <v/>
      </c>
      <c r="G750" s="919"/>
      <c r="H750" s="918"/>
      <c r="I750" s="917"/>
      <c r="K750" s="1174"/>
      <c r="L750" s="1022"/>
      <c r="M750" s="1175"/>
      <c r="S750" s="504"/>
      <c r="T750" s="504"/>
      <c r="U750" s="504"/>
      <c r="V750" s="504"/>
      <c r="W750" s="504"/>
      <c r="X750" s="504"/>
      <c r="Y750" s="504"/>
      <c r="Z750" s="504"/>
      <c r="AA750" s="504"/>
      <c r="AB750" s="504"/>
      <c r="AC750" s="322"/>
      <c r="AD750" s="322"/>
      <c r="AE750" s="322"/>
    </row>
    <row r="751" spans="1:31" x14ac:dyDescent="0.25">
      <c r="A751" s="1138">
        <v>742</v>
      </c>
      <c r="B751" s="1138" t="s">
        <v>50</v>
      </c>
      <c r="C751" s="1037" t="s">
        <v>167</v>
      </c>
      <c r="D751" s="1539"/>
      <c r="E751" s="1540"/>
      <c r="F751" s="1540"/>
      <c r="G751" s="1540"/>
      <c r="H751" s="1541"/>
      <c r="I751" s="917"/>
      <c r="K751" s="1174"/>
      <c r="L751" s="1022"/>
      <c r="M751" s="1175"/>
      <c r="S751" s="504"/>
      <c r="T751" s="504"/>
      <c r="U751" s="504"/>
      <c r="V751" s="504"/>
      <c r="W751" s="504"/>
      <c r="X751" s="504"/>
      <c r="Y751" s="504"/>
      <c r="Z751" s="504"/>
      <c r="AA751" s="504"/>
      <c r="AB751" s="504"/>
      <c r="AC751" s="322"/>
      <c r="AD751" s="322"/>
      <c r="AE751" s="322"/>
    </row>
    <row r="752" spans="1:31" x14ac:dyDescent="0.25">
      <c r="A752" s="1138">
        <v>743</v>
      </c>
      <c r="B752" s="1138" t="s">
        <v>50</v>
      </c>
      <c r="C752" s="1037" t="s">
        <v>167</v>
      </c>
      <c r="D752" s="1530"/>
      <c r="E752" s="1531"/>
      <c r="F752" s="1531"/>
      <c r="G752" s="1531"/>
      <c r="H752" s="1532"/>
      <c r="I752" s="917"/>
      <c r="K752" s="1174"/>
      <c r="L752" s="1022"/>
      <c r="M752" s="1175"/>
      <c r="S752" s="504"/>
      <c r="T752" s="504"/>
      <c r="U752" s="504"/>
      <c r="V752" s="504"/>
      <c r="W752" s="504"/>
      <c r="X752" s="504"/>
      <c r="Y752" s="504"/>
      <c r="Z752" s="504"/>
      <c r="AA752" s="504"/>
      <c r="AB752" s="504"/>
      <c r="AC752" s="322"/>
      <c r="AD752" s="322"/>
      <c r="AE752" s="322"/>
    </row>
    <row r="753" spans="1:31" x14ac:dyDescent="0.25">
      <c r="A753" s="1138">
        <v>744</v>
      </c>
      <c r="B753" s="1138" t="s">
        <v>50</v>
      </c>
      <c r="C753" s="1037" t="s">
        <v>167</v>
      </c>
      <c r="D753" s="1530"/>
      <c r="E753" s="1531"/>
      <c r="F753" s="1531"/>
      <c r="G753" s="1531"/>
      <c r="H753" s="1532"/>
      <c r="I753" s="917"/>
      <c r="K753" s="1174"/>
      <c r="L753" s="1022"/>
      <c r="M753" s="1175"/>
      <c r="S753" s="504"/>
      <c r="T753" s="504"/>
      <c r="U753" s="504"/>
      <c r="V753" s="504"/>
      <c r="W753" s="504"/>
      <c r="X753" s="504"/>
      <c r="Y753" s="504"/>
      <c r="Z753" s="504"/>
      <c r="AA753" s="504"/>
      <c r="AB753" s="504"/>
      <c r="AC753" s="322"/>
      <c r="AD753" s="322"/>
      <c r="AE753" s="322"/>
    </row>
    <row r="754" spans="1:31" x14ac:dyDescent="0.25">
      <c r="A754" s="1138">
        <v>745</v>
      </c>
      <c r="B754" s="1138" t="s">
        <v>50</v>
      </c>
      <c r="C754" s="1037" t="s">
        <v>167</v>
      </c>
      <c r="D754" s="1533"/>
      <c r="E754" s="1534"/>
      <c r="F754" s="1534"/>
      <c r="G754" s="1534"/>
      <c r="H754" s="1535"/>
      <c r="I754" s="917"/>
      <c r="K754" s="1174"/>
      <c r="L754" s="1022"/>
      <c r="M754" s="1175"/>
      <c r="S754" s="504"/>
      <c r="T754" s="504"/>
      <c r="U754" s="504"/>
      <c r="V754" s="504"/>
      <c r="W754" s="504"/>
      <c r="X754" s="504"/>
      <c r="Y754" s="504"/>
      <c r="Z754" s="504"/>
      <c r="AA754" s="504"/>
      <c r="AB754" s="504"/>
      <c r="AC754" s="322"/>
      <c r="AD754" s="322"/>
      <c r="AE754" s="322"/>
    </row>
    <row r="755" spans="1:31" x14ac:dyDescent="0.25">
      <c r="A755" s="1138">
        <v>746</v>
      </c>
      <c r="B755" s="1138" t="s">
        <v>50</v>
      </c>
      <c r="C755" s="1037" t="s">
        <v>167</v>
      </c>
      <c r="D755" s="1533"/>
      <c r="E755" s="1534"/>
      <c r="F755" s="1534"/>
      <c r="G755" s="1534"/>
      <c r="H755" s="1535"/>
      <c r="I755" s="917"/>
      <c r="K755" s="1174"/>
      <c r="L755" s="1022"/>
      <c r="M755" s="1175"/>
      <c r="S755" s="504"/>
      <c r="T755" s="504"/>
      <c r="U755" s="504"/>
      <c r="V755" s="504"/>
      <c r="W755" s="504"/>
      <c r="X755" s="504"/>
      <c r="Y755" s="504"/>
      <c r="Z755" s="504"/>
      <c r="AA755" s="504"/>
      <c r="AB755" s="504"/>
      <c r="AC755" s="322"/>
      <c r="AD755" s="322"/>
      <c r="AE755" s="322"/>
    </row>
    <row r="756" spans="1:31" x14ac:dyDescent="0.25">
      <c r="A756" s="1138">
        <v>747</v>
      </c>
      <c r="B756" s="1138" t="s">
        <v>50</v>
      </c>
      <c r="C756" s="1037" t="s">
        <v>167</v>
      </c>
      <c r="D756" s="1536"/>
      <c r="E756" s="1537"/>
      <c r="F756" s="1537"/>
      <c r="G756" s="1537"/>
      <c r="H756" s="1538"/>
      <c r="I756" s="917"/>
      <c r="K756" s="1174"/>
      <c r="L756" s="1022"/>
      <c r="M756" s="1175"/>
      <c r="S756" s="504"/>
      <c r="T756" s="504"/>
      <c r="U756" s="504"/>
      <c r="V756" s="504"/>
      <c r="W756" s="504"/>
      <c r="X756" s="504"/>
      <c r="Y756" s="504"/>
      <c r="Z756" s="504"/>
      <c r="AA756" s="504"/>
      <c r="AB756" s="504"/>
      <c r="AC756" s="322"/>
      <c r="AD756" s="322"/>
      <c r="AE756" s="322"/>
    </row>
    <row r="757" spans="1:31" x14ac:dyDescent="0.25">
      <c r="A757" s="1138">
        <v>748</v>
      </c>
      <c r="B757" s="1138" t="s">
        <v>50</v>
      </c>
      <c r="C757" s="1037" t="s">
        <v>167</v>
      </c>
      <c r="I757" s="917"/>
      <c r="K757" s="1174"/>
      <c r="L757" s="1022"/>
      <c r="M757" s="1175"/>
      <c r="S757" s="504"/>
      <c r="T757" s="504"/>
      <c r="U757" s="504"/>
      <c r="V757" s="504"/>
      <c r="W757" s="504"/>
      <c r="X757" s="504"/>
      <c r="Y757" s="504"/>
      <c r="Z757" s="504"/>
      <c r="AA757" s="504"/>
      <c r="AB757" s="504"/>
      <c r="AC757" s="322"/>
      <c r="AD757" s="322"/>
      <c r="AE757" s="322"/>
    </row>
    <row r="758" spans="1:31" x14ac:dyDescent="0.25">
      <c r="A758" s="1138">
        <v>749</v>
      </c>
      <c r="B758" s="1138" t="s">
        <v>50</v>
      </c>
      <c r="C758" s="1012" t="s">
        <v>457</v>
      </c>
      <c r="D758" s="1015" t="s">
        <v>1483</v>
      </c>
      <c r="E758" s="1014"/>
      <c r="F758" s="1014"/>
      <c r="G758" s="1013"/>
      <c r="H758" s="1013"/>
      <c r="I758" s="917"/>
      <c r="K758" s="1174"/>
      <c r="L758" s="1022"/>
      <c r="M758" s="1175"/>
      <c r="S758" s="504"/>
      <c r="T758" s="504"/>
      <c r="U758" s="504"/>
      <c r="V758" s="504"/>
      <c r="W758" s="504"/>
      <c r="X758" s="504"/>
      <c r="Y758" s="504"/>
      <c r="Z758" s="504"/>
      <c r="AA758" s="504"/>
      <c r="AB758" s="504"/>
      <c r="AC758" s="322"/>
      <c r="AD758" s="322"/>
      <c r="AE758" s="322"/>
    </row>
    <row r="759" spans="1:31" x14ac:dyDescent="0.25">
      <c r="A759" s="1138">
        <v>750</v>
      </c>
      <c r="B759" s="1138" t="s">
        <v>50</v>
      </c>
      <c r="C759" s="1037" t="s">
        <v>457</v>
      </c>
      <c r="D759" s="946" t="s">
        <v>15</v>
      </c>
      <c r="E759" s="1264">
        <f>Mat02_credits</f>
        <v>3</v>
      </c>
      <c r="F759" s="945"/>
      <c r="G759" s="944" t="s">
        <v>76</v>
      </c>
      <c r="H759" s="1266">
        <f>Mat02_37</f>
        <v>2.4285714285714289E-2</v>
      </c>
      <c r="I759" s="917"/>
      <c r="K759" s="1174"/>
      <c r="L759" s="1022"/>
      <c r="M759" s="1175"/>
      <c r="S759" s="504"/>
      <c r="T759" s="504"/>
      <c r="U759" s="504"/>
      <c r="V759" s="504"/>
      <c r="W759" s="504"/>
      <c r="X759" s="504"/>
      <c r="Y759" s="504"/>
      <c r="Z759" s="504"/>
      <c r="AA759" s="504"/>
      <c r="AB759" s="504"/>
      <c r="AC759" s="322"/>
      <c r="AD759" s="322"/>
      <c r="AE759" s="322"/>
    </row>
    <row r="760" spans="1:31" x14ac:dyDescent="0.25">
      <c r="A760" s="1138">
        <v>751</v>
      </c>
      <c r="B760" s="1138" t="s">
        <v>50</v>
      </c>
      <c r="C760" s="1037" t="s">
        <v>457</v>
      </c>
      <c r="D760" s="972" t="s">
        <v>1011</v>
      </c>
      <c r="E760" s="1265">
        <v>0</v>
      </c>
      <c r="F760" s="941"/>
      <c r="G760" s="940" t="s">
        <v>1010</v>
      </c>
      <c r="H760" s="1267" t="s">
        <v>12</v>
      </c>
      <c r="I760" s="917"/>
      <c r="K760" s="1174"/>
      <c r="L760" s="1022"/>
      <c r="M760" s="1175"/>
      <c r="S760" s="504"/>
      <c r="T760" s="504"/>
      <c r="U760" s="504"/>
      <c r="V760" s="504"/>
      <c r="W760" s="504"/>
      <c r="X760" s="504"/>
      <c r="Y760" s="504"/>
      <c r="Z760" s="504"/>
      <c r="AA760" s="504"/>
      <c r="AB760" s="504"/>
      <c r="AC760" s="322"/>
      <c r="AD760" s="322"/>
      <c r="AE760" s="322"/>
    </row>
    <row r="761" spans="1:31" x14ac:dyDescent="0.25">
      <c r="A761" s="1138">
        <v>752</v>
      </c>
      <c r="B761" s="1138" t="s">
        <v>50</v>
      </c>
      <c r="C761" s="1037" t="s">
        <v>457</v>
      </c>
      <c r="E761" s="375" t="s">
        <v>0</v>
      </c>
      <c r="I761" s="917"/>
      <c r="K761" s="1174"/>
      <c r="L761" s="1022"/>
      <c r="M761" s="1175"/>
      <c r="S761" s="504"/>
      <c r="T761" s="504"/>
      <c r="U761" s="504"/>
      <c r="V761" s="504"/>
      <c r="W761" s="504"/>
      <c r="X761" s="504"/>
      <c r="Y761" s="504"/>
      <c r="Z761" s="504"/>
      <c r="AA761" s="504"/>
      <c r="AB761" s="504"/>
      <c r="AC761" s="322"/>
      <c r="AD761" s="322"/>
      <c r="AE761" s="322"/>
    </row>
    <row r="762" spans="1:31" ht="15.75" thickBot="1" x14ac:dyDescent="0.3">
      <c r="A762" s="1138">
        <v>753</v>
      </c>
      <c r="B762" s="1138" t="s">
        <v>50</v>
      </c>
      <c r="C762" s="1037" t="s">
        <v>457</v>
      </c>
      <c r="D762" s="938" t="s">
        <v>1062</v>
      </c>
      <c r="E762" s="937" t="s">
        <v>1008</v>
      </c>
      <c r="I762" s="1032"/>
      <c r="K762" s="1174"/>
      <c r="L762" s="1022"/>
      <c r="M762" s="1175"/>
      <c r="S762" s="504"/>
      <c r="T762" s="504"/>
      <c r="U762" s="504"/>
      <c r="V762" s="504"/>
      <c r="W762" s="504"/>
      <c r="X762" s="504"/>
      <c r="Y762" s="504"/>
      <c r="Z762" s="504"/>
      <c r="AA762" s="504"/>
      <c r="AB762" s="504"/>
      <c r="AC762" s="322"/>
      <c r="AD762" s="322"/>
      <c r="AE762" s="322"/>
    </row>
    <row r="763" spans="1:31" ht="15.75" thickBot="1" x14ac:dyDescent="0.3">
      <c r="A763" s="1138">
        <v>754</v>
      </c>
      <c r="B763" s="1138" t="s">
        <v>50</v>
      </c>
      <c r="C763" s="1037" t="s">
        <v>457</v>
      </c>
      <c r="D763" s="1239" t="s">
        <v>1870</v>
      </c>
      <c r="E763" s="1240" t="s">
        <v>316</v>
      </c>
      <c r="F763" s="1024" t="str">
        <f>IF(OR(E763=AIS_No,E763=AIS_PS),"Pre-requisite: Please select yes","")</f>
        <v>Pre-requisite: Please select yes</v>
      </c>
      <c r="K763" s="1174"/>
      <c r="L763" s="1022"/>
      <c r="M763" s="1175"/>
      <c r="S763" s="504"/>
      <c r="T763" s="504"/>
      <c r="U763" s="504"/>
      <c r="V763" s="504"/>
      <c r="W763" s="504"/>
      <c r="X763" s="504"/>
      <c r="Y763" s="504"/>
      <c r="Z763" s="504"/>
      <c r="AA763" s="504"/>
      <c r="AB763" s="504"/>
      <c r="AC763" s="322"/>
      <c r="AD763" s="322"/>
      <c r="AE763" s="322"/>
    </row>
    <row r="764" spans="1:31" ht="15.75" thickBot="1" x14ac:dyDescent="0.3">
      <c r="A764" s="1138">
        <v>755</v>
      </c>
      <c r="B764" s="1138" t="s">
        <v>50</v>
      </c>
      <c r="C764" s="1037" t="s">
        <v>457</v>
      </c>
      <c r="I764" s="917"/>
      <c r="K764" s="1174"/>
      <c r="L764" s="1022"/>
      <c r="M764" s="1175"/>
      <c r="S764" s="504"/>
      <c r="T764" s="504"/>
      <c r="U764" s="504"/>
      <c r="V764" s="504"/>
      <c r="W764" s="504"/>
      <c r="X764" s="504"/>
      <c r="Y764" s="504"/>
      <c r="Z764" s="504"/>
      <c r="AA764" s="504"/>
      <c r="AB764" s="504"/>
      <c r="AC764" s="322"/>
      <c r="AD764" s="322"/>
      <c r="AE764" s="322"/>
    </row>
    <row r="765" spans="1:31" ht="15.75" thickBot="1" x14ac:dyDescent="0.3">
      <c r="A765" s="1138">
        <v>756</v>
      </c>
      <c r="B765" s="1138" t="s">
        <v>50</v>
      </c>
      <c r="C765" s="1037" t="s">
        <v>457</v>
      </c>
      <c r="D765" s="938" t="s">
        <v>1061</v>
      </c>
      <c r="E765" s="937" t="s">
        <v>1008</v>
      </c>
      <c r="F765" s="937" t="s">
        <v>1007</v>
      </c>
      <c r="G765" s="937" t="s">
        <v>1006</v>
      </c>
      <c r="H765" s="937" t="s">
        <v>1014</v>
      </c>
      <c r="I765" s="917"/>
      <c r="K765" s="1033" t="s">
        <v>316</v>
      </c>
      <c r="L765" s="1022"/>
      <c r="M765" s="1175"/>
      <c r="S765" s="504"/>
      <c r="T765" s="504"/>
      <c r="U765" s="504"/>
      <c r="V765" s="504"/>
      <c r="W765" s="504"/>
      <c r="X765" s="504"/>
      <c r="Y765" s="504"/>
      <c r="Z765" s="504"/>
      <c r="AA765" s="504"/>
      <c r="AB765" s="504"/>
      <c r="AC765" s="322"/>
      <c r="AD765" s="322"/>
      <c r="AE765" s="322"/>
    </row>
    <row r="766" spans="1:31" ht="15.75" thickBot="1" x14ac:dyDescent="0.3">
      <c r="A766" s="1138">
        <v>757</v>
      </c>
      <c r="B766" s="1138" t="s">
        <v>50</v>
      </c>
      <c r="C766" s="1037" t="s">
        <v>457</v>
      </c>
      <c r="D766" s="1168" t="s">
        <v>1489</v>
      </c>
      <c r="E766" s="1268" t="s">
        <v>316</v>
      </c>
      <c r="F766" s="1228">
        <f>Poeng!AB132</f>
        <v>1</v>
      </c>
      <c r="G766" s="1228">
        <f>IF(F766=0,0,IF(KPI_24=K765,0,IF(AND(E766=AIS_Yes,E767&gt;14,KPI_25&gt;2),1,0)))*IF(E763=AIS_Yes,1,0)</f>
        <v>0</v>
      </c>
      <c r="H766" s="969" t="s">
        <v>14</v>
      </c>
      <c r="I766" s="917"/>
      <c r="K766" s="1174"/>
      <c r="L766" s="1022"/>
      <c r="M766" s="1175"/>
      <c r="S766" s="504"/>
      <c r="T766" s="504"/>
      <c r="U766" s="504"/>
      <c r="V766" s="504"/>
      <c r="W766" s="504"/>
      <c r="X766" s="504"/>
      <c r="Y766" s="504"/>
      <c r="Z766" s="504"/>
      <c r="AA766" s="504"/>
      <c r="AB766" s="504"/>
      <c r="AC766" s="322"/>
      <c r="AD766" s="322"/>
      <c r="AE766" s="322"/>
    </row>
    <row r="767" spans="1:31" x14ac:dyDescent="0.25">
      <c r="A767" s="1138">
        <v>758</v>
      </c>
      <c r="B767" s="1138" t="s">
        <v>50</v>
      </c>
      <c r="C767" s="1037" t="s">
        <v>457</v>
      </c>
      <c r="D767" s="1293" t="s">
        <v>1760</v>
      </c>
      <c r="E767" s="1271" t="s">
        <v>316</v>
      </c>
      <c r="I767" s="917"/>
      <c r="K767" s="1174"/>
      <c r="L767" s="1022"/>
      <c r="M767" s="1175"/>
      <c r="S767" s="504"/>
      <c r="T767" s="504"/>
      <c r="U767" s="504"/>
      <c r="V767" s="504"/>
      <c r="W767" s="504"/>
      <c r="X767" s="504"/>
      <c r="Y767" s="504"/>
      <c r="Z767" s="504"/>
      <c r="AA767" s="504"/>
      <c r="AB767" s="504"/>
      <c r="AC767" s="322"/>
      <c r="AD767" s="322"/>
      <c r="AE767" s="322"/>
    </row>
    <row r="768" spans="1:31" ht="15.75" thickBot="1" x14ac:dyDescent="0.3">
      <c r="A768" s="1138">
        <v>759</v>
      </c>
      <c r="B768" s="1138" t="s">
        <v>50</v>
      </c>
      <c r="C768" s="1037" t="s">
        <v>457</v>
      </c>
      <c r="D768" s="1305" t="s">
        <v>1761</v>
      </c>
      <c r="E768" s="1275" t="s">
        <v>316</v>
      </c>
      <c r="F768" s="994"/>
      <c r="I768" s="917"/>
      <c r="K768" s="1174"/>
      <c r="L768" s="1022"/>
      <c r="M768" s="1175"/>
      <c r="S768" s="504"/>
      <c r="T768" s="504"/>
      <c r="U768" s="504"/>
      <c r="V768" s="504"/>
      <c r="W768" s="504"/>
      <c r="X768" s="504"/>
      <c r="Y768" s="504"/>
      <c r="Z768" s="504"/>
      <c r="AA768" s="504"/>
      <c r="AB768" s="504"/>
      <c r="AC768" s="322"/>
      <c r="AD768" s="322"/>
      <c r="AE768" s="322"/>
    </row>
    <row r="769" spans="1:31" x14ac:dyDescent="0.25">
      <c r="A769" s="1138">
        <v>760</v>
      </c>
      <c r="B769" s="1138" t="s">
        <v>50</v>
      </c>
      <c r="C769" s="1037" t="s">
        <v>457</v>
      </c>
      <c r="I769" s="917"/>
      <c r="K769" s="1174"/>
      <c r="L769" s="1022"/>
      <c r="M769" s="1175"/>
      <c r="S769" s="504"/>
      <c r="T769" s="504"/>
      <c r="U769" s="504"/>
      <c r="V769" s="504"/>
      <c r="W769" s="504"/>
      <c r="X769" s="504"/>
      <c r="Y769" s="504"/>
      <c r="Z769" s="504"/>
      <c r="AA769" s="504"/>
      <c r="AB769" s="504"/>
      <c r="AC769" s="322"/>
      <c r="AD769" s="322"/>
      <c r="AE769" s="322"/>
    </row>
    <row r="770" spans="1:31" ht="15.75" thickBot="1" x14ac:dyDescent="0.3">
      <c r="A770" s="1138">
        <v>761</v>
      </c>
      <c r="B770" s="1138" t="s">
        <v>50</v>
      </c>
      <c r="C770" s="1037" t="s">
        <v>457</v>
      </c>
      <c r="D770" s="938" t="s">
        <v>1058</v>
      </c>
      <c r="E770" s="937" t="s">
        <v>1008</v>
      </c>
      <c r="F770" s="937" t="s">
        <v>1007</v>
      </c>
      <c r="G770" s="937" t="s">
        <v>1006</v>
      </c>
      <c r="H770" s="937" t="s">
        <v>1014</v>
      </c>
      <c r="I770" s="917"/>
      <c r="K770" s="1174"/>
      <c r="L770" s="1022"/>
      <c r="M770" s="1175"/>
      <c r="S770" s="504"/>
      <c r="T770" s="504"/>
      <c r="U770" s="504"/>
      <c r="V770" s="504"/>
      <c r="W770" s="504"/>
      <c r="X770" s="504"/>
      <c r="Y770" s="504"/>
      <c r="Z770" s="504"/>
      <c r="AA770" s="504"/>
      <c r="AB770" s="504"/>
      <c r="AC770" s="322"/>
      <c r="AD770" s="322"/>
      <c r="AE770" s="322"/>
    </row>
    <row r="771" spans="1:31" ht="15.75" thickBot="1" x14ac:dyDescent="0.3">
      <c r="A771" s="1138">
        <v>762</v>
      </c>
      <c r="B771" s="1138" t="s">
        <v>50</v>
      </c>
      <c r="C771" s="1037" t="s">
        <v>457</v>
      </c>
      <c r="D771" s="1168" t="s">
        <v>1762</v>
      </c>
      <c r="E771" s="1268" t="s">
        <v>316</v>
      </c>
      <c r="F771" s="1228">
        <f>Poeng!AB133</f>
        <v>2</v>
      </c>
      <c r="G771" s="1228">
        <f>IF(F771=0,0,IF(E771=K765,0,IF(AND(E773=AIS_Yes,E772=AIS_Yes),K771,0)))</f>
        <v>0</v>
      </c>
      <c r="H771" s="969" t="s">
        <v>14</v>
      </c>
      <c r="I771" s="917"/>
      <c r="K771" s="1033">
        <f>IF(E771&gt;14,F771,IF(E771&gt;9,F771-1,0))</f>
        <v>2</v>
      </c>
      <c r="L771" s="1022"/>
      <c r="M771" s="1175"/>
      <c r="S771" s="504"/>
      <c r="T771" s="504"/>
      <c r="U771" s="504"/>
      <c r="V771" s="504"/>
      <c r="W771" s="504"/>
      <c r="X771" s="504"/>
      <c r="Y771" s="504"/>
      <c r="Z771" s="504"/>
      <c r="AA771" s="504"/>
      <c r="AB771" s="504"/>
      <c r="AC771" s="322"/>
      <c r="AD771" s="322"/>
      <c r="AE771" s="322"/>
    </row>
    <row r="772" spans="1:31" x14ac:dyDescent="0.25">
      <c r="A772" s="1138">
        <v>763</v>
      </c>
      <c r="B772" s="1138" t="s">
        <v>50</v>
      </c>
      <c r="C772" s="1037" t="s">
        <v>457</v>
      </c>
      <c r="D772" s="1169" t="s">
        <v>1490</v>
      </c>
      <c r="E772" s="1271" t="s">
        <v>316</v>
      </c>
      <c r="I772" s="917"/>
      <c r="K772" s="1174"/>
      <c r="L772" s="1022"/>
      <c r="M772" s="1175"/>
      <c r="S772" s="504"/>
      <c r="T772" s="504"/>
      <c r="U772" s="504"/>
      <c r="V772" s="504"/>
      <c r="W772" s="504"/>
      <c r="X772" s="504"/>
      <c r="Y772" s="504"/>
      <c r="Z772" s="504"/>
      <c r="AA772" s="504"/>
      <c r="AB772" s="504"/>
      <c r="AC772" s="322"/>
      <c r="AD772" s="322"/>
      <c r="AE772" s="322"/>
    </row>
    <row r="773" spans="1:31" ht="15.75" thickBot="1" x14ac:dyDescent="0.3">
      <c r="A773" s="1138">
        <v>764</v>
      </c>
      <c r="B773" s="1138" t="s">
        <v>50</v>
      </c>
      <c r="C773" s="1037" t="s">
        <v>457</v>
      </c>
      <c r="D773" s="1305" t="s">
        <v>1056</v>
      </c>
      <c r="E773" s="1275" t="s">
        <v>316</v>
      </c>
      <c r="F773" s="1221" t="s">
        <v>1491</v>
      </c>
      <c r="I773" s="917"/>
      <c r="K773" s="1174"/>
      <c r="L773" s="1022"/>
      <c r="M773" s="1175"/>
      <c r="S773" s="504"/>
      <c r="T773" s="504"/>
      <c r="U773" s="504"/>
      <c r="V773" s="504"/>
      <c r="W773" s="504"/>
      <c r="X773" s="504"/>
      <c r="Y773" s="504"/>
      <c r="Z773" s="504"/>
      <c r="AA773" s="504"/>
      <c r="AB773" s="504"/>
      <c r="AC773" s="322"/>
      <c r="AD773" s="322"/>
      <c r="AE773" s="322"/>
    </row>
    <row r="774" spans="1:31" x14ac:dyDescent="0.25">
      <c r="A774" s="1138">
        <v>765</v>
      </c>
      <c r="B774" s="1138" t="s">
        <v>50</v>
      </c>
      <c r="C774" s="1037" t="s">
        <v>457</v>
      </c>
      <c r="I774" s="917"/>
      <c r="K774" s="1174"/>
      <c r="L774" s="1022"/>
      <c r="M774" s="1175"/>
      <c r="S774" s="504"/>
      <c r="T774" s="504"/>
      <c r="U774" s="504"/>
      <c r="V774" s="504"/>
      <c r="W774" s="504"/>
      <c r="X774" s="504"/>
      <c r="Y774" s="504"/>
      <c r="Z774" s="504"/>
      <c r="AA774" s="504"/>
      <c r="AB774" s="504"/>
      <c r="AC774" s="322"/>
      <c r="AD774" s="322"/>
      <c r="AE774" s="322"/>
    </row>
    <row r="775" spans="1:31" x14ac:dyDescent="0.25">
      <c r="A775" s="1138">
        <v>766</v>
      </c>
      <c r="B775" s="1138" t="s">
        <v>50</v>
      </c>
      <c r="C775" s="1037" t="s">
        <v>457</v>
      </c>
      <c r="D775" s="958" t="s">
        <v>1012</v>
      </c>
      <c r="E775" s="1272">
        <f>G766+G771</f>
        <v>0</v>
      </c>
      <c r="I775" s="917"/>
      <c r="K775" s="1174"/>
      <c r="L775" s="1022"/>
      <c r="M775" s="1175"/>
      <c r="S775" s="504"/>
      <c r="T775" s="504"/>
      <c r="U775" s="504"/>
      <c r="V775" s="504"/>
      <c r="W775" s="504"/>
      <c r="X775" s="504"/>
      <c r="Y775" s="504"/>
      <c r="Z775" s="504"/>
      <c r="AA775" s="504"/>
      <c r="AB775" s="504"/>
      <c r="AC775" s="322"/>
      <c r="AD775" s="322"/>
      <c r="AE775" s="322"/>
    </row>
    <row r="776" spans="1:31" x14ac:dyDescent="0.25">
      <c r="A776" s="1138">
        <v>767</v>
      </c>
      <c r="B776" s="1138" t="s">
        <v>50</v>
      </c>
      <c r="C776" s="1037" t="s">
        <v>457</v>
      </c>
      <c r="D776" s="924" t="s">
        <v>77</v>
      </c>
      <c r="E776" s="1273">
        <f>Mat02_cont</f>
        <v>0</v>
      </c>
      <c r="I776" s="917"/>
      <c r="K776" s="1174"/>
      <c r="L776" s="1022"/>
      <c r="M776" s="1175"/>
      <c r="S776" s="504"/>
      <c r="T776" s="504"/>
      <c r="U776" s="504"/>
      <c r="V776" s="504"/>
      <c r="W776" s="504"/>
      <c r="X776" s="504"/>
      <c r="Y776" s="504"/>
      <c r="Z776" s="504"/>
      <c r="AA776" s="504"/>
      <c r="AB776" s="504"/>
      <c r="AC776" s="322"/>
      <c r="AD776" s="322"/>
      <c r="AE776" s="322"/>
    </row>
    <row r="777" spans="1:31" x14ac:dyDescent="0.25">
      <c r="A777" s="1138">
        <v>768</v>
      </c>
      <c r="B777" s="1138" t="s">
        <v>50</v>
      </c>
      <c r="C777" s="1037" t="s">
        <v>457</v>
      </c>
      <c r="D777" s="926" t="s">
        <v>1005</v>
      </c>
      <c r="E777" s="1272" t="s">
        <v>14</v>
      </c>
      <c r="I777" s="917"/>
      <c r="K777" s="1174"/>
      <c r="L777" s="1022"/>
      <c r="M777" s="1175"/>
      <c r="S777" s="504"/>
      <c r="T777" s="504"/>
      <c r="U777" s="504"/>
      <c r="V777" s="504"/>
      <c r="W777" s="504"/>
      <c r="X777" s="504"/>
      <c r="Y777" s="504"/>
      <c r="Z777" s="504"/>
      <c r="AA777" s="504"/>
      <c r="AB777" s="504"/>
      <c r="AC777" s="322"/>
      <c r="AD777" s="322"/>
      <c r="AE777" s="322"/>
    </row>
    <row r="778" spans="1:31" x14ac:dyDescent="0.25">
      <c r="A778" s="1138">
        <v>769</v>
      </c>
      <c r="B778" s="1138" t="s">
        <v>50</v>
      </c>
      <c r="C778" s="1037" t="s">
        <v>457</v>
      </c>
      <c r="D778" s="923" t="s">
        <v>46</v>
      </c>
      <c r="E778" s="1306" t="str">
        <f>VLOOKUP(MIN(Poeng!BD130:BD133,Poeng!BD239),Poeng!$BO$285:$BP$291,2,FALSE)</f>
        <v>Unclassified</v>
      </c>
      <c r="I778" s="917"/>
      <c r="K778" s="1174"/>
      <c r="L778" s="1022"/>
      <c r="M778" s="1175"/>
      <c r="S778" s="504"/>
      <c r="T778" s="504"/>
      <c r="U778" s="504"/>
      <c r="V778" s="504"/>
      <c r="W778" s="504"/>
      <c r="X778" s="504"/>
      <c r="Y778" s="504"/>
      <c r="Z778" s="504"/>
      <c r="AA778" s="504"/>
      <c r="AB778" s="504"/>
      <c r="AC778" s="322"/>
      <c r="AD778" s="322"/>
      <c r="AE778" s="322"/>
    </row>
    <row r="779" spans="1:31" x14ac:dyDescent="0.25">
      <c r="A779" s="1138">
        <v>770</v>
      </c>
      <c r="B779" s="1138" t="s">
        <v>50</v>
      </c>
      <c r="C779" s="1037" t="s">
        <v>457</v>
      </c>
      <c r="I779" s="917"/>
      <c r="K779" s="1174"/>
      <c r="L779" s="1022"/>
      <c r="M779" s="1175"/>
      <c r="S779" s="504"/>
      <c r="T779" s="504"/>
      <c r="U779" s="504"/>
      <c r="V779" s="504"/>
      <c r="W779" s="504"/>
      <c r="X779" s="504"/>
      <c r="Y779" s="504"/>
      <c r="Z779" s="504"/>
      <c r="AA779" s="504"/>
      <c r="AB779" s="504"/>
      <c r="AC779" s="322"/>
      <c r="AD779" s="322"/>
      <c r="AE779" s="322"/>
    </row>
    <row r="780" spans="1:31" x14ac:dyDescent="0.25">
      <c r="A780" s="1138">
        <v>771</v>
      </c>
      <c r="B780" s="1138" t="s">
        <v>50</v>
      </c>
      <c r="C780" s="1037" t="s">
        <v>457</v>
      </c>
      <c r="D780" s="920" t="s">
        <v>1004</v>
      </c>
      <c r="E780" s="920" t="s">
        <v>1003</v>
      </c>
      <c r="F780" s="920" t="str">
        <f>HLOOKUP(C780,'Assessment References'!$H$512:$BG$513,2,FALSE)</f>
        <v/>
      </c>
      <c r="G780" s="919"/>
      <c r="H780" s="918"/>
      <c r="I780" s="917"/>
      <c r="K780" s="1174"/>
      <c r="L780" s="1022"/>
      <c r="M780" s="1175"/>
      <c r="S780" s="504"/>
      <c r="T780" s="504"/>
      <c r="U780" s="504"/>
      <c r="V780" s="504"/>
      <c r="W780" s="504"/>
      <c r="X780" s="504"/>
      <c r="Y780" s="504"/>
      <c r="Z780" s="504"/>
      <c r="AA780" s="504"/>
      <c r="AB780" s="504"/>
      <c r="AC780" s="322"/>
      <c r="AD780" s="322"/>
      <c r="AE780" s="322"/>
    </row>
    <row r="781" spans="1:31" x14ac:dyDescent="0.25">
      <c r="A781" s="1138">
        <v>772</v>
      </c>
      <c r="B781" s="1138" t="s">
        <v>50</v>
      </c>
      <c r="C781" s="1037" t="s">
        <v>457</v>
      </c>
      <c r="D781" s="1539"/>
      <c r="E781" s="1540"/>
      <c r="F781" s="1540"/>
      <c r="G781" s="1540"/>
      <c r="H781" s="1541"/>
      <c r="I781" s="917"/>
      <c r="K781" s="1174"/>
      <c r="L781" s="1022"/>
      <c r="M781" s="1175"/>
      <c r="S781" s="504"/>
      <c r="T781" s="504"/>
      <c r="U781" s="504"/>
      <c r="V781" s="504"/>
      <c r="W781" s="504"/>
      <c r="X781" s="504"/>
      <c r="Y781" s="504"/>
      <c r="Z781" s="504"/>
      <c r="AA781" s="504"/>
      <c r="AB781" s="504"/>
      <c r="AC781" s="322"/>
      <c r="AD781" s="322"/>
      <c r="AE781" s="322"/>
    </row>
    <row r="782" spans="1:31" x14ac:dyDescent="0.25">
      <c r="A782" s="1138">
        <v>773</v>
      </c>
      <c r="B782" s="1138" t="s">
        <v>50</v>
      </c>
      <c r="C782" s="1037" t="s">
        <v>457</v>
      </c>
      <c r="D782" s="1530"/>
      <c r="E782" s="1531"/>
      <c r="F782" s="1531"/>
      <c r="G782" s="1531"/>
      <c r="H782" s="1532"/>
      <c r="I782" s="917"/>
      <c r="K782" s="1174"/>
      <c r="L782" s="1022"/>
      <c r="M782" s="1175"/>
      <c r="S782" s="504"/>
      <c r="T782" s="504"/>
      <c r="U782" s="504"/>
      <c r="V782" s="504"/>
      <c r="W782" s="504"/>
      <c r="X782" s="504"/>
      <c r="Y782" s="504"/>
      <c r="Z782" s="504"/>
      <c r="AA782" s="504"/>
      <c r="AB782" s="504"/>
      <c r="AC782" s="322"/>
      <c r="AD782" s="322"/>
      <c r="AE782" s="322"/>
    </row>
    <row r="783" spans="1:31" x14ac:dyDescent="0.25">
      <c r="A783" s="1138">
        <v>774</v>
      </c>
      <c r="B783" s="1138" t="s">
        <v>50</v>
      </c>
      <c r="C783" s="1037" t="s">
        <v>457</v>
      </c>
      <c r="D783" s="1530"/>
      <c r="E783" s="1531"/>
      <c r="F783" s="1531"/>
      <c r="G783" s="1531"/>
      <c r="H783" s="1532"/>
      <c r="I783" s="917"/>
      <c r="K783" s="1174"/>
      <c r="L783" s="1022"/>
      <c r="M783" s="1175"/>
      <c r="S783" s="504"/>
      <c r="T783" s="504"/>
      <c r="U783" s="504"/>
      <c r="V783" s="504"/>
      <c r="W783" s="504"/>
      <c r="X783" s="504"/>
      <c r="Y783" s="504"/>
      <c r="Z783" s="504"/>
      <c r="AA783" s="504"/>
      <c r="AB783" s="504"/>
      <c r="AC783" s="322"/>
      <c r="AD783" s="322"/>
      <c r="AE783" s="322"/>
    </row>
    <row r="784" spans="1:31" x14ac:dyDescent="0.25">
      <c r="A784" s="1138">
        <v>775</v>
      </c>
      <c r="B784" s="1138" t="s">
        <v>50</v>
      </c>
      <c r="C784" s="1037" t="s">
        <v>457</v>
      </c>
      <c r="D784" s="1533"/>
      <c r="E784" s="1534"/>
      <c r="F784" s="1534"/>
      <c r="G784" s="1534"/>
      <c r="H784" s="1535"/>
      <c r="I784" s="917"/>
      <c r="K784" s="1174"/>
      <c r="L784" s="1022"/>
      <c r="M784" s="1175"/>
      <c r="S784" s="504"/>
      <c r="T784" s="504"/>
      <c r="U784" s="504"/>
      <c r="V784" s="504"/>
      <c r="W784" s="504"/>
      <c r="X784" s="504"/>
      <c r="Y784" s="504"/>
      <c r="Z784" s="504"/>
      <c r="AA784" s="504"/>
      <c r="AB784" s="504"/>
      <c r="AC784" s="322"/>
      <c r="AD784" s="322"/>
      <c r="AE784" s="322"/>
    </row>
    <row r="785" spans="1:31" x14ac:dyDescent="0.25">
      <c r="A785" s="1138">
        <v>776</v>
      </c>
      <c r="B785" s="1138" t="s">
        <v>50</v>
      </c>
      <c r="C785" s="1037" t="s">
        <v>457</v>
      </c>
      <c r="D785" s="1533"/>
      <c r="E785" s="1534"/>
      <c r="F785" s="1534"/>
      <c r="G785" s="1534"/>
      <c r="H785" s="1535"/>
      <c r="I785" s="917"/>
      <c r="K785" s="1174"/>
      <c r="L785" s="1022"/>
      <c r="M785" s="1175"/>
      <c r="S785" s="504"/>
      <c r="T785" s="504"/>
      <c r="U785" s="504"/>
      <c r="V785" s="504"/>
      <c r="W785" s="504"/>
      <c r="X785" s="504"/>
      <c r="Y785" s="504"/>
      <c r="Z785" s="504"/>
      <c r="AA785" s="504"/>
      <c r="AB785" s="504"/>
      <c r="AC785" s="322"/>
      <c r="AD785" s="322"/>
      <c r="AE785" s="322"/>
    </row>
    <row r="786" spans="1:31" x14ac:dyDescent="0.25">
      <c r="A786" s="1138">
        <v>777</v>
      </c>
      <c r="B786" s="1138" t="s">
        <v>50</v>
      </c>
      <c r="C786" s="1037" t="s">
        <v>457</v>
      </c>
      <c r="D786" s="1536"/>
      <c r="E786" s="1537"/>
      <c r="F786" s="1537"/>
      <c r="G786" s="1537"/>
      <c r="H786" s="1538"/>
      <c r="I786" s="917"/>
      <c r="K786" s="1174"/>
      <c r="L786" s="1022"/>
      <c r="M786" s="1175"/>
      <c r="S786" s="504"/>
      <c r="T786" s="504"/>
      <c r="U786" s="504"/>
      <c r="V786" s="504"/>
      <c r="W786" s="504"/>
      <c r="X786" s="504"/>
      <c r="Y786" s="504"/>
      <c r="Z786" s="504"/>
      <c r="AA786" s="504"/>
      <c r="AB786" s="504"/>
      <c r="AC786" s="322"/>
      <c r="AD786" s="322"/>
      <c r="AE786" s="322"/>
    </row>
    <row r="787" spans="1:31" x14ac:dyDescent="0.25">
      <c r="A787" s="1138">
        <v>778</v>
      </c>
      <c r="B787" s="1138" t="s">
        <v>50</v>
      </c>
      <c r="C787" s="1037" t="s">
        <v>457</v>
      </c>
      <c r="I787" s="917"/>
      <c r="K787" s="1174"/>
      <c r="L787" s="1022"/>
      <c r="M787" s="1175"/>
      <c r="S787" s="504"/>
      <c r="T787" s="504"/>
      <c r="U787" s="504"/>
      <c r="V787" s="504"/>
      <c r="W787" s="504"/>
      <c r="X787" s="504"/>
      <c r="Y787" s="504"/>
      <c r="Z787" s="504"/>
      <c r="AA787" s="504"/>
      <c r="AB787" s="504"/>
      <c r="AC787" s="322"/>
      <c r="AD787" s="322"/>
      <c r="AE787" s="322"/>
    </row>
    <row r="788" spans="1:31" x14ac:dyDescent="0.25">
      <c r="A788" s="1138">
        <v>779</v>
      </c>
      <c r="B788" s="1138" t="s">
        <v>50</v>
      </c>
      <c r="C788" s="1012" t="s">
        <v>168</v>
      </c>
      <c r="D788" s="1015" t="s">
        <v>826</v>
      </c>
      <c r="E788" s="1014"/>
      <c r="F788" s="1014"/>
      <c r="G788" s="1013"/>
      <c r="H788" s="1013"/>
      <c r="I788" s="917"/>
      <c r="K788" s="1174"/>
      <c r="L788" s="1022"/>
      <c r="M788" s="1175"/>
      <c r="S788" s="504"/>
      <c r="T788" s="504"/>
      <c r="U788" s="504"/>
      <c r="V788" s="504"/>
      <c r="W788" s="504"/>
      <c r="X788" s="504"/>
      <c r="Y788" s="504"/>
      <c r="Z788" s="504"/>
      <c r="AA788" s="504"/>
      <c r="AB788" s="504"/>
      <c r="AC788" s="322"/>
      <c r="AD788" s="322"/>
      <c r="AE788" s="322"/>
    </row>
    <row r="789" spans="1:31" x14ac:dyDescent="0.25">
      <c r="A789" s="1138">
        <v>780</v>
      </c>
      <c r="B789" s="1138" t="s">
        <v>50</v>
      </c>
      <c r="C789" s="1037" t="s">
        <v>168</v>
      </c>
      <c r="D789" s="946" t="s">
        <v>15</v>
      </c>
      <c r="E789" s="1264">
        <f>Mat03_credits</f>
        <v>3</v>
      </c>
      <c r="F789" s="945"/>
      <c r="G789" s="944" t="s">
        <v>76</v>
      </c>
      <c r="H789" s="1266">
        <f>Mat03_37</f>
        <v>2.4285714285714289E-2</v>
      </c>
      <c r="I789" s="917"/>
      <c r="K789" s="1174"/>
      <c r="L789" s="1022"/>
      <c r="M789" s="1175"/>
      <c r="S789" s="504"/>
      <c r="T789" s="504"/>
      <c r="U789" s="504"/>
      <c r="V789" s="504"/>
      <c r="W789" s="504"/>
      <c r="X789" s="504"/>
      <c r="Y789" s="504"/>
      <c r="Z789" s="504"/>
      <c r="AA789" s="504"/>
      <c r="AB789" s="504"/>
      <c r="AC789" s="322"/>
      <c r="AD789" s="322"/>
      <c r="AE789" s="322"/>
    </row>
    <row r="790" spans="1:31" x14ac:dyDescent="0.25">
      <c r="A790" s="1138">
        <v>781</v>
      </c>
      <c r="B790" s="1138" t="s">
        <v>50</v>
      </c>
      <c r="C790" s="1037" t="s">
        <v>168</v>
      </c>
      <c r="D790" s="972" t="s">
        <v>1011</v>
      </c>
      <c r="E790" s="1265">
        <v>0</v>
      </c>
      <c r="F790" s="941"/>
      <c r="G790" s="940" t="s">
        <v>1010</v>
      </c>
      <c r="H790" s="939" t="s">
        <v>12</v>
      </c>
      <c r="I790" s="917"/>
      <c r="K790" s="1174"/>
      <c r="L790" s="1022"/>
      <c r="M790" s="1175"/>
      <c r="S790" s="504"/>
      <c r="T790" s="504"/>
      <c r="U790" s="504"/>
      <c r="V790" s="504"/>
      <c r="W790" s="504"/>
      <c r="X790" s="504"/>
      <c r="Y790" s="504"/>
      <c r="Z790" s="504"/>
      <c r="AA790" s="504"/>
      <c r="AB790" s="504"/>
      <c r="AC790" s="322"/>
      <c r="AD790" s="322"/>
      <c r="AE790" s="322"/>
    </row>
    <row r="791" spans="1:31" x14ac:dyDescent="0.25">
      <c r="A791" s="1138">
        <v>782</v>
      </c>
      <c r="B791" s="1138" t="s">
        <v>50</v>
      </c>
      <c r="C791" s="1037" t="s">
        <v>168</v>
      </c>
      <c r="E791" s="375" t="s">
        <v>0</v>
      </c>
      <c r="I791" s="917"/>
      <c r="K791" s="1174"/>
      <c r="L791" s="1022"/>
      <c r="M791" s="1175"/>
      <c r="S791" s="504"/>
      <c r="T791" s="504"/>
      <c r="U791" s="504"/>
      <c r="V791" s="504"/>
      <c r="W791" s="504"/>
      <c r="X791" s="504"/>
      <c r="Y791" s="504"/>
      <c r="Z791" s="504"/>
      <c r="AA791" s="504"/>
      <c r="AB791" s="504"/>
      <c r="AC791" s="322"/>
      <c r="AD791" s="322"/>
      <c r="AE791" s="322"/>
    </row>
    <row r="792" spans="1:31" ht="15.75" thickBot="1" x14ac:dyDescent="0.3">
      <c r="A792" s="1138">
        <v>783</v>
      </c>
      <c r="B792" s="1138" t="s">
        <v>50</v>
      </c>
      <c r="C792" s="1037" t="s">
        <v>168</v>
      </c>
      <c r="D792" s="938" t="s">
        <v>1781</v>
      </c>
      <c r="E792" s="937" t="s">
        <v>1008</v>
      </c>
      <c r="I792" s="1032"/>
      <c r="K792" s="1174"/>
      <c r="L792" s="1022"/>
      <c r="M792" s="1175"/>
      <c r="S792" s="504"/>
      <c r="T792" s="504"/>
      <c r="U792" s="504"/>
      <c r="V792" s="504"/>
      <c r="W792" s="504"/>
      <c r="X792" s="504"/>
      <c r="Y792" s="504"/>
      <c r="Z792" s="504"/>
      <c r="AA792" s="504"/>
      <c r="AB792" s="504"/>
      <c r="AC792" s="322"/>
      <c r="AD792" s="322"/>
      <c r="AE792" s="322"/>
    </row>
    <row r="793" spans="1:31" ht="15.75" thickBot="1" x14ac:dyDescent="0.3">
      <c r="A793" s="1138">
        <v>784</v>
      </c>
      <c r="B793" s="1138" t="s">
        <v>50</v>
      </c>
      <c r="C793" s="1037" t="s">
        <v>168</v>
      </c>
      <c r="D793" s="1239" t="s">
        <v>1492</v>
      </c>
      <c r="E793" s="1240" t="s">
        <v>316</v>
      </c>
      <c r="F793" s="1024" t="str">
        <f>IF(OR(E793=AIS_No,E793=AIS_PS),"Pre-requisite: Please select yes","")</f>
        <v>Pre-requisite: Please select yes</v>
      </c>
      <c r="K793" s="1174"/>
      <c r="L793" s="1022"/>
      <c r="M793" s="1175"/>
      <c r="S793" s="62" t="s">
        <v>1015</v>
      </c>
      <c r="T793" s="504"/>
      <c r="U793" s="504"/>
      <c r="V793" s="504"/>
      <c r="W793" s="504"/>
      <c r="X793" s="504"/>
      <c r="Y793" s="504" t="str">
        <f>$X$4</f>
        <v>No</v>
      </c>
      <c r="Z793" s="504"/>
      <c r="AA793" s="504"/>
      <c r="AB793" s="504"/>
      <c r="AC793" s="322"/>
      <c r="AD793" s="322"/>
      <c r="AE793" s="322"/>
    </row>
    <row r="794" spans="1:31" x14ac:dyDescent="0.25">
      <c r="A794" s="1138">
        <v>785</v>
      </c>
      <c r="B794" s="1138" t="s">
        <v>50</v>
      </c>
      <c r="C794" s="1037" t="s">
        <v>168</v>
      </c>
      <c r="I794" s="430"/>
      <c r="J794" s="430"/>
      <c r="K794" s="1174"/>
      <c r="L794" s="1022"/>
      <c r="M794" s="1175"/>
      <c r="S794" s="504"/>
      <c r="T794" s="504"/>
      <c r="U794" s="504"/>
      <c r="V794" s="504"/>
      <c r="W794" s="504"/>
      <c r="X794" s="504"/>
      <c r="Y794" s="504"/>
      <c r="Z794" s="504"/>
      <c r="AA794" s="504"/>
      <c r="AB794" s="504"/>
      <c r="AC794" s="322"/>
      <c r="AD794" s="322"/>
      <c r="AE794" s="322"/>
    </row>
    <row r="795" spans="1:31" ht="15.75" thickBot="1" x14ac:dyDescent="0.3">
      <c r="A795" s="1138">
        <v>786</v>
      </c>
      <c r="B795" s="1138" t="s">
        <v>50</v>
      </c>
      <c r="C795" s="1037" t="s">
        <v>168</v>
      </c>
      <c r="D795" s="938" t="s">
        <v>1782</v>
      </c>
      <c r="E795" s="937" t="s">
        <v>1008</v>
      </c>
      <c r="F795" s="937" t="s">
        <v>1007</v>
      </c>
      <c r="G795" s="937" t="s">
        <v>1006</v>
      </c>
      <c r="H795" s="937" t="s">
        <v>1014</v>
      </c>
      <c r="I795" s="430"/>
      <c r="J795" s="430"/>
      <c r="K795" s="1174"/>
      <c r="L795" s="1022"/>
      <c r="M795" s="1175"/>
      <c r="S795" s="504"/>
      <c r="T795" s="504"/>
      <c r="U795" s="504"/>
      <c r="V795" s="504"/>
      <c r="W795" s="504"/>
      <c r="X795" s="504"/>
      <c r="Y795" s="504"/>
      <c r="Z795" s="504"/>
      <c r="AA795" s="504"/>
      <c r="AB795" s="504"/>
      <c r="AC795" s="322"/>
      <c r="AD795" s="322"/>
      <c r="AE795" s="322"/>
    </row>
    <row r="796" spans="1:31" ht="15.75" thickBot="1" x14ac:dyDescent="0.3">
      <c r="A796" s="1138">
        <v>787</v>
      </c>
      <c r="B796" s="1138" t="s">
        <v>50</v>
      </c>
      <c r="C796" s="1037" t="s">
        <v>168</v>
      </c>
      <c r="D796" s="1239" t="s">
        <v>633</v>
      </c>
      <c r="E796" s="1240" t="s">
        <v>316</v>
      </c>
      <c r="F796" s="1228">
        <f>Poeng!AB136</f>
        <v>1</v>
      </c>
      <c r="G796" s="1228">
        <f>IF(E796=AIS_Yes,F796,0)*IF(E793=AIS_Yes,1,0)</f>
        <v>0</v>
      </c>
      <c r="H796" s="969" t="s">
        <v>14</v>
      </c>
      <c r="I796" s="430"/>
      <c r="J796" s="430"/>
      <c r="K796" s="1174"/>
      <c r="L796" s="1022"/>
      <c r="M796" s="1175"/>
      <c r="S796" s="504"/>
      <c r="T796" s="504"/>
      <c r="U796" s="504"/>
      <c r="V796" s="504"/>
      <c r="W796" s="504"/>
      <c r="X796" s="504"/>
      <c r="Y796" s="504"/>
      <c r="Z796" s="504"/>
      <c r="AA796" s="504"/>
      <c r="AB796" s="504"/>
      <c r="AC796" s="322"/>
      <c r="AD796" s="322"/>
      <c r="AE796" s="322"/>
    </row>
    <row r="797" spans="1:31" x14ac:dyDescent="0.25">
      <c r="A797" s="1138">
        <v>788</v>
      </c>
      <c r="B797" s="1138" t="s">
        <v>50</v>
      </c>
      <c r="C797" s="1037" t="s">
        <v>168</v>
      </c>
      <c r="I797" s="430"/>
      <c r="J797" s="430"/>
      <c r="K797" s="1174"/>
      <c r="L797" s="1022"/>
      <c r="M797" s="1175"/>
      <c r="S797" s="504"/>
      <c r="T797" s="504"/>
      <c r="U797" s="504"/>
      <c r="V797" s="504"/>
      <c r="W797" s="504"/>
      <c r="X797" s="504"/>
      <c r="Y797" s="504"/>
      <c r="Z797" s="504"/>
      <c r="AA797" s="504"/>
      <c r="AB797" s="504"/>
      <c r="AC797" s="322"/>
      <c r="AD797" s="322"/>
      <c r="AE797" s="322"/>
    </row>
    <row r="798" spans="1:31" ht="15.75" thickBot="1" x14ac:dyDescent="0.3">
      <c r="A798" s="1138">
        <v>789</v>
      </c>
      <c r="B798" s="1138" t="s">
        <v>50</v>
      </c>
      <c r="C798" s="1037" t="s">
        <v>168</v>
      </c>
      <c r="D798" s="938" t="s">
        <v>1783</v>
      </c>
      <c r="E798" s="937" t="s">
        <v>1008</v>
      </c>
      <c r="F798" s="937" t="s">
        <v>1007</v>
      </c>
      <c r="G798" s="937" t="s">
        <v>1006</v>
      </c>
      <c r="H798" s="937" t="s">
        <v>1014</v>
      </c>
      <c r="I798" s="430"/>
      <c r="J798" s="430"/>
      <c r="K798" s="1174"/>
      <c r="L798" s="1022"/>
      <c r="M798" s="1175"/>
      <c r="S798" s="504"/>
      <c r="T798" s="504"/>
      <c r="U798" s="504"/>
      <c r="V798" s="504"/>
      <c r="W798" s="504"/>
      <c r="X798" s="504"/>
      <c r="Y798" s="504"/>
      <c r="Z798" s="504"/>
      <c r="AA798" s="504"/>
      <c r="AB798" s="504"/>
      <c r="AC798" s="322"/>
      <c r="AD798" s="322"/>
      <c r="AE798" s="322"/>
    </row>
    <row r="799" spans="1:31" ht="15.75" thickBot="1" x14ac:dyDescent="0.3">
      <c r="A799" s="1138">
        <v>790</v>
      </c>
      <c r="B799" s="1138" t="s">
        <v>50</v>
      </c>
      <c r="C799" s="1037" t="s">
        <v>168</v>
      </c>
      <c r="D799" s="1239" t="s">
        <v>1493</v>
      </c>
      <c r="E799" s="1240" t="s">
        <v>316</v>
      </c>
      <c r="F799" s="1228">
        <f>Poeng!AB137</f>
        <v>2</v>
      </c>
      <c r="G799" s="1228">
        <f>IFERROR(IF(E799=Options!R3,0,IF(E799&gt;14,F799,IF(E799&gt;9,(F799/2),0))),0)*IF(E793=AIS_Yes,1,0)*IF(E796=AIS_No,0,1)</f>
        <v>0</v>
      </c>
      <c r="H799" s="969" t="s">
        <v>14</v>
      </c>
      <c r="I799" s="430"/>
      <c r="J799" s="430"/>
      <c r="K799" s="1174"/>
      <c r="L799" s="1022"/>
      <c r="M799" s="1175"/>
      <c r="S799" s="504"/>
      <c r="T799" s="504"/>
      <c r="U799" s="504"/>
      <c r="V799" s="504"/>
      <c r="W799" s="504"/>
      <c r="X799" s="504"/>
      <c r="Y799" s="504"/>
      <c r="Z799" s="504"/>
      <c r="AA799" s="504"/>
      <c r="AB799" s="504"/>
      <c r="AC799" s="322"/>
      <c r="AD799" s="322"/>
      <c r="AE799" s="322"/>
    </row>
    <row r="800" spans="1:31" x14ac:dyDescent="0.25">
      <c r="A800" s="1138">
        <v>791</v>
      </c>
      <c r="B800" s="1138" t="s">
        <v>50</v>
      </c>
      <c r="C800" s="1037" t="s">
        <v>168</v>
      </c>
      <c r="I800" s="430"/>
      <c r="J800" s="430"/>
      <c r="K800" s="1174"/>
      <c r="L800" s="1022"/>
      <c r="M800" s="1175"/>
      <c r="S800" s="504"/>
      <c r="T800" s="504"/>
      <c r="U800" s="504"/>
      <c r="V800" s="504"/>
      <c r="W800" s="504"/>
      <c r="X800" s="504"/>
      <c r="Y800" s="504"/>
      <c r="Z800" s="504"/>
      <c r="AA800" s="504"/>
      <c r="AB800" s="504"/>
      <c r="AC800" s="322"/>
      <c r="AD800" s="322"/>
      <c r="AE800" s="322"/>
    </row>
    <row r="801" spans="1:31" ht="15.75" thickBot="1" x14ac:dyDescent="0.3">
      <c r="A801" s="1138">
        <v>792</v>
      </c>
      <c r="B801" s="1138" t="s">
        <v>50</v>
      </c>
      <c r="C801" s="1037" t="s">
        <v>168</v>
      </c>
      <c r="D801" s="938" t="s">
        <v>1030</v>
      </c>
      <c r="E801" s="937"/>
      <c r="I801" s="430"/>
      <c r="J801" s="430"/>
      <c r="K801" s="1174"/>
      <c r="L801" s="1022"/>
      <c r="M801" s="1175"/>
      <c r="S801" s="504"/>
      <c r="T801" s="504"/>
      <c r="U801" s="504"/>
      <c r="V801" s="504"/>
      <c r="W801" s="504"/>
      <c r="X801" s="504"/>
      <c r="Y801" s="504"/>
      <c r="Z801" s="504"/>
      <c r="AA801" s="504"/>
      <c r="AB801" s="504"/>
      <c r="AC801" s="322"/>
      <c r="AD801" s="322"/>
      <c r="AE801" s="322"/>
    </row>
    <row r="802" spans="1:31" ht="15.75" thickBot="1" x14ac:dyDescent="0.3">
      <c r="A802" s="1138">
        <v>793</v>
      </c>
      <c r="B802" s="1138" t="s">
        <v>50</v>
      </c>
      <c r="C802" s="1037" t="s">
        <v>168</v>
      </c>
      <c r="D802" s="1239" t="s">
        <v>1638</v>
      </c>
      <c r="E802" s="1328">
        <v>0</v>
      </c>
      <c r="H802" s="1028"/>
      <c r="I802" s="917"/>
      <c r="J802" s="430"/>
      <c r="K802" s="1174"/>
      <c r="L802" s="1022"/>
      <c r="M802" s="1175"/>
      <c r="S802" s="504"/>
      <c r="T802" s="504"/>
      <c r="U802" s="504"/>
      <c r="V802" s="504"/>
      <c r="W802" s="504"/>
      <c r="X802" s="504"/>
      <c r="Y802" s="504"/>
      <c r="Z802" s="504"/>
      <c r="AA802" s="504"/>
      <c r="AB802" s="504"/>
      <c r="AC802" s="322"/>
      <c r="AD802" s="322"/>
      <c r="AE802" s="322"/>
    </row>
    <row r="803" spans="1:31" x14ac:dyDescent="0.25">
      <c r="A803" s="1138">
        <v>794</v>
      </c>
      <c r="B803" s="1138" t="s">
        <v>50</v>
      </c>
      <c r="C803" s="1037" t="s">
        <v>168</v>
      </c>
      <c r="I803" s="430"/>
      <c r="J803" s="430"/>
      <c r="K803" s="1174"/>
      <c r="L803" s="1022"/>
      <c r="M803" s="1175"/>
      <c r="S803" s="504"/>
      <c r="T803" s="504"/>
      <c r="U803" s="504"/>
      <c r="V803" s="504"/>
      <c r="W803" s="504"/>
      <c r="X803" s="504"/>
      <c r="Y803" s="504"/>
      <c r="Z803" s="504"/>
      <c r="AA803" s="504"/>
      <c r="AB803" s="504"/>
      <c r="AC803" s="322"/>
      <c r="AD803" s="322"/>
      <c r="AE803" s="322"/>
    </row>
    <row r="804" spans="1:31" x14ac:dyDescent="0.25">
      <c r="A804" s="1138">
        <v>795</v>
      </c>
      <c r="B804" s="1138" t="s">
        <v>50</v>
      </c>
      <c r="C804" s="1037" t="s">
        <v>168</v>
      </c>
      <c r="D804" s="958" t="s">
        <v>1012</v>
      </c>
      <c r="E804" s="1272">
        <f>G796+G799</f>
        <v>0</v>
      </c>
      <c r="I804" s="917"/>
      <c r="J804" s="430"/>
      <c r="K804" s="1174"/>
      <c r="L804" s="1022"/>
      <c r="M804" s="1175"/>
      <c r="S804" s="504"/>
      <c r="T804" s="504"/>
      <c r="U804" s="504"/>
      <c r="V804" s="504"/>
      <c r="W804" s="504"/>
      <c r="X804" s="504"/>
      <c r="Y804" s="504"/>
      <c r="Z804" s="504"/>
      <c r="AA804" s="504"/>
      <c r="AB804" s="504"/>
      <c r="AC804" s="322"/>
      <c r="AD804" s="322"/>
      <c r="AE804" s="322"/>
    </row>
    <row r="805" spans="1:31" x14ac:dyDescent="0.25">
      <c r="A805" s="1138">
        <v>796</v>
      </c>
      <c r="B805" s="1138" t="s">
        <v>50</v>
      </c>
      <c r="C805" s="1037" t="s">
        <v>168</v>
      </c>
      <c r="D805" s="924" t="s">
        <v>77</v>
      </c>
      <c r="E805" s="1273">
        <f>Mat03_38</f>
        <v>0</v>
      </c>
      <c r="I805" s="430"/>
      <c r="J805" s="430"/>
      <c r="K805" s="1174"/>
      <c r="L805" s="1022"/>
      <c r="M805" s="1175"/>
      <c r="S805" s="504"/>
      <c r="T805" s="504"/>
      <c r="U805" s="504"/>
      <c r="V805" s="504"/>
      <c r="W805" s="504"/>
      <c r="X805" s="504"/>
      <c r="Y805" s="504"/>
      <c r="Z805" s="504"/>
      <c r="AA805" s="504"/>
      <c r="AB805" s="504"/>
      <c r="AC805" s="322"/>
      <c r="AD805" s="322"/>
      <c r="AE805" s="322"/>
    </row>
    <row r="806" spans="1:31" x14ac:dyDescent="0.25">
      <c r="A806" s="1138">
        <v>797</v>
      </c>
      <c r="B806" s="1138" t="s">
        <v>50</v>
      </c>
      <c r="C806" s="1037" t="s">
        <v>168</v>
      </c>
      <c r="D806" s="926" t="s">
        <v>1005</v>
      </c>
      <c r="E806" s="1272" t="s">
        <v>14</v>
      </c>
      <c r="I806" s="430"/>
      <c r="J806" s="430"/>
      <c r="K806" s="1174"/>
      <c r="L806" s="1022"/>
      <c r="M806" s="1175"/>
      <c r="S806" s="504"/>
      <c r="T806" s="504"/>
      <c r="U806" s="504"/>
      <c r="V806" s="504"/>
      <c r="W806" s="504"/>
      <c r="X806" s="504"/>
      <c r="Y806" s="504"/>
      <c r="Z806" s="504"/>
      <c r="AA806" s="504"/>
      <c r="AB806" s="504"/>
      <c r="AC806" s="322"/>
      <c r="AD806" s="322"/>
      <c r="AE806" s="322"/>
    </row>
    <row r="807" spans="1:31" x14ac:dyDescent="0.25">
      <c r="A807" s="1138">
        <v>798</v>
      </c>
      <c r="B807" s="1138" t="s">
        <v>50</v>
      </c>
      <c r="C807" s="1037" t="s">
        <v>168</v>
      </c>
      <c r="D807" s="923" t="s">
        <v>46</v>
      </c>
      <c r="E807" s="1306" t="str">
        <f>VLOOKUP(MIN(Poeng!BD134:BD137,Poeng!BD240),Poeng!$BO$285:$BP$291,2,FALSE)</f>
        <v>Unclassified</v>
      </c>
      <c r="I807" s="430"/>
      <c r="J807" s="430"/>
      <c r="K807" s="1174"/>
      <c r="L807" s="1022"/>
      <c r="M807" s="1175"/>
      <c r="S807" s="504"/>
      <c r="T807" s="504"/>
      <c r="U807" s="504"/>
      <c r="V807" s="504"/>
      <c r="W807" s="504"/>
      <c r="X807" s="504"/>
      <c r="Y807" s="504"/>
      <c r="Z807" s="504"/>
      <c r="AA807" s="504"/>
      <c r="AB807" s="504"/>
      <c r="AC807" s="322"/>
      <c r="AD807" s="322"/>
      <c r="AE807" s="322"/>
    </row>
    <row r="808" spans="1:31" x14ac:dyDescent="0.25">
      <c r="A808" s="1138">
        <v>799</v>
      </c>
      <c r="B808" s="1138" t="s">
        <v>50</v>
      </c>
      <c r="C808" s="1037" t="s">
        <v>168</v>
      </c>
      <c r="I808" s="430"/>
      <c r="J808" s="430"/>
      <c r="K808" s="1174"/>
      <c r="L808" s="1022"/>
      <c r="M808" s="1175"/>
      <c r="S808" s="504"/>
      <c r="T808" s="504"/>
      <c r="U808" s="504"/>
      <c r="V808" s="504"/>
      <c r="W808" s="504"/>
      <c r="X808" s="504"/>
      <c r="Y808" s="504"/>
      <c r="Z808" s="504"/>
      <c r="AA808" s="504"/>
      <c r="AB808" s="504"/>
      <c r="AC808" s="322"/>
      <c r="AD808" s="322"/>
      <c r="AE808" s="322"/>
    </row>
    <row r="809" spans="1:31" x14ac:dyDescent="0.25">
      <c r="A809" s="1138">
        <v>800</v>
      </c>
      <c r="B809" s="1138" t="s">
        <v>50</v>
      </c>
      <c r="C809" s="1037" t="s">
        <v>168</v>
      </c>
      <c r="D809" s="920" t="s">
        <v>1004</v>
      </c>
      <c r="E809" s="920" t="s">
        <v>1003</v>
      </c>
      <c r="F809" s="920" t="str">
        <f>HLOOKUP(C809,'Assessment References'!$H$512:$BG$513,2,FALSE)</f>
        <v/>
      </c>
      <c r="G809" s="919"/>
      <c r="H809" s="918"/>
      <c r="I809" s="430"/>
      <c r="J809" s="430"/>
      <c r="K809" s="1174"/>
      <c r="L809" s="1022"/>
      <c r="M809" s="1175"/>
      <c r="S809" s="504"/>
      <c r="T809" s="504"/>
      <c r="U809" s="504"/>
      <c r="V809" s="504"/>
      <c r="W809" s="504"/>
      <c r="X809" s="504"/>
      <c r="Y809" s="504"/>
      <c r="Z809" s="504"/>
      <c r="AA809" s="504"/>
      <c r="AB809" s="504"/>
      <c r="AC809" s="322"/>
      <c r="AD809" s="322"/>
      <c r="AE809" s="322"/>
    </row>
    <row r="810" spans="1:31" x14ac:dyDescent="0.25">
      <c r="A810" s="1138">
        <v>801</v>
      </c>
      <c r="B810" s="1138" t="s">
        <v>50</v>
      </c>
      <c r="C810" s="1037" t="s">
        <v>168</v>
      </c>
      <c r="D810" s="1539"/>
      <c r="E810" s="1540"/>
      <c r="F810" s="1540"/>
      <c r="G810" s="1540"/>
      <c r="H810" s="1541"/>
      <c r="I810" s="430"/>
      <c r="J810" s="430"/>
      <c r="K810" s="1174"/>
      <c r="L810" s="1022"/>
      <c r="M810" s="1175"/>
      <c r="S810" s="504"/>
      <c r="T810" s="504"/>
      <c r="U810" s="504"/>
      <c r="V810" s="504"/>
      <c r="W810" s="504"/>
      <c r="X810" s="504"/>
      <c r="Y810" s="504"/>
      <c r="Z810" s="504"/>
      <c r="AA810" s="504"/>
      <c r="AB810" s="504"/>
      <c r="AC810" s="322"/>
      <c r="AD810" s="322"/>
      <c r="AE810" s="322"/>
    </row>
    <row r="811" spans="1:31" x14ac:dyDescent="0.25">
      <c r="A811" s="1138">
        <v>802</v>
      </c>
      <c r="B811" s="1138" t="s">
        <v>50</v>
      </c>
      <c r="C811" s="1037" t="s">
        <v>168</v>
      </c>
      <c r="D811" s="1530"/>
      <c r="E811" s="1531"/>
      <c r="F811" s="1531"/>
      <c r="G811" s="1531"/>
      <c r="H811" s="1532"/>
      <c r="I811" s="430"/>
      <c r="J811" s="430"/>
      <c r="K811" s="1174"/>
      <c r="L811" s="1022"/>
      <c r="M811" s="1175"/>
      <c r="S811" s="504"/>
      <c r="T811" s="504"/>
      <c r="U811" s="504"/>
      <c r="V811" s="504"/>
      <c r="W811" s="504"/>
      <c r="X811" s="504"/>
      <c r="Y811" s="504"/>
      <c r="Z811" s="504"/>
      <c r="AA811" s="504"/>
      <c r="AB811" s="504"/>
      <c r="AC811" s="322"/>
      <c r="AD811" s="322"/>
      <c r="AE811" s="322"/>
    </row>
    <row r="812" spans="1:31" x14ac:dyDescent="0.25">
      <c r="A812" s="1138">
        <v>803</v>
      </c>
      <c r="B812" s="1138" t="s">
        <v>50</v>
      </c>
      <c r="C812" s="1037" t="s">
        <v>168</v>
      </c>
      <c r="D812" s="1530"/>
      <c r="E812" s="1531"/>
      <c r="F812" s="1531"/>
      <c r="G812" s="1531"/>
      <c r="H812" s="1532"/>
      <c r="I812" s="430"/>
      <c r="J812" s="430"/>
      <c r="K812" s="1174"/>
      <c r="L812" s="1022"/>
      <c r="M812" s="1175"/>
      <c r="S812" s="504"/>
      <c r="T812" s="504"/>
      <c r="U812" s="504"/>
      <c r="V812" s="504"/>
      <c r="W812" s="504"/>
      <c r="X812" s="504"/>
      <c r="Y812" s="504"/>
      <c r="Z812" s="504"/>
      <c r="AA812" s="504"/>
      <c r="AB812" s="504"/>
      <c r="AC812" s="322"/>
      <c r="AD812" s="322"/>
      <c r="AE812" s="322"/>
    </row>
    <row r="813" spans="1:31" x14ac:dyDescent="0.25">
      <c r="A813" s="1138">
        <v>804</v>
      </c>
      <c r="B813" s="1138" t="s">
        <v>50</v>
      </c>
      <c r="C813" s="1037" t="s">
        <v>168</v>
      </c>
      <c r="D813" s="1533"/>
      <c r="E813" s="1534"/>
      <c r="F813" s="1534"/>
      <c r="G813" s="1534"/>
      <c r="H813" s="1535"/>
      <c r="I813" s="430"/>
      <c r="J813" s="430"/>
      <c r="K813" s="1174"/>
      <c r="L813" s="1022"/>
      <c r="M813" s="1175"/>
      <c r="S813" s="504"/>
      <c r="T813" s="504"/>
      <c r="U813" s="504"/>
      <c r="V813" s="504"/>
      <c r="W813" s="504"/>
      <c r="X813" s="504"/>
      <c r="Y813" s="504"/>
      <c r="Z813" s="504"/>
      <c r="AA813" s="504"/>
      <c r="AB813" s="504"/>
      <c r="AC813" s="322"/>
      <c r="AD813" s="322"/>
      <c r="AE813" s="322"/>
    </row>
    <row r="814" spans="1:31" x14ac:dyDescent="0.25">
      <c r="A814" s="1138">
        <v>805</v>
      </c>
      <c r="B814" s="1138" t="s">
        <v>50</v>
      </c>
      <c r="C814" s="1037" t="s">
        <v>168</v>
      </c>
      <c r="D814" s="1533"/>
      <c r="E814" s="1534"/>
      <c r="F814" s="1534"/>
      <c r="G814" s="1534"/>
      <c r="H814" s="1535"/>
      <c r="I814" s="430"/>
      <c r="J814" s="430"/>
      <c r="K814" s="1174"/>
      <c r="L814" s="1022"/>
      <c r="M814" s="1175"/>
      <c r="S814" s="504"/>
      <c r="T814" s="504"/>
      <c r="U814" s="504"/>
      <c r="V814" s="504"/>
      <c r="W814" s="504"/>
      <c r="X814" s="504"/>
      <c r="Y814" s="504"/>
      <c r="Z814" s="504"/>
      <c r="AA814" s="504"/>
      <c r="AB814" s="504"/>
      <c r="AC814" s="322"/>
      <c r="AD814" s="322"/>
      <c r="AE814" s="322"/>
    </row>
    <row r="815" spans="1:31" x14ac:dyDescent="0.25">
      <c r="A815" s="1138">
        <v>806</v>
      </c>
      <c r="B815" s="1138" t="s">
        <v>50</v>
      </c>
      <c r="C815" s="1037" t="s">
        <v>168</v>
      </c>
      <c r="D815" s="1536"/>
      <c r="E815" s="1537"/>
      <c r="F815" s="1537"/>
      <c r="G815" s="1537"/>
      <c r="H815" s="1538"/>
      <c r="I815" s="430"/>
      <c r="J815" s="430"/>
      <c r="K815" s="1174"/>
      <c r="L815" s="1022"/>
      <c r="M815" s="1175"/>
      <c r="S815" s="504"/>
      <c r="T815" s="504"/>
      <c r="U815" s="504"/>
      <c r="V815" s="504"/>
      <c r="W815" s="504"/>
      <c r="X815" s="504"/>
      <c r="Y815" s="504"/>
      <c r="Z815" s="504"/>
      <c r="AA815" s="504"/>
      <c r="AB815" s="504"/>
      <c r="AC815" s="322"/>
      <c r="AD815" s="322"/>
      <c r="AE815" s="322"/>
    </row>
    <row r="816" spans="1:31" x14ac:dyDescent="0.25">
      <c r="A816" s="1138">
        <v>807</v>
      </c>
      <c r="B816" s="1138" t="s">
        <v>50</v>
      </c>
      <c r="C816" s="1037" t="s">
        <v>168</v>
      </c>
      <c r="D816" s="985"/>
      <c r="E816" s="985"/>
      <c r="F816" s="984"/>
      <c r="G816" s="984"/>
      <c r="H816" s="984"/>
      <c r="I816" s="430"/>
      <c r="J816" s="430"/>
      <c r="K816" s="1174"/>
      <c r="L816" s="1022"/>
      <c r="M816" s="1175"/>
      <c r="S816" s="504"/>
      <c r="T816" s="504"/>
      <c r="U816" s="504"/>
      <c r="V816" s="504"/>
      <c r="W816" s="504"/>
      <c r="X816" s="504"/>
      <c r="Y816" s="504"/>
      <c r="Z816" s="504"/>
      <c r="AA816" s="504"/>
      <c r="AB816" s="504"/>
      <c r="AC816" s="322"/>
      <c r="AD816" s="322"/>
      <c r="AE816" s="322"/>
    </row>
    <row r="817" spans="1:37" x14ac:dyDescent="0.25">
      <c r="A817" s="1138">
        <v>808</v>
      </c>
      <c r="B817" s="1139" t="s">
        <v>50</v>
      </c>
      <c r="C817" s="950" t="s">
        <v>169</v>
      </c>
      <c r="D817" s="1015" t="s">
        <v>351</v>
      </c>
      <c r="E817" s="1014"/>
      <c r="F817" s="1014"/>
      <c r="G817" s="1013"/>
      <c r="H817" s="1013"/>
      <c r="I817" s="430"/>
      <c r="J817" s="430"/>
      <c r="K817" s="1174"/>
      <c r="L817" s="1022"/>
      <c r="M817" s="1175"/>
      <c r="S817" s="62" t="s">
        <v>1045</v>
      </c>
      <c r="T817" s="504"/>
      <c r="U817" s="504"/>
      <c r="V817" s="504"/>
      <c r="W817" s="504"/>
      <c r="X817" s="504"/>
      <c r="Y817" s="504"/>
      <c r="Z817" s="504"/>
      <c r="AA817" s="504"/>
      <c r="AB817" s="504"/>
      <c r="AC817" s="322"/>
      <c r="AD817" s="322"/>
      <c r="AE817" s="322"/>
    </row>
    <row r="818" spans="1:37" x14ac:dyDescent="0.25">
      <c r="A818" s="1138">
        <v>809</v>
      </c>
      <c r="B818" s="1138" t="s">
        <v>50</v>
      </c>
      <c r="C818" s="1037" t="s">
        <v>169</v>
      </c>
      <c r="D818" s="946" t="s">
        <v>15</v>
      </c>
      <c r="E818" s="1264">
        <f>Mat05_credits</f>
        <v>4</v>
      </c>
      <c r="F818" s="945"/>
      <c r="G818" s="944" t="s">
        <v>76</v>
      </c>
      <c r="H818" s="1266">
        <f>Mat05_05</f>
        <v>3.2380952380952385E-2</v>
      </c>
      <c r="I818" s="430"/>
      <c r="J818" s="430"/>
      <c r="K818" s="1174"/>
      <c r="L818" s="1022"/>
      <c r="M818" s="1175"/>
      <c r="S818" s="504"/>
      <c r="T818" s="504"/>
      <c r="U818" s="504"/>
      <c r="V818" s="504"/>
      <c r="W818" s="504"/>
      <c r="X818" s="504"/>
      <c r="Y818" s="504"/>
      <c r="Z818" s="504"/>
      <c r="AA818" s="504"/>
      <c r="AB818" s="504"/>
      <c r="AC818" s="322"/>
      <c r="AD818" s="322"/>
      <c r="AE818" s="322"/>
    </row>
    <row r="819" spans="1:37" x14ac:dyDescent="0.25">
      <c r="A819" s="1138">
        <v>810</v>
      </c>
      <c r="B819" s="1138" t="s">
        <v>50</v>
      </c>
      <c r="C819" s="1037" t="s">
        <v>169</v>
      </c>
      <c r="D819" s="972" t="s">
        <v>1011</v>
      </c>
      <c r="E819" s="1265">
        <v>0</v>
      </c>
      <c r="F819" s="941"/>
      <c r="G819" s="940" t="s">
        <v>1010</v>
      </c>
      <c r="H819" s="1267" t="s">
        <v>12</v>
      </c>
      <c r="I819" s="430"/>
      <c r="J819" s="430"/>
      <c r="K819" s="1174"/>
      <c r="L819" s="1022"/>
      <c r="M819" s="1175"/>
      <c r="S819" s="504"/>
      <c r="T819" s="504"/>
      <c r="U819" s="504"/>
      <c r="V819" s="504"/>
      <c r="W819" s="504"/>
      <c r="X819" s="504"/>
      <c r="Y819" s="504"/>
      <c r="Z819" s="504"/>
      <c r="AA819" s="504"/>
      <c r="AB819" s="504"/>
      <c r="AC819" s="322"/>
      <c r="AD819" s="322"/>
      <c r="AE819" s="322"/>
    </row>
    <row r="820" spans="1:37" x14ac:dyDescent="0.25">
      <c r="A820" s="1138">
        <v>811</v>
      </c>
      <c r="B820" s="1138" t="s">
        <v>50</v>
      </c>
      <c r="C820" s="1037" t="s">
        <v>169</v>
      </c>
      <c r="I820" s="430"/>
      <c r="J820" s="430"/>
      <c r="K820" s="1174"/>
      <c r="L820" s="1022"/>
      <c r="M820" s="1175"/>
      <c r="S820" s="504"/>
      <c r="T820" s="504"/>
      <c r="U820" s="504"/>
      <c r="V820" s="504"/>
      <c r="W820" s="504"/>
      <c r="X820" s="504"/>
      <c r="Y820" s="504"/>
      <c r="Z820" s="504"/>
      <c r="AA820" s="504"/>
      <c r="AB820" s="504"/>
      <c r="AC820" s="322"/>
      <c r="AD820" s="322"/>
      <c r="AE820" s="322"/>
    </row>
    <row r="821" spans="1:37" ht="15.75" thickBot="1" x14ac:dyDescent="0.3">
      <c r="A821" s="1138">
        <v>812</v>
      </c>
      <c r="B821" s="1138" t="s">
        <v>50</v>
      </c>
      <c r="C821" s="1037" t="s">
        <v>169</v>
      </c>
      <c r="D821" s="938" t="s">
        <v>1009</v>
      </c>
      <c r="E821" s="937" t="s">
        <v>1008</v>
      </c>
      <c r="F821" s="937" t="s">
        <v>1007</v>
      </c>
      <c r="G821" s="937" t="s">
        <v>1006</v>
      </c>
      <c r="H821" s="937" t="s">
        <v>1014</v>
      </c>
      <c r="I821" s="430"/>
      <c r="J821" s="430"/>
      <c r="K821" s="1174"/>
      <c r="L821" s="1022"/>
      <c r="M821" s="1175"/>
      <c r="S821" s="504"/>
      <c r="T821" s="504"/>
      <c r="U821" s="504"/>
      <c r="V821" s="504"/>
      <c r="W821" s="504"/>
      <c r="X821" s="504"/>
      <c r="Y821" s="504"/>
      <c r="Z821" s="504"/>
      <c r="AA821" s="504"/>
      <c r="AB821" s="504"/>
      <c r="AC821" s="322"/>
      <c r="AD821" s="322"/>
      <c r="AE821" s="322"/>
    </row>
    <row r="822" spans="1:37" ht="15.75" thickBot="1" x14ac:dyDescent="0.3">
      <c r="A822" s="1138">
        <v>813</v>
      </c>
      <c r="B822" s="1138" t="s">
        <v>50</v>
      </c>
      <c r="C822" s="1037" t="s">
        <v>169</v>
      </c>
      <c r="D822" s="1168" t="str">
        <f>Poeng!E139</f>
        <v>Pre-requisite: risk analysis</v>
      </c>
      <c r="E822" s="1268" t="s">
        <v>316</v>
      </c>
      <c r="F822" s="1223"/>
      <c r="G822" s="1223"/>
      <c r="H822" s="1223" t="s">
        <v>14</v>
      </c>
      <c r="I822" s="1024" t="str">
        <f>IF(OR(E822=AIS_No,E822=AIS_PS),"Pre-requisite: Please select yes","")</f>
        <v>Pre-requisite: Please select yes</v>
      </c>
      <c r="J822" s="430"/>
      <c r="K822" s="1174"/>
      <c r="L822" s="1022"/>
      <c r="M822" s="1175"/>
      <c r="S822" s="846">
        <v>1</v>
      </c>
      <c r="T822" s="846">
        <v>0.5</v>
      </c>
      <c r="U822" s="968">
        <v>1</v>
      </c>
      <c r="V822" s="146" t="str">
        <f>IF($X$4=AIS_Yes,S822,AIS_NA)</f>
        <v>N/A</v>
      </c>
      <c r="W822" s="43" t="str">
        <f>IF($X$4=AIS_Yes,T822,AIS_NA)</f>
        <v>N/A</v>
      </c>
      <c r="X822" s="163" t="str">
        <f>IF($X$4=AIS_Yes,U822,AIS_NA)</f>
        <v>N/A</v>
      </c>
      <c r="Y822" s="967" t="str">
        <f>IF(AND($X$4=AIS_Yes,OR(V822&lt;&gt;AIS_NA,W822&lt;&gt;AIS_NA,X822&lt;&gt;AIS_NA)),AIS_Yes,AIS_No)</f>
        <v>No</v>
      </c>
      <c r="Z822" s="146" t="e">
        <f>AIS_option01</f>
        <v>#NAME?</v>
      </c>
      <c r="AA822" s="43" t="e">
        <f>AIS_option02_50</f>
        <v>#NAME?</v>
      </c>
      <c r="AB822" s="147" t="e">
        <f>AIS_option03</f>
        <v>#NAME?</v>
      </c>
      <c r="AC822" s="966"/>
      <c r="AD822" s="965"/>
      <c r="AE822" s="962" t="str">
        <f>IF(Y822=AIS_Yes,Z822,AIS_NA)</f>
        <v>N/A</v>
      </c>
      <c r="AF822" s="962" t="str">
        <f>IF(Y822=AIS_Yes,AA822,AIS_NA)</f>
        <v>N/A</v>
      </c>
      <c r="AG822" s="964" t="str">
        <f>IF(Y822=AIS_Yes,AB822,AIS_NA)</f>
        <v>N/A</v>
      </c>
      <c r="AH822" s="963" t="str">
        <f>C822</f>
        <v>Mat 05</v>
      </c>
      <c r="AI822" s="1026" t="str">
        <f>D822</f>
        <v>Pre-requisite: risk analysis</v>
      </c>
      <c r="AJ822" s="961" t="str">
        <f>H822</f>
        <v>N/A</v>
      </c>
      <c r="AK822" s="375">
        <f>IF(Y822=AIS_No,1,IF(H822=AE822,V822,IF(H822=AF822,W822,IF(H822=AG822,X822,1))))</f>
        <v>1</v>
      </c>
    </row>
    <row r="823" spans="1:37" x14ac:dyDescent="0.25">
      <c r="A823" s="1138">
        <v>814</v>
      </c>
      <c r="B823" s="1138" t="s">
        <v>50</v>
      </c>
      <c r="C823" s="1037" t="s">
        <v>169</v>
      </c>
      <c r="D823" s="1293" t="str">
        <f>Poeng!E140</f>
        <v>Protect vulnerable parts of the building from damage</v>
      </c>
      <c r="E823" s="1271" t="s">
        <v>316</v>
      </c>
      <c r="F823" s="1274">
        <f>Poeng!AB140</f>
        <v>1</v>
      </c>
      <c r="G823" s="1224">
        <f>IF(E823=AIS_Yes,F823,0)*IF(E822=AIS_Yes,1,0)</f>
        <v>0</v>
      </c>
      <c r="H823" s="1224" t="s">
        <v>14</v>
      </c>
      <c r="I823" s="430"/>
      <c r="J823" s="430"/>
      <c r="K823" s="1174"/>
      <c r="L823" s="1022"/>
      <c r="M823" s="1175"/>
      <c r="S823" s="213"/>
      <c r="T823" s="213"/>
      <c r="U823" s="213"/>
      <c r="V823"/>
      <c r="W823"/>
      <c r="X823"/>
      <c r="Y823" s="504"/>
      <c r="Z823"/>
      <c r="AA823"/>
      <c r="AB823"/>
      <c r="AC823"/>
      <c r="AD823"/>
      <c r="AE823"/>
      <c r="AF823"/>
      <c r="AG823"/>
    </row>
    <row r="824" spans="1:37" x14ac:dyDescent="0.25">
      <c r="A824" s="1138">
        <v>815</v>
      </c>
      <c r="B824" s="1138" t="s">
        <v>50</v>
      </c>
      <c r="C824" s="1037" t="s">
        <v>169</v>
      </c>
      <c r="D824" s="1293" t="str">
        <f>Poeng!E141</f>
        <v xml:space="preserve">Protecting exposed parts of the building from material degradation </v>
      </c>
      <c r="E824" s="1271" t="s">
        <v>316</v>
      </c>
      <c r="F824" s="1302">
        <f>Poeng!AB141</f>
        <v>1</v>
      </c>
      <c r="G824" s="1225">
        <f>IF(E824=AIS_Yes,F824,0)*IF(E822=AIS_Yes,1,0)</f>
        <v>0</v>
      </c>
      <c r="H824" s="1225" t="s">
        <v>14</v>
      </c>
      <c r="I824" s="430"/>
      <c r="J824" s="430"/>
      <c r="K824" s="1174"/>
      <c r="L824" s="1022"/>
      <c r="M824" s="1175"/>
      <c r="S824" s="213"/>
      <c r="T824" s="213"/>
      <c r="U824" s="213"/>
      <c r="V824"/>
      <c r="W824"/>
      <c r="X824"/>
      <c r="Y824" s="504"/>
      <c r="Z824"/>
      <c r="AA824"/>
      <c r="AB824"/>
      <c r="AC824"/>
      <c r="AD824"/>
      <c r="AE824"/>
      <c r="AF824"/>
      <c r="AG824"/>
    </row>
    <row r="825" spans="1:37" x14ac:dyDescent="0.25">
      <c r="A825" s="1138">
        <v>816</v>
      </c>
      <c r="B825" s="1138" t="s">
        <v>50</v>
      </c>
      <c r="C825" s="1037" t="s">
        <v>169</v>
      </c>
      <c r="D825" s="1293" t="str">
        <f>Poeng!E142</f>
        <v>Control plan and moisture measurements</v>
      </c>
      <c r="E825" s="1303" t="s">
        <v>316</v>
      </c>
      <c r="F825" s="1270">
        <f>Poeng!AB142</f>
        <v>1</v>
      </c>
      <c r="G825" s="1225">
        <f>IF(E825=AIS_Yes,F825,0)*IF(E822=AIS_Yes,1,0)</f>
        <v>0</v>
      </c>
      <c r="H825" s="1225" t="s">
        <v>14</v>
      </c>
      <c r="I825" s="430"/>
      <c r="J825" s="430"/>
      <c r="K825" s="1174"/>
      <c r="L825" s="1022"/>
      <c r="M825" s="1175"/>
      <c r="S825" s="213"/>
      <c r="T825" s="213"/>
      <c r="U825" s="213"/>
      <c r="V825"/>
      <c r="W825"/>
      <c r="X825"/>
      <c r="Y825" s="504"/>
      <c r="Z825"/>
      <c r="AA825"/>
      <c r="AB825"/>
      <c r="AC825"/>
      <c r="AD825"/>
      <c r="AE825"/>
      <c r="AF825"/>
      <c r="AG825"/>
    </row>
    <row r="826" spans="1:37" ht="15.75" thickBot="1" x14ac:dyDescent="0.3">
      <c r="A826" s="1138">
        <v>817</v>
      </c>
      <c r="B826" s="1138" t="s">
        <v>50</v>
      </c>
      <c r="C826" s="1037" t="s">
        <v>169</v>
      </c>
      <c r="D826" s="1170" t="str">
        <f>Poeng!E143</f>
        <v>Construction under cover</v>
      </c>
      <c r="E826" s="1275" t="s">
        <v>316</v>
      </c>
      <c r="F826" s="1226">
        <f>Poeng!AB143</f>
        <v>1</v>
      </c>
      <c r="G826" s="1227">
        <f>IF(E826=AIS_Yes,F826,0)*IF(E822=AIS_Yes,1,0)</f>
        <v>0</v>
      </c>
      <c r="H826" s="1227" t="s">
        <v>14</v>
      </c>
      <c r="I826" s="430"/>
      <c r="J826" s="430"/>
      <c r="K826" s="1174"/>
      <c r="L826" s="1022"/>
      <c r="M826" s="1175"/>
      <c r="S826" s="213"/>
      <c r="T826" s="213"/>
      <c r="U826" s="213"/>
      <c r="V826"/>
      <c r="W826"/>
      <c r="X826"/>
      <c r="Y826" s="504"/>
      <c r="Z826"/>
      <c r="AA826"/>
      <c r="AB826"/>
      <c r="AC826"/>
      <c r="AD826"/>
      <c r="AE826"/>
      <c r="AF826"/>
      <c r="AG826"/>
    </row>
    <row r="827" spans="1:37" x14ac:dyDescent="0.25">
      <c r="A827" s="1138">
        <v>818</v>
      </c>
      <c r="B827" s="1138" t="s">
        <v>50</v>
      </c>
      <c r="C827" s="1037" t="s">
        <v>169</v>
      </c>
      <c r="E827" s="959"/>
      <c r="I827" s="430"/>
      <c r="J827" s="430"/>
      <c r="K827" s="1174"/>
      <c r="L827" s="1022"/>
      <c r="M827" s="1175"/>
      <c r="S827" s="504"/>
      <c r="T827" s="504"/>
      <c r="U827" s="504"/>
      <c r="V827" s="504"/>
      <c r="W827" s="504"/>
      <c r="X827" s="504"/>
      <c r="Y827" s="504"/>
      <c r="Z827" s="504"/>
      <c r="AA827" s="504"/>
      <c r="AB827" s="504"/>
      <c r="AC827" s="322"/>
      <c r="AD827" s="322"/>
      <c r="AE827" s="322"/>
    </row>
    <row r="828" spans="1:37" x14ac:dyDescent="0.25">
      <c r="A828" s="1138">
        <v>819</v>
      </c>
      <c r="B828" s="1138" t="s">
        <v>50</v>
      </c>
      <c r="C828" s="1037" t="s">
        <v>169</v>
      </c>
      <c r="D828" s="958" t="s">
        <v>1012</v>
      </c>
      <c r="E828" s="1272">
        <f>G823+G824+G825+G826</f>
        <v>0</v>
      </c>
      <c r="I828" s="917"/>
      <c r="J828" s="430"/>
      <c r="K828" s="1174"/>
      <c r="L828" s="1022"/>
      <c r="M828" s="1175"/>
      <c r="S828" s="504"/>
      <c r="T828" s="504"/>
      <c r="U828" s="504"/>
      <c r="V828" s="504"/>
      <c r="W828" s="504"/>
      <c r="X828" s="504"/>
      <c r="Y828" s="504"/>
      <c r="Z828" s="504"/>
      <c r="AA828" s="504"/>
      <c r="AB828" s="504"/>
      <c r="AC828" s="322"/>
      <c r="AD828" s="322"/>
      <c r="AE828" s="322"/>
    </row>
    <row r="829" spans="1:37" x14ac:dyDescent="0.25">
      <c r="A829" s="1138">
        <v>820</v>
      </c>
      <c r="B829" s="1138" t="s">
        <v>50</v>
      </c>
      <c r="C829" s="1037" t="s">
        <v>169</v>
      </c>
      <c r="D829" s="924" t="s">
        <v>77</v>
      </c>
      <c r="E829" s="1273">
        <f>Mat05_06</f>
        <v>0</v>
      </c>
      <c r="I829" s="430"/>
      <c r="J829" s="430"/>
      <c r="K829" s="1174"/>
      <c r="L829" s="1022"/>
      <c r="M829" s="1175"/>
      <c r="S829" s="504"/>
      <c r="T829" s="504"/>
      <c r="U829" s="504"/>
      <c r="V829" s="504"/>
      <c r="W829" s="504"/>
      <c r="X829" s="504"/>
      <c r="Y829" s="504"/>
      <c r="Z829" s="504"/>
      <c r="AA829" s="504"/>
      <c r="AB829" s="504"/>
      <c r="AC829" s="322"/>
      <c r="AD829" s="322"/>
      <c r="AE829" s="322"/>
    </row>
    <row r="830" spans="1:37" x14ac:dyDescent="0.25">
      <c r="A830" s="1138">
        <v>821</v>
      </c>
      <c r="B830" s="1138" t="s">
        <v>50</v>
      </c>
      <c r="C830" s="1037" t="s">
        <v>169</v>
      </c>
      <c r="D830" s="926" t="s">
        <v>1005</v>
      </c>
      <c r="E830" s="1272" t="s">
        <v>14</v>
      </c>
      <c r="I830" s="430"/>
      <c r="J830" s="430"/>
      <c r="K830" s="1174"/>
      <c r="L830" s="1022"/>
      <c r="M830" s="1175"/>
      <c r="S830" s="504"/>
      <c r="T830" s="504"/>
      <c r="U830" s="504"/>
      <c r="V830" s="504"/>
      <c r="W830" s="504"/>
      <c r="X830" s="504"/>
      <c r="Y830" s="504"/>
      <c r="Z830" s="504"/>
      <c r="AA830" s="504"/>
      <c r="AB830" s="504"/>
      <c r="AC830" s="322"/>
      <c r="AD830" s="322"/>
      <c r="AE830" s="322"/>
    </row>
    <row r="831" spans="1:37" x14ac:dyDescent="0.25">
      <c r="A831" s="1138">
        <v>822</v>
      </c>
      <c r="B831" s="1138" t="s">
        <v>50</v>
      </c>
      <c r="C831" s="1037" t="s">
        <v>169</v>
      </c>
      <c r="D831" s="923" t="s">
        <v>46</v>
      </c>
      <c r="E831" s="1306" t="str">
        <f>VLOOKUP(MIN(Poeng!BD138:BD143),Poeng!$BO$285:$BP$291,2,FALSE)</f>
        <v>Very Good</v>
      </c>
      <c r="I831" s="430"/>
      <c r="J831" s="430"/>
      <c r="K831" s="1174"/>
      <c r="L831" s="1022"/>
      <c r="M831" s="1175"/>
      <c r="S831" s="504"/>
      <c r="T831" s="504"/>
      <c r="U831" s="504"/>
      <c r="V831" s="504"/>
      <c r="W831" s="504"/>
      <c r="X831" s="504"/>
      <c r="Y831" s="504"/>
      <c r="Z831" s="504"/>
      <c r="AA831" s="504"/>
      <c r="AB831" s="504"/>
      <c r="AC831" s="322"/>
      <c r="AD831" s="322"/>
      <c r="AE831" s="322"/>
    </row>
    <row r="832" spans="1:37" x14ac:dyDescent="0.25">
      <c r="A832" s="1138">
        <v>823</v>
      </c>
      <c r="B832" s="1138" t="s">
        <v>50</v>
      </c>
      <c r="C832" s="1037" t="s">
        <v>169</v>
      </c>
      <c r="I832" s="430"/>
      <c r="J832" s="430"/>
      <c r="K832" s="1174"/>
      <c r="L832" s="1022"/>
      <c r="M832" s="1175"/>
      <c r="S832" s="504"/>
      <c r="T832" s="504"/>
      <c r="U832" s="504"/>
      <c r="V832" s="504"/>
      <c r="W832" s="504"/>
      <c r="X832" s="504"/>
      <c r="Y832" s="504"/>
      <c r="Z832" s="504"/>
      <c r="AA832" s="504"/>
      <c r="AB832" s="504"/>
      <c r="AC832" s="322"/>
      <c r="AD832" s="322"/>
      <c r="AE832" s="322"/>
    </row>
    <row r="833" spans="1:31" x14ac:dyDescent="0.25">
      <c r="A833" s="1138">
        <v>824</v>
      </c>
      <c r="B833" s="1138" t="s">
        <v>50</v>
      </c>
      <c r="C833" s="1037" t="s">
        <v>169</v>
      </c>
      <c r="D833" s="920" t="s">
        <v>1004</v>
      </c>
      <c r="E833" s="920" t="s">
        <v>1003</v>
      </c>
      <c r="F833" s="920" t="str">
        <f>HLOOKUP(C833,'Assessment References'!$H$512:$BG$513,2,FALSE)</f>
        <v/>
      </c>
      <c r="G833" s="919"/>
      <c r="H833" s="918"/>
      <c r="I833" s="430"/>
      <c r="J833" s="430"/>
      <c r="K833" s="1174"/>
      <c r="L833" s="1022"/>
      <c r="M833" s="1175"/>
      <c r="S833" s="504"/>
      <c r="T833" s="504"/>
      <c r="U833" s="504"/>
      <c r="V833" s="504"/>
      <c r="W833" s="504"/>
      <c r="X833" s="504"/>
      <c r="Y833" s="504"/>
      <c r="Z833" s="504"/>
      <c r="AA833" s="504"/>
      <c r="AB833" s="504"/>
      <c r="AC833" s="322"/>
      <c r="AD833" s="322"/>
      <c r="AE833" s="322"/>
    </row>
    <row r="834" spans="1:31" x14ac:dyDescent="0.25">
      <c r="A834" s="1138">
        <v>825</v>
      </c>
      <c r="B834" s="1138" t="s">
        <v>50</v>
      </c>
      <c r="C834" s="1037" t="s">
        <v>169</v>
      </c>
      <c r="D834" s="1539"/>
      <c r="E834" s="1540"/>
      <c r="F834" s="1540"/>
      <c r="G834" s="1540"/>
      <c r="H834" s="1541"/>
      <c r="I834" s="430"/>
      <c r="J834" s="430"/>
      <c r="K834" s="1174"/>
      <c r="L834" s="1022"/>
      <c r="M834" s="1175"/>
      <c r="S834" s="504"/>
      <c r="T834" s="504"/>
      <c r="U834" s="504"/>
      <c r="V834" s="504"/>
      <c r="W834" s="504"/>
      <c r="X834" s="504"/>
      <c r="Y834" s="504"/>
      <c r="Z834" s="504"/>
      <c r="AA834" s="504"/>
      <c r="AB834" s="504"/>
      <c r="AC834" s="322"/>
      <c r="AD834" s="322"/>
      <c r="AE834" s="322"/>
    </row>
    <row r="835" spans="1:31" x14ac:dyDescent="0.25">
      <c r="A835" s="1138">
        <v>826</v>
      </c>
      <c r="B835" s="1138" t="s">
        <v>50</v>
      </c>
      <c r="C835" s="1037" t="s">
        <v>169</v>
      </c>
      <c r="D835" s="1530"/>
      <c r="E835" s="1531"/>
      <c r="F835" s="1531"/>
      <c r="G835" s="1531"/>
      <c r="H835" s="1532"/>
      <c r="I835" s="430"/>
      <c r="J835" s="430"/>
      <c r="K835" s="1174"/>
      <c r="L835" s="1022"/>
      <c r="M835" s="1175"/>
      <c r="S835" s="504"/>
      <c r="T835" s="504"/>
      <c r="U835" s="504"/>
      <c r="V835" s="504"/>
      <c r="W835" s="504"/>
      <c r="X835" s="504"/>
      <c r="Y835" s="504"/>
      <c r="Z835" s="504"/>
      <c r="AA835" s="504"/>
      <c r="AB835" s="504"/>
      <c r="AC835" s="322"/>
      <c r="AD835" s="322"/>
      <c r="AE835" s="322"/>
    </row>
    <row r="836" spans="1:31" x14ac:dyDescent="0.25">
      <c r="A836" s="1138">
        <v>827</v>
      </c>
      <c r="B836" s="1138" t="s">
        <v>50</v>
      </c>
      <c r="C836" s="1037" t="s">
        <v>169</v>
      </c>
      <c r="D836" s="1530"/>
      <c r="E836" s="1531"/>
      <c r="F836" s="1531"/>
      <c r="G836" s="1531"/>
      <c r="H836" s="1532"/>
      <c r="I836" s="430"/>
      <c r="J836" s="430"/>
      <c r="K836" s="1174"/>
      <c r="L836" s="1022"/>
      <c r="M836" s="1175"/>
      <c r="S836" s="504"/>
      <c r="T836" s="504"/>
      <c r="U836" s="504"/>
      <c r="V836" s="504"/>
      <c r="W836" s="504"/>
      <c r="X836" s="504"/>
      <c r="Y836" s="504"/>
      <c r="Z836" s="504"/>
      <c r="AA836" s="504"/>
      <c r="AB836" s="504"/>
      <c r="AC836" s="322"/>
      <c r="AD836" s="322"/>
      <c r="AE836" s="322"/>
    </row>
    <row r="837" spans="1:31" x14ac:dyDescent="0.25">
      <c r="A837" s="1138">
        <v>828</v>
      </c>
      <c r="B837" s="1138" t="s">
        <v>50</v>
      </c>
      <c r="C837" s="1037" t="s">
        <v>169</v>
      </c>
      <c r="D837" s="1533"/>
      <c r="E837" s="1534"/>
      <c r="F837" s="1534"/>
      <c r="G837" s="1534"/>
      <c r="H837" s="1535"/>
      <c r="I837" s="430"/>
      <c r="J837" s="430"/>
      <c r="K837" s="1174"/>
      <c r="L837" s="1022"/>
      <c r="M837" s="1175"/>
      <c r="S837" s="504"/>
      <c r="T837" s="504"/>
      <c r="U837" s="504"/>
      <c r="V837" s="504"/>
      <c r="W837" s="504"/>
      <c r="X837" s="504"/>
      <c r="Y837" s="504"/>
      <c r="Z837" s="504"/>
      <c r="AA837" s="504"/>
      <c r="AB837" s="504"/>
      <c r="AC837" s="322"/>
      <c r="AD837" s="322"/>
      <c r="AE837" s="322"/>
    </row>
    <row r="838" spans="1:31" x14ac:dyDescent="0.25">
      <c r="A838" s="1138">
        <v>829</v>
      </c>
      <c r="B838" s="1138" t="s">
        <v>50</v>
      </c>
      <c r="C838" s="1037" t="s">
        <v>169</v>
      </c>
      <c r="D838" s="1533"/>
      <c r="E838" s="1534"/>
      <c r="F838" s="1534"/>
      <c r="G838" s="1534"/>
      <c r="H838" s="1535"/>
      <c r="I838" s="430"/>
      <c r="J838" s="430"/>
      <c r="K838" s="1174"/>
      <c r="L838" s="1022"/>
      <c r="M838" s="1175"/>
      <c r="S838" s="504"/>
      <c r="T838" s="504"/>
      <c r="U838" s="504"/>
      <c r="V838" s="504"/>
      <c r="W838" s="504"/>
      <c r="X838" s="504"/>
      <c r="Y838" s="504"/>
      <c r="Z838" s="504"/>
      <c r="AA838" s="504"/>
      <c r="AB838" s="504"/>
      <c r="AC838" s="322"/>
      <c r="AD838" s="322"/>
      <c r="AE838" s="322"/>
    </row>
    <row r="839" spans="1:31" x14ac:dyDescent="0.25">
      <c r="A839" s="1138">
        <v>830</v>
      </c>
      <c r="B839" s="1138" t="s">
        <v>50</v>
      </c>
      <c r="C839" s="1037" t="s">
        <v>169</v>
      </c>
      <c r="D839" s="1536"/>
      <c r="E839" s="1537"/>
      <c r="F839" s="1537"/>
      <c r="G839" s="1537"/>
      <c r="H839" s="1538"/>
      <c r="I839" s="430"/>
      <c r="J839" s="430"/>
      <c r="K839" s="1174"/>
      <c r="L839" s="1022"/>
      <c r="M839" s="1175"/>
      <c r="S839" s="504"/>
      <c r="T839" s="504"/>
      <c r="U839" s="504"/>
      <c r="V839" s="504"/>
      <c r="W839" s="504"/>
      <c r="X839" s="504"/>
      <c r="Y839" s="504"/>
      <c r="Z839" s="504"/>
      <c r="AA839" s="504"/>
      <c r="AB839" s="504"/>
      <c r="AC839" s="322"/>
      <c r="AD839" s="322"/>
      <c r="AE839" s="322"/>
    </row>
    <row r="840" spans="1:31" x14ac:dyDescent="0.25">
      <c r="A840" s="1138">
        <v>831</v>
      </c>
      <c r="B840" s="1138" t="s">
        <v>50</v>
      </c>
      <c r="C840" s="1037" t="s">
        <v>169</v>
      </c>
      <c r="D840" s="985"/>
      <c r="E840" s="985"/>
      <c r="F840" s="984"/>
      <c r="G840" s="984"/>
      <c r="H840" s="984"/>
      <c r="I840" s="430"/>
      <c r="J840" s="430"/>
      <c r="K840" s="1174"/>
      <c r="L840" s="1022"/>
      <c r="M840" s="1175"/>
      <c r="S840" s="504"/>
      <c r="T840" s="504"/>
      <c r="U840" s="504"/>
      <c r="V840" s="504"/>
      <c r="W840" s="504"/>
      <c r="X840" s="504"/>
      <c r="Y840" s="504"/>
      <c r="Z840" s="504"/>
      <c r="AA840" s="504"/>
      <c r="AB840" s="504"/>
      <c r="AC840" s="322"/>
      <c r="AD840" s="322"/>
      <c r="AE840" s="322"/>
    </row>
    <row r="841" spans="1:31" x14ac:dyDescent="0.25">
      <c r="A841" s="1138">
        <v>832</v>
      </c>
      <c r="B841" s="1139" t="s">
        <v>50</v>
      </c>
      <c r="C841" s="950" t="s">
        <v>170</v>
      </c>
      <c r="D841" s="1015" t="s">
        <v>1496</v>
      </c>
      <c r="E841" s="1014"/>
      <c r="F841" s="1014"/>
      <c r="G841" s="1013"/>
      <c r="H841" s="1013"/>
      <c r="I841" s="430"/>
      <c r="J841" s="430"/>
      <c r="K841" s="1174"/>
      <c r="L841" s="1022"/>
      <c r="M841" s="1175"/>
      <c r="S841" s="504"/>
      <c r="T841" s="504"/>
      <c r="U841" s="504"/>
      <c r="V841" s="504"/>
      <c r="W841" s="504"/>
      <c r="X841" s="504"/>
      <c r="Y841" s="504"/>
      <c r="Z841" s="504"/>
      <c r="AA841" s="504"/>
      <c r="AB841" s="504"/>
      <c r="AC841" s="322"/>
      <c r="AD841" s="322"/>
      <c r="AE841" s="322"/>
    </row>
    <row r="842" spans="1:31" x14ac:dyDescent="0.25">
      <c r="A842" s="1138">
        <v>833</v>
      </c>
      <c r="B842" s="1138" t="s">
        <v>50</v>
      </c>
      <c r="C842" s="1037" t="s">
        <v>170</v>
      </c>
      <c r="D842" s="946" t="s">
        <v>15</v>
      </c>
      <c r="E842" s="1264">
        <f>Mat06_credits</f>
        <v>3</v>
      </c>
      <c r="F842" s="945"/>
      <c r="G842" s="944" t="s">
        <v>76</v>
      </c>
      <c r="H842" s="1266">
        <f>Mat06_05</f>
        <v>2.4285714285714289E-2</v>
      </c>
      <c r="I842" s="430"/>
      <c r="J842" s="430"/>
      <c r="K842" s="1174"/>
      <c r="L842" s="1022"/>
      <c r="M842" s="1175"/>
      <c r="S842" s="504"/>
      <c r="T842" s="504"/>
      <c r="U842" s="504"/>
      <c r="V842" s="504"/>
      <c r="W842" s="504"/>
      <c r="X842" s="504"/>
      <c r="Y842" s="504"/>
      <c r="Z842" s="504"/>
      <c r="AA842" s="504"/>
      <c r="AB842" s="504"/>
      <c r="AC842" s="322"/>
      <c r="AD842" s="322"/>
      <c r="AE842" s="322"/>
    </row>
    <row r="843" spans="1:31" x14ac:dyDescent="0.25">
      <c r="A843" s="1138">
        <v>834</v>
      </c>
      <c r="B843" s="1138" t="s">
        <v>50</v>
      </c>
      <c r="C843" s="1037" t="s">
        <v>170</v>
      </c>
      <c r="D843" s="972" t="s">
        <v>1011</v>
      </c>
      <c r="E843" s="1265">
        <f>Inn09_credits</f>
        <v>1</v>
      </c>
      <c r="F843" s="941"/>
      <c r="G843" s="940" t="s">
        <v>1010</v>
      </c>
      <c r="H843" s="1267" t="s">
        <v>12</v>
      </c>
      <c r="I843" s="430"/>
      <c r="J843" s="430"/>
      <c r="K843" s="1174"/>
      <c r="L843" s="1022"/>
      <c r="M843" s="1175"/>
      <c r="S843" s="504"/>
      <c r="T843" s="504"/>
      <c r="U843" s="504"/>
      <c r="V843" s="504"/>
      <c r="W843" s="504"/>
      <c r="X843" s="504"/>
      <c r="Y843" s="504"/>
      <c r="Z843" s="504"/>
      <c r="AA843" s="504"/>
      <c r="AB843" s="504"/>
      <c r="AC843" s="322"/>
      <c r="AD843" s="322"/>
      <c r="AE843" s="322"/>
    </row>
    <row r="844" spans="1:31" x14ac:dyDescent="0.25">
      <c r="A844" s="1138">
        <v>835</v>
      </c>
      <c r="B844" s="1138" t="s">
        <v>50</v>
      </c>
      <c r="C844" s="1037" t="s">
        <v>170</v>
      </c>
      <c r="I844" s="430"/>
      <c r="J844" s="430"/>
      <c r="K844" s="1174"/>
      <c r="L844" s="1022"/>
      <c r="M844" s="1175"/>
      <c r="S844" s="504"/>
      <c r="T844" s="504"/>
      <c r="U844" s="504"/>
      <c r="V844" s="504"/>
      <c r="W844" s="504"/>
      <c r="X844" s="504"/>
      <c r="Y844" s="504"/>
      <c r="Z844" s="504"/>
      <c r="AA844" s="504"/>
      <c r="AB844" s="504"/>
      <c r="AC844" s="322"/>
      <c r="AD844" s="322"/>
      <c r="AE844" s="322"/>
    </row>
    <row r="845" spans="1:31" ht="15.75" thickBot="1" x14ac:dyDescent="0.3">
      <c r="A845" s="1138">
        <v>836</v>
      </c>
      <c r="B845" s="1138" t="s">
        <v>50</v>
      </c>
      <c r="C845" s="1037" t="s">
        <v>170</v>
      </c>
      <c r="D845" s="938" t="s">
        <v>1009</v>
      </c>
      <c r="E845" s="937" t="s">
        <v>1008</v>
      </c>
      <c r="F845" s="937" t="s">
        <v>1007</v>
      </c>
      <c r="G845" s="937" t="s">
        <v>1006</v>
      </c>
      <c r="H845" s="937" t="s">
        <v>1014</v>
      </c>
      <c r="I845" s="430"/>
      <c r="J845" s="430"/>
      <c r="K845" s="1174"/>
      <c r="L845" s="1022"/>
      <c r="M845" s="1175"/>
      <c r="S845" s="504"/>
      <c r="T845" s="504"/>
      <c r="U845" s="504"/>
      <c r="V845" s="504"/>
      <c r="W845" s="504"/>
      <c r="X845" s="504"/>
      <c r="Y845" s="504"/>
      <c r="Z845" s="504"/>
      <c r="AA845" s="504"/>
      <c r="AB845" s="504"/>
      <c r="AC845" s="322"/>
      <c r="AD845" s="322"/>
      <c r="AE845" s="322"/>
    </row>
    <row r="846" spans="1:31" x14ac:dyDescent="0.25">
      <c r="A846" s="1138">
        <v>837</v>
      </c>
      <c r="B846" s="1138" t="s">
        <v>50</v>
      </c>
      <c r="C846" s="1037" t="s">
        <v>170</v>
      </c>
      <c r="D846" s="1168" t="str">
        <f>Poeng!E250</f>
        <v>Minimum req: mapping for component reuse - criterion 1 (EU taxonomy requirement: criterion 1)</v>
      </c>
      <c r="E846" s="1268" t="s">
        <v>316</v>
      </c>
      <c r="F846" s="1223"/>
      <c r="G846" s="1223"/>
      <c r="H846" s="1224" t="s">
        <v>14</v>
      </c>
      <c r="I846" s="1024" t="str">
        <f>IF(OR(E846=AIS_No,E846=AIS_PS),"Pre-requisite: Please select yes","")</f>
        <v>Pre-requisite: Please select yes</v>
      </c>
      <c r="J846" s="430"/>
      <c r="K846" s="1174"/>
      <c r="L846" s="1022"/>
      <c r="M846" s="1175"/>
      <c r="S846" s="504"/>
      <c r="T846" s="504"/>
      <c r="U846" s="504"/>
      <c r="V846" s="504"/>
      <c r="W846" s="504"/>
      <c r="X846" s="504"/>
      <c r="Y846" s="504"/>
      <c r="Z846" s="504"/>
      <c r="AA846" s="504"/>
      <c r="AB846" s="504"/>
      <c r="AC846" s="322"/>
      <c r="AD846" s="322"/>
      <c r="AE846" s="322"/>
    </row>
    <row r="847" spans="1:31" x14ac:dyDescent="0.25">
      <c r="A847" s="1138">
        <v>838</v>
      </c>
      <c r="B847" s="1138" t="s">
        <v>50</v>
      </c>
      <c r="C847" s="1037" t="s">
        <v>170</v>
      </c>
      <c r="D847" s="1293" t="str">
        <f>Poeng!E145</f>
        <v>Mapping for component reuse and implementation</v>
      </c>
      <c r="E847" s="1303" t="s">
        <v>316</v>
      </c>
      <c r="F847" s="1270">
        <f>Poeng!AB145</f>
        <v>1</v>
      </c>
      <c r="G847" s="1418">
        <f>IF(E847=AIS_Yes,F847,0)</f>
        <v>0</v>
      </c>
      <c r="H847" s="1224" t="s">
        <v>14</v>
      </c>
      <c r="I847" s="1024"/>
      <c r="J847" s="430"/>
      <c r="K847" s="1174"/>
      <c r="L847" s="1022"/>
      <c r="M847" s="1175"/>
      <c r="S847" s="504"/>
      <c r="T847" s="504"/>
      <c r="U847" s="504"/>
      <c r="V847" s="504"/>
      <c r="W847" s="504"/>
      <c r="X847" s="504"/>
      <c r="Y847" s="504"/>
      <c r="Z847" s="504"/>
      <c r="AA847" s="504"/>
      <c r="AB847" s="504"/>
      <c r="AC847" s="322"/>
      <c r="AD847" s="322"/>
      <c r="AE847" s="322"/>
    </row>
    <row r="848" spans="1:31" x14ac:dyDescent="0.25">
      <c r="A848" s="1138">
        <v>839</v>
      </c>
      <c r="B848" s="1138" t="s">
        <v>50</v>
      </c>
      <c r="C848" s="1037" t="s">
        <v>170</v>
      </c>
      <c r="D848" s="1329" t="str">
        <f>Poeng!E146</f>
        <v>Material efficency</v>
      </c>
      <c r="E848" s="1330" t="s">
        <v>316</v>
      </c>
      <c r="F848" s="1331">
        <f>Poeng!AB146</f>
        <v>1</v>
      </c>
      <c r="G848" s="1418">
        <f>IF(E848=AIS_Yes,F848,0)</f>
        <v>0</v>
      </c>
      <c r="H848" s="1224" t="s">
        <v>14</v>
      </c>
      <c r="I848" s="430"/>
      <c r="J848" s="430"/>
      <c r="K848" s="1174"/>
      <c r="L848" s="1022"/>
      <c r="M848" s="1175"/>
      <c r="S848" s="504"/>
      <c r="T848" s="504"/>
      <c r="U848" s="504"/>
      <c r="V848" s="504"/>
      <c r="W848" s="504"/>
      <c r="X848" s="504"/>
      <c r="Y848" s="504"/>
      <c r="Z848" s="504"/>
      <c r="AA848" s="504"/>
      <c r="AB848" s="504"/>
      <c r="AC848" s="322"/>
      <c r="AD848" s="322"/>
      <c r="AE848" s="322"/>
    </row>
    <row r="849" spans="1:31" ht="15.75" thickBot="1" x14ac:dyDescent="0.3">
      <c r="A849" s="1138">
        <v>840</v>
      </c>
      <c r="B849" s="1138" t="s">
        <v>50</v>
      </c>
      <c r="C849" s="1037" t="s">
        <v>170</v>
      </c>
      <c r="D849" s="1305" t="str">
        <f>Poeng!E147</f>
        <v>Reuse of extern building components</v>
      </c>
      <c r="E849" s="1301" t="s">
        <v>316</v>
      </c>
      <c r="F849" s="1227">
        <f>Poeng!AB147</f>
        <v>1</v>
      </c>
      <c r="G849" s="1292">
        <f>IF(E849=AIS_Yes,F849,0)</f>
        <v>0</v>
      </c>
      <c r="H849" s="1292" t="s">
        <v>14</v>
      </c>
      <c r="I849" s="430"/>
      <c r="J849" s="430"/>
      <c r="K849" s="1174"/>
      <c r="L849" s="1022"/>
      <c r="M849" s="1175"/>
      <c r="S849" s="504"/>
      <c r="T849" s="504"/>
      <c r="U849" s="504"/>
      <c r="V849" s="504"/>
      <c r="W849" s="504"/>
      <c r="X849" s="504"/>
      <c r="Y849" s="504"/>
      <c r="Z849" s="504"/>
      <c r="AA849" s="504"/>
      <c r="AB849" s="504"/>
      <c r="AC849" s="322"/>
      <c r="AD849" s="322"/>
      <c r="AE849" s="322"/>
    </row>
    <row r="850" spans="1:31" x14ac:dyDescent="0.25">
      <c r="A850" s="1138">
        <v>841</v>
      </c>
      <c r="B850" s="1138" t="s">
        <v>50</v>
      </c>
      <c r="C850" s="1037" t="s">
        <v>170</v>
      </c>
      <c r="D850" s="430"/>
      <c r="E850" s="430"/>
      <c r="F850" s="430"/>
      <c r="G850" s="430"/>
      <c r="H850" s="430"/>
      <c r="I850" s="430"/>
      <c r="J850" s="430"/>
      <c r="K850" s="1174"/>
      <c r="L850" s="1022"/>
      <c r="M850" s="1175"/>
      <c r="S850" s="504"/>
      <c r="T850" s="504"/>
      <c r="U850" s="504"/>
      <c r="V850" s="504"/>
      <c r="W850" s="504"/>
      <c r="X850" s="504"/>
      <c r="Y850" s="504"/>
      <c r="Z850" s="504"/>
      <c r="AA850" s="504"/>
      <c r="AB850" s="504"/>
      <c r="AC850" s="322"/>
      <c r="AD850" s="322"/>
      <c r="AE850" s="322"/>
    </row>
    <row r="851" spans="1:31" ht="15.75" thickBot="1" x14ac:dyDescent="0.3">
      <c r="A851" s="1138">
        <v>842</v>
      </c>
      <c r="B851" s="1138" t="s">
        <v>50</v>
      </c>
      <c r="C851" s="1037" t="s">
        <v>170</v>
      </c>
      <c r="D851" s="971" t="s">
        <v>1861</v>
      </c>
      <c r="E851" s="937" t="s">
        <v>1008</v>
      </c>
      <c r="F851" s="937" t="s">
        <v>1007</v>
      </c>
      <c r="G851" s="937" t="s">
        <v>1006</v>
      </c>
      <c r="H851" s="937" t="s">
        <v>1014</v>
      </c>
      <c r="I851" s="430"/>
      <c r="J851" s="430"/>
      <c r="K851" s="1174"/>
      <c r="L851" s="1022"/>
      <c r="M851" s="1175"/>
      <c r="S851" s="504"/>
      <c r="T851" s="504"/>
      <c r="U851" s="504"/>
      <c r="V851" s="504"/>
      <c r="W851" s="504"/>
      <c r="X851" s="504"/>
      <c r="Y851" s="504"/>
      <c r="Z851" s="504"/>
      <c r="AA851" s="504"/>
      <c r="AB851" s="504"/>
      <c r="AC851" s="322"/>
      <c r="AD851" s="322"/>
      <c r="AE851" s="322"/>
    </row>
    <row r="852" spans="1:31" ht="15.75" thickBot="1" x14ac:dyDescent="0.3">
      <c r="A852" s="1138">
        <v>843</v>
      </c>
      <c r="B852" s="1138" t="s">
        <v>50</v>
      </c>
      <c r="C852" s="1037" t="s">
        <v>170</v>
      </c>
      <c r="D852" s="1305" t="s">
        <v>849</v>
      </c>
      <c r="E852" s="1301" t="s">
        <v>316</v>
      </c>
      <c r="F852" s="1226">
        <f>Inn09_credits</f>
        <v>1</v>
      </c>
      <c r="G852" s="1226">
        <f>IF(E852=AIS_Yes,F852,0)</f>
        <v>0</v>
      </c>
      <c r="H852" s="1226" t="s">
        <v>14</v>
      </c>
      <c r="I852" s="430"/>
      <c r="J852" s="430"/>
      <c r="K852" s="1174"/>
      <c r="L852" s="1022"/>
      <c r="M852" s="1175"/>
      <c r="S852" s="504"/>
      <c r="T852" s="504"/>
      <c r="U852" s="504"/>
      <c r="V852" s="504"/>
      <c r="W852" s="504"/>
      <c r="X852" s="504"/>
      <c r="Y852" s="504"/>
      <c r="Z852" s="504"/>
      <c r="AA852" s="504"/>
      <c r="AB852" s="504"/>
      <c r="AC852" s="322"/>
      <c r="AD852" s="322"/>
      <c r="AE852" s="322"/>
    </row>
    <row r="853" spans="1:31" x14ac:dyDescent="0.25">
      <c r="A853" s="1138">
        <v>844</v>
      </c>
      <c r="B853" s="1138" t="s">
        <v>50</v>
      </c>
      <c r="C853" s="1037" t="s">
        <v>170</v>
      </c>
      <c r="I853" s="430"/>
      <c r="J853" s="430"/>
      <c r="K853" s="1174"/>
      <c r="L853" s="1022"/>
      <c r="M853" s="1175"/>
      <c r="S853" s="504"/>
      <c r="T853" s="504"/>
      <c r="U853" s="504"/>
      <c r="V853" s="504"/>
      <c r="W853" s="504"/>
      <c r="X853" s="504"/>
      <c r="Y853" s="504"/>
      <c r="Z853" s="504"/>
      <c r="AA853" s="504"/>
      <c r="AB853" s="504"/>
      <c r="AC853" s="322"/>
      <c r="AD853" s="322"/>
      <c r="AE853" s="322"/>
    </row>
    <row r="854" spans="1:31" ht="15.75" thickBot="1" x14ac:dyDescent="0.3">
      <c r="A854" s="1138">
        <v>845</v>
      </c>
      <c r="B854" s="1138" t="s">
        <v>50</v>
      </c>
      <c r="C854" s="1037" t="s">
        <v>170</v>
      </c>
      <c r="D854" s="938" t="s">
        <v>1639</v>
      </c>
      <c r="E854" s="937" t="s">
        <v>1684</v>
      </c>
      <c r="I854" s="430"/>
      <c r="J854" s="430"/>
      <c r="K854" s="1174"/>
      <c r="L854" s="1022"/>
      <c r="M854" s="1175"/>
      <c r="S854" s="504"/>
      <c r="T854" s="504"/>
      <c r="U854" s="504"/>
      <c r="V854" s="504"/>
      <c r="W854" s="504"/>
      <c r="X854" s="504"/>
      <c r="Y854" s="504"/>
      <c r="Z854" s="504"/>
      <c r="AA854" s="504"/>
      <c r="AB854" s="504"/>
      <c r="AC854" s="322"/>
      <c r="AD854" s="322"/>
      <c r="AE854" s="322"/>
    </row>
    <row r="855" spans="1:31" x14ac:dyDescent="0.25">
      <c r="A855" s="1138">
        <v>846</v>
      </c>
      <c r="B855" s="1138" t="s">
        <v>50</v>
      </c>
      <c r="C855" s="1037" t="s">
        <v>170</v>
      </c>
      <c r="D855" s="1168" t="s">
        <v>1640</v>
      </c>
      <c r="E855" s="1323" t="s">
        <v>316</v>
      </c>
      <c r="I855" s="430"/>
      <c r="J855" s="430"/>
      <c r="K855" s="1174"/>
      <c r="L855" s="1022"/>
      <c r="M855" s="1175"/>
      <c r="S855" s="504"/>
      <c r="T855" s="504"/>
      <c r="U855" s="504"/>
      <c r="V855" s="504"/>
      <c r="W855" s="504"/>
      <c r="X855" s="504"/>
      <c r="Y855" s="504"/>
      <c r="Z855" s="504"/>
      <c r="AA855" s="504"/>
      <c r="AB855" s="504"/>
      <c r="AC855" s="322"/>
      <c r="AD855" s="322"/>
      <c r="AE855" s="322"/>
    </row>
    <row r="856" spans="1:31" x14ac:dyDescent="0.25">
      <c r="A856" s="1138">
        <v>847</v>
      </c>
      <c r="B856" s="1138" t="s">
        <v>50</v>
      </c>
      <c r="C856" s="1037" t="s">
        <v>170</v>
      </c>
      <c r="D856" s="1293" t="s">
        <v>1641</v>
      </c>
      <c r="E856" s="1324" t="s">
        <v>316</v>
      </c>
      <c r="I856" s="430"/>
      <c r="J856" s="430"/>
      <c r="K856" s="1174"/>
      <c r="L856" s="1022"/>
      <c r="M856" s="1175"/>
      <c r="S856" s="504"/>
      <c r="T856" s="504"/>
      <c r="U856" s="504"/>
      <c r="V856" s="504"/>
      <c r="W856" s="504"/>
      <c r="X856" s="504"/>
      <c r="Y856" s="504"/>
      <c r="Z856" s="504"/>
      <c r="AA856" s="504"/>
      <c r="AB856" s="504"/>
      <c r="AC856" s="322"/>
      <c r="AD856" s="322"/>
      <c r="AE856" s="322"/>
    </row>
    <row r="857" spans="1:31" x14ac:dyDescent="0.25">
      <c r="A857" s="1138">
        <v>848</v>
      </c>
      <c r="B857" s="1138" t="s">
        <v>50</v>
      </c>
      <c r="C857" s="1037" t="s">
        <v>170</v>
      </c>
      <c r="D857" s="1293" t="s">
        <v>1642</v>
      </c>
      <c r="E857" s="1324" t="s">
        <v>316</v>
      </c>
      <c r="I857" s="430"/>
      <c r="J857" s="430"/>
      <c r="K857" s="1174"/>
      <c r="L857" s="1022"/>
      <c r="M857" s="1175"/>
      <c r="S857" s="504"/>
      <c r="T857" s="504"/>
      <c r="U857" s="504"/>
      <c r="V857" s="504"/>
      <c r="W857" s="504"/>
      <c r="X857" s="504"/>
      <c r="Y857" s="504"/>
      <c r="Z857" s="504"/>
      <c r="AA857" s="504"/>
      <c r="AB857" s="504"/>
      <c r="AC857" s="322"/>
      <c r="AD857" s="322"/>
      <c r="AE857" s="322"/>
    </row>
    <row r="858" spans="1:31" x14ac:dyDescent="0.25">
      <c r="A858" s="1138">
        <v>849</v>
      </c>
      <c r="B858" s="1138" t="s">
        <v>50</v>
      </c>
      <c r="C858" s="1037" t="s">
        <v>170</v>
      </c>
      <c r="D858" s="1293" t="s">
        <v>1643</v>
      </c>
      <c r="E858" s="1324" t="s">
        <v>316</v>
      </c>
      <c r="I858" s="430"/>
      <c r="J858" s="430"/>
      <c r="K858" s="1174"/>
      <c r="L858" s="1022"/>
      <c r="M858" s="1175"/>
      <c r="S858" s="504"/>
      <c r="T858" s="504"/>
      <c r="U858" s="504"/>
      <c r="V858" s="504"/>
      <c r="W858" s="504"/>
      <c r="X858" s="504"/>
      <c r="Y858" s="504"/>
      <c r="Z858" s="504"/>
      <c r="AA858" s="504"/>
      <c r="AB858" s="504"/>
      <c r="AC858" s="322"/>
      <c r="AD858" s="322"/>
      <c r="AE858" s="322"/>
    </row>
    <row r="859" spans="1:31" ht="15.75" thickBot="1" x14ac:dyDescent="0.3">
      <c r="A859" s="1138">
        <v>850</v>
      </c>
      <c r="B859" s="1138" t="s">
        <v>50</v>
      </c>
      <c r="C859" s="1037" t="s">
        <v>170</v>
      </c>
      <c r="D859" s="1002" t="s">
        <v>1644</v>
      </c>
      <c r="E859" s="1326" t="s">
        <v>316</v>
      </c>
      <c r="I859" s="430"/>
      <c r="J859" s="430"/>
      <c r="K859" s="1174"/>
      <c r="L859" s="1022"/>
      <c r="M859" s="1175"/>
      <c r="S859" s="504"/>
      <c r="T859" s="504"/>
      <c r="U859" s="504"/>
      <c r="V859" s="504"/>
      <c r="W859" s="504"/>
      <c r="X859" s="504"/>
      <c r="Y859" s="504"/>
      <c r="Z859" s="504"/>
      <c r="AA859" s="504"/>
      <c r="AB859" s="504"/>
      <c r="AC859" s="322"/>
      <c r="AD859" s="322"/>
      <c r="AE859" s="322"/>
    </row>
    <row r="860" spans="1:31" x14ac:dyDescent="0.25">
      <c r="A860" s="1138">
        <v>851</v>
      </c>
      <c r="B860" s="1138" t="s">
        <v>50</v>
      </c>
      <c r="C860" s="1037" t="s">
        <v>170</v>
      </c>
      <c r="I860" s="430"/>
      <c r="J860" s="430"/>
      <c r="K860" s="1174"/>
      <c r="L860" s="1022"/>
      <c r="M860" s="1175"/>
      <c r="S860" s="504"/>
      <c r="T860" s="504"/>
      <c r="U860" s="504"/>
      <c r="V860" s="504"/>
      <c r="W860" s="504"/>
      <c r="X860" s="504"/>
      <c r="Y860" s="504"/>
      <c r="Z860" s="504"/>
      <c r="AA860" s="504"/>
      <c r="AB860" s="504"/>
      <c r="AC860" s="322"/>
      <c r="AD860" s="322"/>
      <c r="AE860" s="322"/>
    </row>
    <row r="861" spans="1:31" ht="15.75" thickBot="1" x14ac:dyDescent="0.3">
      <c r="A861" s="1138">
        <v>852</v>
      </c>
      <c r="B861" s="1138" t="s">
        <v>50</v>
      </c>
      <c r="C861" s="1037" t="s">
        <v>170</v>
      </c>
      <c r="D861" s="938" t="s">
        <v>1645</v>
      </c>
      <c r="E861" s="937" t="s">
        <v>1684</v>
      </c>
      <c r="I861" s="430"/>
      <c r="J861" s="430"/>
      <c r="K861" s="1174"/>
      <c r="L861" s="1022"/>
      <c r="M861" s="1175"/>
      <c r="S861" s="504"/>
      <c r="T861" s="504"/>
      <c r="U861" s="504"/>
      <c r="V861" s="504"/>
      <c r="W861" s="504"/>
      <c r="X861" s="504"/>
      <c r="Y861" s="504"/>
      <c r="Z861" s="504"/>
      <c r="AA861" s="504"/>
      <c r="AB861" s="504"/>
      <c r="AC861" s="322"/>
      <c r="AD861" s="322"/>
      <c r="AE861" s="322"/>
    </row>
    <row r="862" spans="1:31" x14ac:dyDescent="0.25">
      <c r="A862" s="1138">
        <v>853</v>
      </c>
      <c r="B862" s="1138" t="s">
        <v>50</v>
      </c>
      <c r="C862" s="1037" t="s">
        <v>170</v>
      </c>
      <c r="D862" s="1168" t="s">
        <v>1640</v>
      </c>
      <c r="E862" s="1323" t="s">
        <v>316</v>
      </c>
      <c r="I862" s="430"/>
      <c r="J862" s="430"/>
      <c r="K862" s="1174"/>
      <c r="L862" s="1022"/>
      <c r="M862" s="1175"/>
      <c r="S862" s="504"/>
      <c r="T862" s="504"/>
      <c r="U862" s="504"/>
      <c r="V862" s="504"/>
      <c r="W862" s="504"/>
      <c r="X862" s="504"/>
      <c r="Y862" s="504"/>
      <c r="Z862" s="504"/>
      <c r="AA862" s="504"/>
      <c r="AB862" s="504"/>
      <c r="AC862" s="322"/>
      <c r="AD862" s="322"/>
      <c r="AE862" s="322"/>
    </row>
    <row r="863" spans="1:31" ht="15.75" thickBot="1" x14ac:dyDescent="0.3">
      <c r="A863" s="1138">
        <v>854</v>
      </c>
      <c r="B863" s="1138" t="s">
        <v>50</v>
      </c>
      <c r="C863" s="1037" t="s">
        <v>170</v>
      </c>
      <c r="D863" s="1002" t="s">
        <v>1641</v>
      </c>
      <c r="E863" s="1326" t="s">
        <v>316</v>
      </c>
      <c r="I863" s="430"/>
      <c r="J863" s="430"/>
      <c r="K863" s="1174"/>
      <c r="L863" s="1022"/>
      <c r="M863" s="1175"/>
      <c r="S863" s="504"/>
      <c r="T863" s="504"/>
      <c r="U863" s="504"/>
      <c r="V863" s="504"/>
      <c r="W863" s="504"/>
      <c r="X863" s="504"/>
      <c r="Y863" s="504"/>
      <c r="Z863" s="504"/>
      <c r="AA863" s="504"/>
      <c r="AB863" s="504"/>
      <c r="AC863" s="322"/>
      <c r="AD863" s="322"/>
      <c r="AE863" s="322"/>
    </row>
    <row r="864" spans="1:31" x14ac:dyDescent="0.25">
      <c r="A864" s="1138">
        <v>855</v>
      </c>
      <c r="B864" s="1138" t="s">
        <v>50</v>
      </c>
      <c r="C864" s="1037" t="s">
        <v>170</v>
      </c>
      <c r="I864" s="430"/>
      <c r="J864" s="430"/>
      <c r="K864" s="1174"/>
      <c r="L864" s="1022"/>
      <c r="M864" s="1175"/>
      <c r="S864" s="504"/>
      <c r="T864" s="504"/>
      <c r="U864" s="504"/>
      <c r="V864" s="504"/>
      <c r="W864" s="504"/>
      <c r="X864" s="504"/>
      <c r="Y864" s="504"/>
      <c r="Z864" s="504"/>
      <c r="AA864" s="504"/>
      <c r="AB864" s="504"/>
      <c r="AC864" s="322"/>
      <c r="AD864" s="322"/>
      <c r="AE864" s="322"/>
    </row>
    <row r="865" spans="1:31" x14ac:dyDescent="0.25">
      <c r="A865" s="1138">
        <v>856</v>
      </c>
      <c r="B865" s="1138" t="s">
        <v>50</v>
      </c>
      <c r="C865" s="1037" t="s">
        <v>170</v>
      </c>
      <c r="D865" s="958" t="s">
        <v>1012</v>
      </c>
      <c r="E865" s="1272">
        <f>G847+G848+G849</f>
        <v>0</v>
      </c>
      <c r="I865" s="917"/>
      <c r="J865" s="430"/>
      <c r="K865" s="1174"/>
      <c r="L865" s="1022"/>
      <c r="M865" s="1175"/>
      <c r="S865" s="504"/>
      <c r="T865" s="504"/>
      <c r="U865" s="504"/>
      <c r="V865" s="504"/>
      <c r="W865" s="504"/>
      <c r="X865" s="504"/>
      <c r="Y865" s="504"/>
      <c r="Z865" s="504"/>
      <c r="AA865" s="504"/>
      <c r="AB865" s="504"/>
      <c r="AC865" s="322"/>
      <c r="AD865" s="322"/>
      <c r="AE865" s="322"/>
    </row>
    <row r="866" spans="1:31" x14ac:dyDescent="0.25">
      <c r="A866" s="1138">
        <v>857</v>
      </c>
      <c r="B866" s="1138" t="s">
        <v>50</v>
      </c>
      <c r="C866" s="1037" t="s">
        <v>170</v>
      </c>
      <c r="D866" s="924" t="s">
        <v>77</v>
      </c>
      <c r="E866" s="1273">
        <f>Mat06_cont</f>
        <v>0</v>
      </c>
      <c r="I866" s="430"/>
      <c r="J866" s="430"/>
      <c r="K866" s="1174"/>
      <c r="L866" s="1022"/>
      <c r="M866" s="1175"/>
      <c r="S866" s="504"/>
      <c r="T866" s="504"/>
      <c r="U866" s="504"/>
      <c r="V866" s="504"/>
      <c r="W866" s="504"/>
      <c r="X866" s="504"/>
      <c r="Y866" s="504"/>
      <c r="Z866" s="504"/>
      <c r="AA866" s="504"/>
      <c r="AB866" s="504"/>
      <c r="AC866" s="322"/>
      <c r="AD866" s="322"/>
      <c r="AE866" s="322"/>
    </row>
    <row r="867" spans="1:31" x14ac:dyDescent="0.25">
      <c r="A867" s="1138">
        <v>858</v>
      </c>
      <c r="B867" s="1138" t="s">
        <v>50</v>
      </c>
      <c r="C867" s="1037" t="s">
        <v>170</v>
      </c>
      <c r="D867" s="926" t="s">
        <v>1005</v>
      </c>
      <c r="E867" s="1272">
        <f>G852</f>
        <v>0</v>
      </c>
      <c r="I867" s="430"/>
      <c r="J867" s="430"/>
      <c r="K867" s="1174"/>
      <c r="L867" s="1022"/>
      <c r="M867" s="1175"/>
      <c r="S867" s="504"/>
      <c r="T867" s="504"/>
      <c r="U867" s="504"/>
      <c r="V867" s="504"/>
      <c r="W867" s="504"/>
      <c r="X867" s="504"/>
      <c r="Y867" s="504"/>
      <c r="Z867" s="504"/>
      <c r="AA867" s="504"/>
      <c r="AB867" s="504"/>
      <c r="AC867" s="322"/>
      <c r="AD867" s="322"/>
      <c r="AE867" s="322"/>
    </row>
    <row r="868" spans="1:31" x14ac:dyDescent="0.25">
      <c r="A868" s="1138">
        <v>859</v>
      </c>
      <c r="B868" s="1138" t="s">
        <v>50</v>
      </c>
      <c r="C868" s="1037" t="s">
        <v>170</v>
      </c>
      <c r="D868" s="923" t="s">
        <v>46</v>
      </c>
      <c r="E868" s="1290" t="str">
        <f>VLOOKUP(MIN(Poeng!BD144:BD147,Poeng!BD250),Poeng!$BO$285:$BP$291,2,FALSE)</f>
        <v>Unclassified</v>
      </c>
      <c r="I868" s="430"/>
      <c r="J868" s="430"/>
      <c r="K868" s="1174"/>
      <c r="L868" s="1022"/>
      <c r="M868" s="1175"/>
      <c r="S868" s="504"/>
      <c r="T868" s="504"/>
      <c r="U868" s="504"/>
      <c r="V868" s="504"/>
      <c r="W868" s="504"/>
      <c r="X868" s="504"/>
      <c r="Y868" s="504"/>
      <c r="Z868" s="504"/>
      <c r="AA868" s="504"/>
      <c r="AB868" s="504"/>
      <c r="AC868" s="322"/>
      <c r="AD868" s="322"/>
      <c r="AE868" s="322"/>
    </row>
    <row r="869" spans="1:31" x14ac:dyDescent="0.25">
      <c r="A869" s="1138">
        <v>860</v>
      </c>
      <c r="B869" s="1138" t="s">
        <v>50</v>
      </c>
      <c r="C869" s="1037" t="s">
        <v>170</v>
      </c>
      <c r="I869" s="430"/>
      <c r="J869" s="430"/>
      <c r="K869" s="1174"/>
      <c r="L869" s="1022"/>
      <c r="M869" s="1175"/>
      <c r="S869" s="504"/>
      <c r="T869" s="504"/>
      <c r="U869" s="504"/>
      <c r="V869" s="504"/>
      <c r="W869" s="504"/>
      <c r="X869" s="504"/>
      <c r="Y869" s="504"/>
      <c r="Z869" s="504"/>
      <c r="AA869" s="504"/>
      <c r="AB869" s="504"/>
      <c r="AC869" s="322"/>
      <c r="AD869" s="322"/>
      <c r="AE869" s="322"/>
    </row>
    <row r="870" spans="1:31" x14ac:dyDescent="0.25">
      <c r="A870" s="1138">
        <v>861</v>
      </c>
      <c r="B870" s="1138" t="s">
        <v>50</v>
      </c>
      <c r="C870" s="1037" t="s">
        <v>170</v>
      </c>
      <c r="D870" s="920" t="s">
        <v>1004</v>
      </c>
      <c r="E870" s="920" t="s">
        <v>1003</v>
      </c>
      <c r="F870" s="920" t="str">
        <f>HLOOKUP(C870,'Assessment References'!$H$512:$BG$513,2,FALSE)</f>
        <v/>
      </c>
      <c r="G870" s="919"/>
      <c r="H870" s="918"/>
      <c r="I870" s="430"/>
      <c r="J870" s="430"/>
      <c r="K870" s="1174"/>
      <c r="L870" s="1022"/>
      <c r="M870" s="1175"/>
      <c r="S870" s="504"/>
      <c r="T870" s="504"/>
      <c r="U870" s="504"/>
      <c r="V870" s="504"/>
      <c r="W870" s="504"/>
      <c r="X870" s="504"/>
      <c r="Y870" s="504"/>
      <c r="Z870" s="504"/>
      <c r="AA870" s="504"/>
      <c r="AB870" s="504"/>
      <c r="AC870" s="322"/>
      <c r="AD870" s="322"/>
      <c r="AE870" s="322"/>
    </row>
    <row r="871" spans="1:31" x14ac:dyDescent="0.25">
      <c r="A871" s="1138">
        <v>862</v>
      </c>
      <c r="B871" s="1138" t="s">
        <v>50</v>
      </c>
      <c r="C871" s="1037" t="s">
        <v>170</v>
      </c>
      <c r="D871" s="1542"/>
      <c r="E871" s="1543"/>
      <c r="F871" s="1543"/>
      <c r="G871" s="1543"/>
      <c r="H871" s="1544"/>
      <c r="I871" s="430"/>
      <c r="J871" s="430"/>
      <c r="K871" s="1174"/>
      <c r="L871" s="1022"/>
      <c r="M871" s="1175"/>
      <c r="S871" s="504"/>
      <c r="T871" s="504"/>
      <c r="U871" s="504"/>
      <c r="V871" s="504"/>
      <c r="W871" s="504"/>
      <c r="X871" s="504"/>
      <c r="Y871" s="504"/>
      <c r="Z871" s="504"/>
      <c r="AA871" s="504"/>
      <c r="AB871" s="504"/>
      <c r="AC871" s="322"/>
      <c r="AD871" s="322"/>
      <c r="AE871" s="322"/>
    </row>
    <row r="872" spans="1:31" x14ac:dyDescent="0.25">
      <c r="A872" s="1138">
        <v>863</v>
      </c>
      <c r="B872" s="1138" t="s">
        <v>50</v>
      </c>
      <c r="C872" s="1037" t="s">
        <v>170</v>
      </c>
      <c r="D872" s="1530"/>
      <c r="E872" s="1531"/>
      <c r="F872" s="1531"/>
      <c r="G872" s="1531"/>
      <c r="H872" s="1532"/>
      <c r="I872" s="430"/>
      <c r="J872" s="430"/>
      <c r="K872" s="1174"/>
      <c r="L872" s="1022"/>
      <c r="M872" s="1175"/>
      <c r="S872" s="504"/>
      <c r="T872" s="504"/>
      <c r="U872" s="504"/>
      <c r="V872" s="504"/>
      <c r="W872" s="504"/>
      <c r="X872" s="504"/>
      <c r="Y872" s="504"/>
      <c r="Z872" s="504"/>
      <c r="AA872" s="504"/>
      <c r="AB872" s="504"/>
      <c r="AC872" s="322"/>
      <c r="AD872" s="322"/>
      <c r="AE872" s="322"/>
    </row>
    <row r="873" spans="1:31" x14ac:dyDescent="0.25">
      <c r="A873" s="1138">
        <v>864</v>
      </c>
      <c r="B873" s="1138" t="s">
        <v>50</v>
      </c>
      <c r="C873" s="1037" t="s">
        <v>170</v>
      </c>
      <c r="D873" s="1530"/>
      <c r="E873" s="1531"/>
      <c r="F873" s="1531"/>
      <c r="G873" s="1531"/>
      <c r="H873" s="1532"/>
      <c r="I873" s="430"/>
      <c r="J873" s="430"/>
      <c r="K873" s="1174"/>
      <c r="L873" s="1022"/>
      <c r="M873" s="1175"/>
      <c r="S873" s="504"/>
      <c r="T873" s="504"/>
      <c r="U873" s="504"/>
      <c r="V873" s="504"/>
      <c r="W873" s="504"/>
      <c r="X873" s="504"/>
      <c r="Y873" s="504"/>
      <c r="Z873" s="504"/>
      <c r="AA873" s="504"/>
      <c r="AB873" s="504"/>
      <c r="AC873" s="322"/>
      <c r="AD873" s="322"/>
      <c r="AE873" s="322"/>
    </row>
    <row r="874" spans="1:31" x14ac:dyDescent="0.25">
      <c r="A874" s="1138">
        <v>865</v>
      </c>
      <c r="B874" s="1138" t="s">
        <v>50</v>
      </c>
      <c r="C874" s="1037" t="s">
        <v>170</v>
      </c>
      <c r="D874" s="1533"/>
      <c r="E874" s="1534"/>
      <c r="F874" s="1534"/>
      <c r="G874" s="1534"/>
      <c r="H874" s="1535"/>
      <c r="I874" s="430"/>
      <c r="J874" s="430"/>
      <c r="K874" s="1174"/>
      <c r="L874" s="1022"/>
      <c r="M874" s="1175"/>
      <c r="S874" s="504"/>
      <c r="T874" s="504"/>
      <c r="U874" s="504"/>
      <c r="V874" s="504"/>
      <c r="W874" s="504"/>
      <c r="X874" s="504"/>
      <c r="Y874" s="504"/>
      <c r="Z874" s="504"/>
      <c r="AA874" s="504"/>
      <c r="AB874" s="504"/>
      <c r="AC874" s="322"/>
      <c r="AD874" s="322"/>
      <c r="AE874" s="322"/>
    </row>
    <row r="875" spans="1:31" x14ac:dyDescent="0.25">
      <c r="A875" s="1138">
        <v>866</v>
      </c>
      <c r="B875" s="1138" t="s">
        <v>50</v>
      </c>
      <c r="C875" s="1037" t="s">
        <v>170</v>
      </c>
      <c r="D875" s="1533"/>
      <c r="E875" s="1534"/>
      <c r="F875" s="1534"/>
      <c r="G875" s="1534"/>
      <c r="H875" s="1535"/>
      <c r="I875" s="430"/>
      <c r="J875" s="430"/>
      <c r="K875" s="1174"/>
      <c r="L875" s="1022"/>
      <c r="M875" s="1175"/>
      <c r="S875" s="504"/>
      <c r="T875" s="504"/>
      <c r="U875" s="504"/>
      <c r="V875" s="504"/>
      <c r="W875" s="504"/>
      <c r="X875" s="504"/>
      <c r="Y875" s="504"/>
      <c r="Z875" s="504"/>
      <c r="AA875" s="504"/>
      <c r="AB875" s="504"/>
      <c r="AC875" s="322"/>
      <c r="AD875" s="322"/>
      <c r="AE875" s="322"/>
    </row>
    <row r="876" spans="1:31" x14ac:dyDescent="0.25">
      <c r="A876" s="1138">
        <v>867</v>
      </c>
      <c r="B876" s="1138" t="s">
        <v>50</v>
      </c>
      <c r="C876" s="1037" t="s">
        <v>170</v>
      </c>
      <c r="D876" s="1536"/>
      <c r="E876" s="1537"/>
      <c r="F876" s="1537"/>
      <c r="G876" s="1537"/>
      <c r="H876" s="1538"/>
      <c r="I876" s="430"/>
      <c r="J876" s="430"/>
      <c r="K876" s="1174"/>
      <c r="L876" s="1022"/>
      <c r="M876" s="1175"/>
      <c r="S876" s="504"/>
      <c r="T876" s="504"/>
      <c r="U876" s="504"/>
      <c r="V876" s="504"/>
      <c r="W876" s="504"/>
      <c r="X876" s="504"/>
      <c r="Y876" s="504"/>
      <c r="Z876" s="504"/>
      <c r="AA876" s="504"/>
      <c r="AB876" s="504"/>
      <c r="AC876" s="322"/>
      <c r="AD876" s="322"/>
      <c r="AE876" s="322"/>
    </row>
    <row r="877" spans="1:31" x14ac:dyDescent="0.25">
      <c r="A877" s="1138">
        <v>868</v>
      </c>
      <c r="B877" s="1138" t="s">
        <v>50</v>
      </c>
      <c r="C877" s="1037" t="s">
        <v>170</v>
      </c>
      <c r="D877" s="985"/>
      <c r="E877" s="985"/>
      <c r="F877" s="984"/>
      <c r="G877" s="984"/>
      <c r="H877" s="984"/>
      <c r="I877" s="430"/>
      <c r="J877" s="430"/>
      <c r="K877" s="1174"/>
      <c r="L877" s="1022"/>
      <c r="M877" s="1175"/>
      <c r="S877" s="504"/>
      <c r="T877" s="504"/>
      <c r="U877" s="504"/>
      <c r="V877" s="504"/>
      <c r="W877" s="504"/>
      <c r="X877" s="504"/>
      <c r="Y877" s="504"/>
      <c r="Z877" s="504"/>
      <c r="AA877" s="504"/>
      <c r="AB877" s="504"/>
      <c r="AC877" s="322"/>
      <c r="AD877" s="322"/>
      <c r="AE877" s="322"/>
    </row>
    <row r="878" spans="1:31" x14ac:dyDescent="0.25">
      <c r="A878" s="1138">
        <v>869</v>
      </c>
      <c r="B878" s="1138" t="s">
        <v>50</v>
      </c>
      <c r="C878" s="950" t="s">
        <v>458</v>
      </c>
      <c r="D878" s="1015" t="s">
        <v>1497</v>
      </c>
      <c r="E878" s="1014"/>
      <c r="F878" s="1014"/>
      <c r="G878" s="1013"/>
      <c r="H878" s="1013"/>
      <c r="I878" s="430"/>
      <c r="J878" s="430"/>
      <c r="K878" s="1174"/>
      <c r="L878" s="1022"/>
      <c r="M878" s="1175"/>
      <c r="S878" s="504"/>
      <c r="T878" s="504"/>
      <c r="U878" s="504"/>
      <c r="V878" s="504"/>
      <c r="W878" s="504"/>
      <c r="X878" s="504"/>
      <c r="Y878" s="504"/>
      <c r="Z878" s="504"/>
      <c r="AA878" s="504"/>
      <c r="AB878" s="504"/>
      <c r="AC878" s="322"/>
      <c r="AD878" s="322"/>
      <c r="AE878" s="322"/>
    </row>
    <row r="879" spans="1:31" x14ac:dyDescent="0.25">
      <c r="A879" s="1138">
        <v>870</v>
      </c>
      <c r="B879" s="1138" t="s">
        <v>50</v>
      </c>
      <c r="C879" s="1037" t="s">
        <v>458</v>
      </c>
      <c r="D879" s="946" t="s">
        <v>15</v>
      </c>
      <c r="E879" s="1264">
        <f>Mat07_credits</f>
        <v>3</v>
      </c>
      <c r="F879" s="945"/>
      <c r="G879" s="944" t="s">
        <v>76</v>
      </c>
      <c r="H879" s="1266">
        <f>Mat07_05</f>
        <v>2.4285714285714289E-2</v>
      </c>
      <c r="I879" s="430"/>
      <c r="J879" s="430"/>
      <c r="K879" s="1174"/>
      <c r="L879" s="1022"/>
      <c r="M879" s="1175"/>
      <c r="S879" s="504"/>
      <c r="T879" s="504"/>
      <c r="U879" s="504"/>
      <c r="V879" s="504"/>
      <c r="W879" s="504"/>
      <c r="X879" s="504"/>
      <c r="Y879" s="504"/>
      <c r="Z879" s="504"/>
      <c r="AA879" s="504"/>
      <c r="AB879" s="504"/>
      <c r="AC879" s="322"/>
      <c r="AD879" s="322"/>
      <c r="AE879" s="322"/>
    </row>
    <row r="880" spans="1:31" x14ac:dyDescent="0.25">
      <c r="A880" s="1138">
        <v>871</v>
      </c>
      <c r="B880" s="1138" t="s">
        <v>50</v>
      </c>
      <c r="C880" s="1037" t="s">
        <v>458</v>
      </c>
      <c r="D880" s="972" t="s">
        <v>1011</v>
      </c>
      <c r="E880" s="1265">
        <v>0</v>
      </c>
      <c r="F880" s="941"/>
      <c r="G880" s="940" t="s">
        <v>1010</v>
      </c>
      <c r="H880" s="1267" t="s">
        <v>12</v>
      </c>
      <c r="I880" s="430"/>
      <c r="J880" s="430"/>
      <c r="K880" s="1174"/>
      <c r="L880" s="1022"/>
      <c r="M880" s="1175"/>
      <c r="S880" s="504"/>
      <c r="T880" s="504"/>
      <c r="U880" s="504"/>
      <c r="V880" s="504"/>
      <c r="W880" s="504"/>
      <c r="X880" s="504"/>
      <c r="Y880" s="504"/>
      <c r="Z880" s="504"/>
      <c r="AA880" s="504"/>
      <c r="AB880" s="504"/>
      <c r="AC880" s="322"/>
      <c r="AD880" s="322"/>
      <c r="AE880" s="322"/>
    </row>
    <row r="881" spans="1:31" x14ac:dyDescent="0.25">
      <c r="A881" s="1138">
        <v>872</v>
      </c>
      <c r="B881" s="1138" t="s">
        <v>50</v>
      </c>
      <c r="C881" s="1037" t="s">
        <v>458</v>
      </c>
      <c r="I881" s="430"/>
      <c r="J881" s="430"/>
      <c r="K881" s="1174"/>
      <c r="L881" s="1022"/>
      <c r="M881" s="1175"/>
      <c r="S881" s="504"/>
      <c r="T881" s="504"/>
      <c r="U881" s="504"/>
      <c r="V881" s="504"/>
      <c r="W881" s="504"/>
      <c r="X881" s="504"/>
      <c r="Y881" s="504"/>
      <c r="Z881" s="504"/>
      <c r="AA881" s="504"/>
      <c r="AB881" s="504"/>
      <c r="AC881" s="322"/>
      <c r="AD881" s="322"/>
      <c r="AE881" s="322"/>
    </row>
    <row r="882" spans="1:31" ht="15.75" thickBot="1" x14ac:dyDescent="0.3">
      <c r="A882" s="1138">
        <v>873</v>
      </c>
      <c r="B882" s="1138" t="s">
        <v>50</v>
      </c>
      <c r="C882" s="1037" t="s">
        <v>458</v>
      </c>
      <c r="D882" s="938" t="s">
        <v>1009</v>
      </c>
      <c r="E882" s="937" t="s">
        <v>1008</v>
      </c>
      <c r="F882" s="937" t="s">
        <v>1007</v>
      </c>
      <c r="G882" s="937" t="s">
        <v>1006</v>
      </c>
      <c r="H882" s="937" t="s">
        <v>1014</v>
      </c>
      <c r="I882" s="430"/>
      <c r="J882" s="430"/>
      <c r="K882" s="1174"/>
      <c r="L882" s="1022"/>
      <c r="M882" s="1175"/>
      <c r="S882" s="504"/>
      <c r="T882" s="504"/>
      <c r="U882" s="504"/>
      <c r="V882" s="504"/>
      <c r="W882" s="504"/>
      <c r="X882" s="504"/>
      <c r="Y882" s="504"/>
      <c r="Z882" s="504"/>
      <c r="AA882" s="504"/>
      <c r="AB882" s="504"/>
      <c r="AC882" s="322"/>
      <c r="AD882" s="322"/>
      <c r="AE882" s="322"/>
    </row>
    <row r="883" spans="1:31" x14ac:dyDescent="0.25">
      <c r="A883" s="1138">
        <v>874</v>
      </c>
      <c r="B883" s="1138" t="s">
        <v>50</v>
      </c>
      <c r="C883" s="1037" t="s">
        <v>458</v>
      </c>
      <c r="D883" s="1168" t="str">
        <f>Poeng!E149</f>
        <v>Resource inventory</v>
      </c>
      <c r="E883" s="1268" t="s">
        <v>316</v>
      </c>
      <c r="F883" s="1223">
        <f>Poeng!AB149</f>
        <v>1</v>
      </c>
      <c r="G883" s="1223">
        <f>IF(E883=AIS_Yes,F883,0)</f>
        <v>0</v>
      </c>
      <c r="H883" s="1223" t="s">
        <v>14</v>
      </c>
      <c r="I883" s="1024"/>
      <c r="J883" s="430"/>
      <c r="K883" s="1174"/>
      <c r="L883" s="1022"/>
      <c r="M883" s="1175"/>
      <c r="S883" s="504"/>
      <c r="T883" s="504"/>
      <c r="U883" s="504"/>
      <c r="V883" s="504"/>
      <c r="W883" s="504"/>
      <c r="X883" s="504"/>
      <c r="Y883" s="504"/>
      <c r="Z883" s="504"/>
      <c r="AA883" s="504"/>
      <c r="AB883" s="504"/>
      <c r="AC883" s="322"/>
      <c r="AD883" s="322"/>
      <c r="AE883" s="322"/>
    </row>
    <row r="884" spans="1:31" x14ac:dyDescent="0.25">
      <c r="A884" s="1138">
        <v>875</v>
      </c>
      <c r="B884" s="1138" t="s">
        <v>50</v>
      </c>
      <c r="C884" s="1037" t="s">
        <v>458</v>
      </c>
      <c r="D884" s="1293" t="str">
        <f>Poeng!E150</f>
        <v>Design for disassembly and functional adaptability - recommendations (EU taxonomy requirement: criterion 2-3)</v>
      </c>
      <c r="E884" s="1303" t="s">
        <v>316</v>
      </c>
      <c r="F884" s="1270">
        <f>Poeng!AB150</f>
        <v>1</v>
      </c>
      <c r="G884" s="1225">
        <f>IF(E884=AIS_Yes,F884,0)</f>
        <v>0</v>
      </c>
      <c r="H884" s="1224" t="s">
        <v>14</v>
      </c>
      <c r="I884" s="430"/>
      <c r="J884" s="430"/>
      <c r="K884" s="1174"/>
      <c r="L884" s="1022"/>
      <c r="M884" s="1175"/>
      <c r="S884" s="504"/>
      <c r="T884" s="504"/>
      <c r="U884" s="504"/>
      <c r="V884" s="504"/>
      <c r="W884" s="504"/>
      <c r="X884" s="504"/>
      <c r="Y884" s="504"/>
      <c r="Z884" s="504"/>
      <c r="AA884" s="504"/>
      <c r="AB884" s="504"/>
      <c r="AC884" s="322"/>
      <c r="AD884" s="322"/>
      <c r="AE884" s="322"/>
    </row>
    <row r="885" spans="1:31" ht="15.75" thickBot="1" x14ac:dyDescent="0.3">
      <c r="A885" s="1138">
        <v>876</v>
      </c>
      <c r="B885" s="1138" t="s">
        <v>50</v>
      </c>
      <c r="C885" s="1037" t="s">
        <v>458</v>
      </c>
      <c r="D885" s="1170" t="str">
        <f>Poeng!E151</f>
        <v>Disassembly and functional adaptability - implementation (EU taxonomy requirement: criterion 4-6)</v>
      </c>
      <c r="E885" s="1275" t="s">
        <v>316</v>
      </c>
      <c r="F885" s="1226">
        <f>Poeng!AB151</f>
        <v>1</v>
      </c>
      <c r="G885" s="1227">
        <f>IF(E885=AIS_Yes,F885,0)</f>
        <v>0</v>
      </c>
      <c r="H885" s="1227" t="s">
        <v>14</v>
      </c>
      <c r="I885" s="430"/>
      <c r="J885" s="430"/>
      <c r="K885" s="1174"/>
      <c r="L885" s="1022"/>
      <c r="M885" s="1175"/>
      <c r="S885" s="504"/>
      <c r="T885" s="504"/>
      <c r="U885" s="504"/>
      <c r="V885" s="504"/>
      <c r="W885" s="504"/>
      <c r="X885" s="504"/>
      <c r="Y885" s="504"/>
      <c r="Z885" s="504"/>
      <c r="AA885" s="504"/>
      <c r="AB885" s="504"/>
      <c r="AC885" s="322"/>
      <c r="AD885" s="322"/>
      <c r="AE885" s="322"/>
    </row>
    <row r="886" spans="1:31" x14ac:dyDescent="0.25">
      <c r="A886" s="1138">
        <v>877</v>
      </c>
      <c r="B886" s="1138" t="s">
        <v>50</v>
      </c>
      <c r="C886" s="1037" t="s">
        <v>458</v>
      </c>
      <c r="D886" s="430"/>
      <c r="E886" s="430"/>
      <c r="F886" s="430"/>
      <c r="G886" s="430"/>
      <c r="H886" s="430"/>
      <c r="I886" s="430"/>
      <c r="J886" s="430"/>
      <c r="K886" s="1174"/>
      <c r="L886" s="1022"/>
      <c r="M886" s="1175"/>
      <c r="S886" s="504"/>
      <c r="T886" s="504"/>
      <c r="U886" s="504"/>
      <c r="V886" s="504"/>
      <c r="W886" s="504"/>
      <c r="X886" s="504"/>
      <c r="Y886" s="504"/>
      <c r="Z886" s="504"/>
      <c r="AA886" s="504"/>
      <c r="AB886" s="504"/>
      <c r="AC886" s="322"/>
      <c r="AD886" s="322"/>
      <c r="AE886" s="322"/>
    </row>
    <row r="887" spans="1:31" ht="15.75" thickBot="1" x14ac:dyDescent="0.3">
      <c r="A887" s="1138">
        <v>878</v>
      </c>
      <c r="B887" s="1138" t="s">
        <v>50</v>
      </c>
      <c r="C887" s="1037" t="s">
        <v>458</v>
      </c>
      <c r="D887" s="938" t="s">
        <v>1030</v>
      </c>
      <c r="E887" s="937" t="s">
        <v>1008</v>
      </c>
      <c r="I887" s="430"/>
      <c r="J887" s="430"/>
      <c r="K887" s="1174"/>
      <c r="L887" s="1022"/>
      <c r="M887" s="1175"/>
      <c r="S887" s="504"/>
      <c r="T887" s="504"/>
      <c r="U887" s="504"/>
      <c r="V887" s="504"/>
      <c r="W887" s="504"/>
      <c r="X887" s="504"/>
      <c r="Y887" s="504"/>
      <c r="Z887" s="504"/>
      <c r="AA887" s="504"/>
      <c r="AB887" s="504"/>
      <c r="AC887" s="322"/>
      <c r="AD887" s="322"/>
      <c r="AE887" s="322"/>
    </row>
    <row r="888" spans="1:31" ht="15.75" thickBot="1" x14ac:dyDescent="0.3">
      <c r="A888" s="1138">
        <v>879</v>
      </c>
      <c r="B888" s="1138" t="s">
        <v>50</v>
      </c>
      <c r="C888" s="1037" t="s">
        <v>458</v>
      </c>
      <c r="D888" s="1239" t="s">
        <v>1838</v>
      </c>
      <c r="E888" s="1328"/>
      <c r="I888" s="430"/>
      <c r="J888" s="430"/>
      <c r="K888" s="1174"/>
      <c r="L888" s="1022"/>
      <c r="M888" s="1175"/>
      <c r="S888" s="504"/>
      <c r="T888" s="504"/>
      <c r="U888" s="504"/>
      <c r="V888" s="504"/>
      <c r="W888" s="504"/>
      <c r="X888" s="504"/>
      <c r="Y888" s="504"/>
      <c r="Z888" s="504"/>
      <c r="AA888" s="504"/>
      <c r="AB888" s="504"/>
      <c r="AC888" s="322"/>
      <c r="AD888" s="322"/>
      <c r="AE888" s="322"/>
    </row>
    <row r="889" spans="1:31" x14ac:dyDescent="0.25">
      <c r="A889" s="1138">
        <v>880</v>
      </c>
      <c r="B889" s="1138" t="s">
        <v>50</v>
      </c>
      <c r="C889" s="1037" t="s">
        <v>458</v>
      </c>
      <c r="I889" s="430"/>
      <c r="J889" s="430"/>
      <c r="K889" s="1174"/>
      <c r="L889" s="1022"/>
      <c r="M889" s="1175"/>
      <c r="S889" s="504"/>
      <c r="T889" s="504"/>
      <c r="U889" s="504"/>
      <c r="V889" s="504"/>
      <c r="W889" s="504"/>
      <c r="X889" s="504"/>
      <c r="Y889" s="504"/>
      <c r="Z889" s="504"/>
      <c r="AA889" s="504"/>
      <c r="AB889" s="504"/>
      <c r="AC889" s="322"/>
      <c r="AD889" s="322"/>
      <c r="AE889" s="322"/>
    </row>
    <row r="890" spans="1:31" x14ac:dyDescent="0.25">
      <c r="A890" s="1138">
        <v>881</v>
      </c>
      <c r="B890" s="1138" t="s">
        <v>50</v>
      </c>
      <c r="C890" s="1037" t="s">
        <v>458</v>
      </c>
      <c r="D890" s="958" t="s">
        <v>1012</v>
      </c>
      <c r="E890" s="1272">
        <f>G883+G884+G885</f>
        <v>0</v>
      </c>
      <c r="I890" s="917"/>
      <c r="J890" s="430"/>
      <c r="K890" s="1174"/>
      <c r="L890" s="1022"/>
      <c r="M890" s="1175"/>
      <c r="S890" s="504"/>
      <c r="T890" s="504"/>
      <c r="U890" s="504"/>
      <c r="V890" s="504"/>
      <c r="W890" s="504"/>
      <c r="X890" s="504"/>
      <c r="Y890" s="504"/>
      <c r="Z890" s="504"/>
      <c r="AA890" s="504"/>
      <c r="AB890" s="504"/>
      <c r="AC890" s="322"/>
      <c r="AD890" s="322"/>
      <c r="AE890" s="322"/>
    </row>
    <row r="891" spans="1:31" x14ac:dyDescent="0.25">
      <c r="A891" s="1138">
        <v>882</v>
      </c>
      <c r="B891" s="1138" t="s">
        <v>50</v>
      </c>
      <c r="C891" s="1037" t="s">
        <v>458</v>
      </c>
      <c r="D891" s="924" t="s">
        <v>77</v>
      </c>
      <c r="E891" s="1273">
        <f>Mat07_cont</f>
        <v>0</v>
      </c>
      <c r="I891" s="430"/>
      <c r="J891" s="430"/>
      <c r="K891" s="1174"/>
      <c r="L891" s="1022"/>
      <c r="M891" s="1175"/>
      <c r="S891" s="504"/>
      <c r="T891" s="504"/>
      <c r="U891" s="504"/>
      <c r="V891" s="504"/>
      <c r="W891" s="504"/>
      <c r="X891" s="504"/>
      <c r="Y891" s="504"/>
      <c r="Z891" s="504"/>
      <c r="AA891" s="504"/>
      <c r="AB891" s="504"/>
      <c r="AC891" s="322"/>
      <c r="AD891" s="322"/>
      <c r="AE891" s="322"/>
    </row>
    <row r="892" spans="1:31" x14ac:dyDescent="0.25">
      <c r="A892" s="1138">
        <v>883</v>
      </c>
      <c r="B892" s="1138" t="s">
        <v>50</v>
      </c>
      <c r="C892" s="1037" t="s">
        <v>458</v>
      </c>
      <c r="D892" s="926" t="s">
        <v>1005</v>
      </c>
      <c r="E892" s="1272" t="s">
        <v>14</v>
      </c>
      <c r="I892" s="430"/>
      <c r="J892" s="430"/>
      <c r="K892" s="1174"/>
      <c r="L892" s="1022"/>
      <c r="M892" s="1175"/>
      <c r="S892" s="504"/>
      <c r="T892" s="504"/>
      <c r="U892" s="504"/>
      <c r="V892" s="504"/>
      <c r="W892" s="504"/>
      <c r="X892" s="504"/>
      <c r="Y892" s="504"/>
      <c r="Z892" s="504"/>
      <c r="AA892" s="504"/>
      <c r="AB892" s="504"/>
      <c r="AC892" s="322"/>
      <c r="AD892" s="322"/>
      <c r="AE892" s="322"/>
    </row>
    <row r="893" spans="1:31" x14ac:dyDescent="0.25">
      <c r="A893" s="1138">
        <v>884</v>
      </c>
      <c r="B893" s="1138" t="s">
        <v>50</v>
      </c>
      <c r="C893" s="1037" t="s">
        <v>458</v>
      </c>
      <c r="D893" s="923" t="s">
        <v>46</v>
      </c>
      <c r="E893" s="1290" t="str">
        <f>VLOOKUP(MIN(Poeng!BD148:BD151),Poeng!$BO$285:$BP$291,2,FALSE)</f>
        <v>Very Good</v>
      </c>
      <c r="I893" s="430"/>
      <c r="J893" s="430"/>
      <c r="K893" s="1174"/>
      <c r="L893" s="1022"/>
      <c r="M893" s="1175"/>
      <c r="S893" s="504"/>
      <c r="T893" s="504"/>
      <c r="U893" s="504"/>
      <c r="V893" s="504"/>
      <c r="W893" s="504"/>
      <c r="X893" s="504"/>
      <c r="Y893" s="504"/>
      <c r="Z893" s="504"/>
      <c r="AA893" s="504"/>
      <c r="AB893" s="504"/>
      <c r="AC893" s="322"/>
      <c r="AD893" s="322"/>
      <c r="AE893" s="322"/>
    </row>
    <row r="894" spans="1:31" x14ac:dyDescent="0.25">
      <c r="A894" s="1138">
        <v>885</v>
      </c>
      <c r="B894" s="1138" t="s">
        <v>50</v>
      </c>
      <c r="C894" s="1037" t="s">
        <v>458</v>
      </c>
      <c r="I894" s="430"/>
      <c r="J894" s="430"/>
      <c r="K894" s="1174"/>
      <c r="L894" s="1022"/>
      <c r="M894" s="1175"/>
      <c r="S894" s="504"/>
      <c r="T894" s="504"/>
      <c r="U894" s="504"/>
      <c r="V894" s="504"/>
      <c r="W894" s="504"/>
      <c r="X894" s="504"/>
      <c r="Y894" s="504"/>
      <c r="Z894" s="504"/>
      <c r="AA894" s="504"/>
      <c r="AB894" s="504"/>
      <c r="AC894" s="322"/>
      <c r="AD894" s="322"/>
      <c r="AE894" s="322"/>
    </row>
    <row r="895" spans="1:31" x14ac:dyDescent="0.25">
      <c r="A895" s="1138">
        <v>886</v>
      </c>
      <c r="B895" s="1138" t="s">
        <v>50</v>
      </c>
      <c r="C895" s="1037" t="s">
        <v>458</v>
      </c>
      <c r="D895" s="920" t="s">
        <v>1004</v>
      </c>
      <c r="E895" s="920" t="s">
        <v>1003</v>
      </c>
      <c r="F895" s="920" t="str">
        <f>HLOOKUP(C895,'Assessment References'!$H$512:$BG$513,2,FALSE)</f>
        <v/>
      </c>
      <c r="G895" s="919"/>
      <c r="H895" s="918"/>
      <c r="I895" s="430"/>
      <c r="J895" s="430"/>
      <c r="K895" s="1174"/>
      <c r="L895" s="1022"/>
      <c r="M895" s="1175"/>
      <c r="S895" s="504"/>
      <c r="T895" s="504"/>
      <c r="U895" s="504"/>
      <c r="V895" s="504"/>
      <c r="W895" s="504"/>
      <c r="X895" s="504"/>
      <c r="Y895" s="504"/>
      <c r="Z895" s="504"/>
      <c r="AA895" s="504"/>
      <c r="AB895" s="504"/>
      <c r="AC895" s="322"/>
      <c r="AD895" s="322"/>
      <c r="AE895" s="322"/>
    </row>
    <row r="896" spans="1:31" x14ac:dyDescent="0.25">
      <c r="A896" s="1138">
        <v>887</v>
      </c>
      <c r="B896" s="1138" t="s">
        <v>50</v>
      </c>
      <c r="C896" s="1037" t="s">
        <v>458</v>
      </c>
      <c r="D896" s="1539"/>
      <c r="E896" s="1540"/>
      <c r="F896" s="1540"/>
      <c r="G896" s="1540"/>
      <c r="H896" s="1541"/>
      <c r="I896" s="430"/>
      <c r="J896" s="430"/>
      <c r="K896" s="1174"/>
      <c r="L896" s="1022"/>
      <c r="M896" s="1175"/>
      <c r="S896" s="504"/>
      <c r="T896" s="504"/>
      <c r="U896" s="504"/>
      <c r="V896" s="504"/>
      <c r="W896" s="504"/>
      <c r="X896" s="504"/>
      <c r="Y896" s="504"/>
      <c r="Z896" s="504"/>
      <c r="AA896" s="504"/>
      <c r="AB896" s="504"/>
      <c r="AC896" s="322"/>
      <c r="AD896" s="322"/>
      <c r="AE896" s="322"/>
    </row>
    <row r="897" spans="1:31" x14ac:dyDescent="0.25">
      <c r="A897" s="1138">
        <v>888</v>
      </c>
      <c r="B897" s="1138" t="s">
        <v>50</v>
      </c>
      <c r="C897" s="1037" t="s">
        <v>458</v>
      </c>
      <c r="D897" s="1530"/>
      <c r="E897" s="1531"/>
      <c r="F897" s="1531"/>
      <c r="G897" s="1531"/>
      <c r="H897" s="1532"/>
      <c r="I897" s="430"/>
      <c r="J897" s="430"/>
      <c r="K897" s="1174"/>
      <c r="L897" s="1022"/>
      <c r="M897" s="1175"/>
      <c r="S897" s="504"/>
      <c r="T897" s="504"/>
      <c r="U897" s="504"/>
      <c r="V897" s="504"/>
      <c r="W897" s="504"/>
      <c r="X897" s="504"/>
      <c r="Y897" s="504"/>
      <c r="Z897" s="504"/>
      <c r="AA897" s="504"/>
      <c r="AB897" s="504"/>
      <c r="AC897" s="322"/>
      <c r="AD897" s="322"/>
      <c r="AE897" s="322"/>
    </row>
    <row r="898" spans="1:31" x14ac:dyDescent="0.25">
      <c r="A898" s="1138">
        <v>889</v>
      </c>
      <c r="B898" s="1138" t="s">
        <v>50</v>
      </c>
      <c r="C898" s="1037" t="s">
        <v>458</v>
      </c>
      <c r="D898" s="1530"/>
      <c r="E898" s="1531"/>
      <c r="F898" s="1531"/>
      <c r="G898" s="1531"/>
      <c r="H898" s="1532"/>
      <c r="I898" s="430"/>
      <c r="J898" s="430"/>
      <c r="K898" s="1174"/>
      <c r="L898" s="1022"/>
      <c r="M898" s="1175"/>
      <c r="S898" s="504"/>
      <c r="T898" s="504"/>
      <c r="U898" s="504"/>
      <c r="V898" s="504"/>
      <c r="W898" s="504"/>
      <c r="X898" s="504"/>
      <c r="Y898" s="504"/>
      <c r="Z898" s="504"/>
      <c r="AA898" s="504"/>
      <c r="AB898" s="504"/>
      <c r="AC898" s="322"/>
      <c r="AD898" s="322"/>
      <c r="AE898" s="322"/>
    </row>
    <row r="899" spans="1:31" x14ac:dyDescent="0.25">
      <c r="A899" s="1138">
        <v>890</v>
      </c>
      <c r="B899" s="1138" t="s">
        <v>50</v>
      </c>
      <c r="C899" s="1037" t="s">
        <v>458</v>
      </c>
      <c r="D899" s="1533"/>
      <c r="E899" s="1534"/>
      <c r="F899" s="1534"/>
      <c r="G899" s="1534"/>
      <c r="H899" s="1535"/>
      <c r="I899" s="430"/>
      <c r="J899" s="430"/>
      <c r="K899" s="1174"/>
      <c r="L899" s="1022"/>
      <c r="M899" s="1175"/>
      <c r="S899" s="504"/>
      <c r="T899" s="504"/>
      <c r="U899" s="504"/>
      <c r="V899" s="504"/>
      <c r="W899" s="504"/>
      <c r="X899" s="504"/>
      <c r="Y899" s="504"/>
      <c r="Z899" s="504"/>
      <c r="AA899" s="504"/>
      <c r="AB899" s="504"/>
      <c r="AC899" s="322"/>
      <c r="AD899" s="322"/>
      <c r="AE899" s="322"/>
    </row>
    <row r="900" spans="1:31" x14ac:dyDescent="0.25">
      <c r="A900" s="1138">
        <v>891</v>
      </c>
      <c r="B900" s="1138" t="s">
        <v>50</v>
      </c>
      <c r="C900" s="1037" t="s">
        <v>458</v>
      </c>
      <c r="D900" s="1533"/>
      <c r="E900" s="1534"/>
      <c r="F900" s="1534"/>
      <c r="G900" s="1534"/>
      <c r="H900" s="1535"/>
      <c r="I900" s="430"/>
      <c r="J900" s="430"/>
      <c r="K900" s="1174"/>
      <c r="L900" s="1022"/>
      <c r="M900" s="1175"/>
      <c r="S900" s="504"/>
      <c r="T900" s="504"/>
      <c r="U900" s="504"/>
      <c r="V900" s="504"/>
      <c r="W900" s="504"/>
      <c r="X900" s="504"/>
      <c r="Y900" s="504"/>
      <c r="Z900" s="504"/>
      <c r="AA900" s="504"/>
      <c r="AB900" s="504"/>
      <c r="AC900" s="322"/>
      <c r="AD900" s="322"/>
      <c r="AE900" s="322"/>
    </row>
    <row r="901" spans="1:31" x14ac:dyDescent="0.25">
      <c r="A901" s="1138">
        <v>892</v>
      </c>
      <c r="B901" s="1138" t="s">
        <v>50</v>
      </c>
      <c r="C901" s="1037" t="s">
        <v>458</v>
      </c>
      <c r="D901" s="1536"/>
      <c r="E901" s="1537"/>
      <c r="F901" s="1537"/>
      <c r="G901" s="1537"/>
      <c r="H901" s="1538"/>
      <c r="I901" s="430"/>
      <c r="J901" s="430"/>
      <c r="K901" s="1174"/>
      <c r="L901" s="1022"/>
      <c r="M901" s="1175"/>
      <c r="S901" s="504"/>
      <c r="T901" s="504"/>
      <c r="U901" s="504"/>
      <c r="V901" s="504"/>
      <c r="W901" s="504"/>
      <c r="X901" s="504"/>
      <c r="Y901" s="504"/>
      <c r="Z901" s="504"/>
      <c r="AA901" s="504"/>
      <c r="AB901" s="504"/>
      <c r="AC901" s="322"/>
      <c r="AD901" s="322"/>
      <c r="AE901" s="322"/>
    </row>
    <row r="902" spans="1:31" x14ac:dyDescent="0.25">
      <c r="A902" s="1138">
        <v>893</v>
      </c>
      <c r="B902" s="1138" t="s">
        <v>50</v>
      </c>
      <c r="C902" s="1037" t="s">
        <v>458</v>
      </c>
      <c r="D902" s="985"/>
      <c r="E902" s="985"/>
      <c r="F902" s="984"/>
      <c r="G902" s="984"/>
      <c r="H902" s="984"/>
      <c r="I902" s="430"/>
      <c r="J902" s="430"/>
      <c r="K902" s="1174"/>
      <c r="L902" s="1022"/>
      <c r="M902" s="1175"/>
      <c r="S902" s="504"/>
      <c r="T902" s="504"/>
      <c r="U902" s="504"/>
      <c r="V902" s="504"/>
      <c r="W902" s="504"/>
      <c r="X902" s="504"/>
      <c r="Y902" s="504"/>
      <c r="Z902" s="504"/>
      <c r="AA902" s="504"/>
      <c r="AB902" s="504"/>
      <c r="AC902" s="322"/>
      <c r="AD902" s="322"/>
      <c r="AE902" s="322"/>
    </row>
    <row r="903" spans="1:31" ht="18.75" x14ac:dyDescent="0.3">
      <c r="A903" s="1138">
        <v>894</v>
      </c>
      <c r="B903" s="957" t="s">
        <v>51</v>
      </c>
      <c r="C903" s="956"/>
      <c r="D903" s="954"/>
      <c r="E903" s="954"/>
      <c r="F903" s="954"/>
      <c r="G903" s="954"/>
      <c r="H903" s="953"/>
      <c r="I903" s="430"/>
      <c r="J903" s="430"/>
      <c r="K903" s="1174"/>
      <c r="L903" s="1022"/>
      <c r="M903" s="1175"/>
      <c r="S903" s="504"/>
      <c r="T903" s="504"/>
      <c r="U903" s="504"/>
      <c r="V903" s="504"/>
      <c r="W903" s="504"/>
      <c r="X903" s="504"/>
      <c r="Y903" s="504"/>
      <c r="Z903" s="504"/>
      <c r="AA903" s="504"/>
      <c r="AB903" s="504"/>
      <c r="AC903" s="322"/>
      <c r="AD903" s="322"/>
      <c r="AE903" s="322"/>
    </row>
    <row r="904" spans="1:31" x14ac:dyDescent="0.25">
      <c r="A904" s="1138">
        <v>895</v>
      </c>
      <c r="B904" s="1138" t="s">
        <v>51</v>
      </c>
      <c r="C904" s="917"/>
      <c r="D904" s="985"/>
      <c r="E904" s="985"/>
      <c r="F904" s="984"/>
      <c r="G904" s="984"/>
      <c r="H904" s="984"/>
      <c r="I904" s="430"/>
      <c r="J904" s="430"/>
      <c r="K904" s="1174"/>
      <c r="L904" s="1022"/>
      <c r="M904" s="1175"/>
      <c r="S904" s="504"/>
      <c r="T904" s="504"/>
      <c r="U904" s="504"/>
      <c r="V904" s="504"/>
      <c r="W904" s="504"/>
      <c r="X904" s="504"/>
      <c r="Y904" s="504"/>
      <c r="Z904" s="504"/>
      <c r="AA904" s="504"/>
      <c r="AB904" s="504"/>
      <c r="AC904" s="322"/>
      <c r="AD904" s="322"/>
      <c r="AE904" s="322"/>
    </row>
    <row r="905" spans="1:31" x14ac:dyDescent="0.25">
      <c r="A905" s="1138">
        <v>896</v>
      </c>
      <c r="B905" s="1139" t="s">
        <v>51</v>
      </c>
      <c r="C905" s="950" t="s">
        <v>171</v>
      </c>
      <c r="D905" s="1015" t="s">
        <v>353</v>
      </c>
      <c r="E905" s="1014"/>
      <c r="F905" s="1014"/>
      <c r="G905" s="1013"/>
      <c r="H905" s="1013"/>
      <c r="I905" s="430"/>
      <c r="J905" s="430"/>
      <c r="K905" s="1174"/>
      <c r="L905" s="1022"/>
      <c r="M905" s="1175"/>
      <c r="S905" s="504"/>
      <c r="T905" s="504"/>
      <c r="U905" s="504"/>
      <c r="V905" s="504"/>
      <c r="W905" s="504"/>
      <c r="X905" s="504"/>
      <c r="Y905" s="504"/>
      <c r="Z905" s="504"/>
      <c r="AA905" s="504"/>
      <c r="AB905" s="504"/>
      <c r="AC905" s="322"/>
      <c r="AD905" s="322"/>
      <c r="AE905" s="322"/>
    </row>
    <row r="906" spans="1:31" x14ac:dyDescent="0.25">
      <c r="A906" s="1138">
        <v>897</v>
      </c>
      <c r="B906" s="1138" t="s">
        <v>51</v>
      </c>
      <c r="C906" s="1037" t="s">
        <v>171</v>
      </c>
      <c r="D906" s="946" t="s">
        <v>15</v>
      </c>
      <c r="E906" s="1264">
        <f>Wst01_credits</f>
        <v>5</v>
      </c>
      <c r="F906" s="945"/>
      <c r="G906" s="944" t="s">
        <v>76</v>
      </c>
      <c r="H906" s="1266">
        <f>Wst01_27</f>
        <v>0.05</v>
      </c>
      <c r="I906" s="430"/>
      <c r="J906" s="430"/>
      <c r="K906" s="1174"/>
      <c r="L906" s="1022"/>
      <c r="M906" s="1175"/>
      <c r="S906" s="504"/>
      <c r="T906" s="504"/>
      <c r="U906" s="504"/>
      <c r="V906" s="504"/>
      <c r="W906" s="504"/>
      <c r="X906" s="504"/>
      <c r="Y906" s="504"/>
      <c r="Z906" s="504"/>
      <c r="AA906" s="504"/>
      <c r="AB906" s="504"/>
      <c r="AC906" s="322"/>
      <c r="AD906" s="322"/>
      <c r="AE906" s="322"/>
    </row>
    <row r="907" spans="1:31" x14ac:dyDescent="0.25">
      <c r="A907" s="1138">
        <v>898</v>
      </c>
      <c r="B907" s="1138" t="s">
        <v>51</v>
      </c>
      <c r="C907" s="1037" t="s">
        <v>171</v>
      </c>
      <c r="D907" s="972" t="s">
        <v>1011</v>
      </c>
      <c r="E907" s="1265">
        <f>Inn10_credits</f>
        <v>1</v>
      </c>
      <c r="F907" s="941"/>
      <c r="G907" s="940" t="s">
        <v>1010</v>
      </c>
      <c r="H907" s="1267" t="s">
        <v>12</v>
      </c>
      <c r="I907" s="910"/>
      <c r="J907" s="430"/>
      <c r="K907" s="1174"/>
      <c r="L907" s="1022"/>
      <c r="M907" s="1175"/>
      <c r="S907" s="504"/>
      <c r="T907" s="504"/>
      <c r="U907" s="504"/>
      <c r="V907" s="504"/>
      <c r="W907" s="504"/>
      <c r="X907" s="504"/>
      <c r="Y907" s="504"/>
      <c r="Z907" s="504"/>
      <c r="AA907" s="504"/>
      <c r="AB907" s="504"/>
      <c r="AC907" s="322"/>
      <c r="AD907" s="322"/>
      <c r="AE907" s="322"/>
    </row>
    <row r="908" spans="1:31" x14ac:dyDescent="0.25">
      <c r="A908" s="1138">
        <v>899</v>
      </c>
      <c r="B908" s="1138" t="s">
        <v>51</v>
      </c>
      <c r="C908" s="1037" t="s">
        <v>171</v>
      </c>
      <c r="I908" s="910"/>
      <c r="J908" s="430"/>
      <c r="K908" s="1174"/>
      <c r="L908" s="1022"/>
      <c r="M908" s="1175"/>
      <c r="S908" s="504"/>
      <c r="T908" s="504"/>
      <c r="U908" s="504"/>
      <c r="V908" s="504"/>
      <c r="W908" s="504"/>
      <c r="X908" s="504"/>
      <c r="Y908" s="504"/>
      <c r="Z908" s="504"/>
      <c r="AA908" s="504"/>
      <c r="AB908" s="504"/>
      <c r="AC908" s="322"/>
      <c r="AD908" s="322"/>
      <c r="AE908" s="322"/>
    </row>
    <row r="909" spans="1:31" ht="15.75" thickBot="1" x14ac:dyDescent="0.3">
      <c r="A909" s="1138">
        <v>900</v>
      </c>
      <c r="B909" s="1138" t="s">
        <v>51</v>
      </c>
      <c r="C909" s="1037" t="s">
        <v>171</v>
      </c>
      <c r="D909" s="938" t="s">
        <v>1009</v>
      </c>
      <c r="E909" s="937" t="s">
        <v>1008</v>
      </c>
      <c r="F909" s="937" t="s">
        <v>1007</v>
      </c>
      <c r="G909" s="937" t="s">
        <v>1006</v>
      </c>
      <c r="H909" s="937" t="s">
        <v>1014</v>
      </c>
      <c r="I909" s="910"/>
      <c r="J909" s="430"/>
      <c r="K909" s="1174"/>
      <c r="L909" s="1022"/>
      <c r="M909" s="1175"/>
      <c r="S909" s="62" t="s">
        <v>1015</v>
      </c>
      <c r="T909" s="504"/>
      <c r="U909" s="504"/>
      <c r="V909" s="504"/>
      <c r="W909" s="504"/>
      <c r="X909" s="504"/>
      <c r="Y909" s="504" t="str">
        <f>$X$4</f>
        <v>No</v>
      </c>
      <c r="Z909" s="504"/>
      <c r="AA909" s="504"/>
      <c r="AB909" s="504"/>
      <c r="AC909" s="322"/>
      <c r="AD909" s="322"/>
      <c r="AE909" s="322"/>
    </row>
    <row r="910" spans="1:31" x14ac:dyDescent="0.25">
      <c r="A910" s="1138">
        <v>901</v>
      </c>
      <c r="B910" s="1138" t="s">
        <v>51</v>
      </c>
      <c r="C910" s="1037" t="s">
        <v>171</v>
      </c>
      <c r="D910" s="1168" t="str">
        <f>Poeng!E156</f>
        <v>Resource managment plan</v>
      </c>
      <c r="E910" s="1268" t="s">
        <v>316</v>
      </c>
      <c r="F910" s="1223">
        <f>Poeng!AB156</f>
        <v>1</v>
      </c>
      <c r="G910" s="1223">
        <f>IF(E910=AIS_Yes,F910,0)</f>
        <v>0</v>
      </c>
      <c r="H910" s="1223" t="s">
        <v>14</v>
      </c>
      <c r="I910" s="910"/>
      <c r="J910" s="430"/>
      <c r="K910" s="1174"/>
      <c r="L910" s="1022"/>
      <c r="M910" s="1175"/>
      <c r="S910" s="504"/>
      <c r="T910" s="504"/>
      <c r="U910" s="504"/>
      <c r="V910" s="504"/>
      <c r="W910" s="504"/>
      <c r="X910" s="504"/>
      <c r="Y910" s="504"/>
      <c r="Z910" s="504"/>
      <c r="AA910" s="504"/>
      <c r="AB910" s="504"/>
      <c r="AC910" s="322"/>
      <c r="AD910" s="322"/>
      <c r="AE910" s="322"/>
    </row>
    <row r="911" spans="1:31" x14ac:dyDescent="0.25">
      <c r="A911" s="1138">
        <v>902</v>
      </c>
      <c r="B911" s="1138" t="s">
        <v>51</v>
      </c>
      <c r="C911" s="1037" t="s">
        <v>171</v>
      </c>
      <c r="D911" s="1293" t="str">
        <f>Poeng!E255</f>
        <v>EU taxonomy requirement: criterion 1</v>
      </c>
      <c r="E911" s="1269" t="s">
        <v>316</v>
      </c>
      <c r="F911" s="1294"/>
      <c r="G911" s="1294"/>
      <c r="H911" s="1225" t="s">
        <v>14</v>
      </c>
      <c r="I911" s="910"/>
      <c r="J911" s="430"/>
      <c r="K911" s="1174"/>
      <c r="L911" s="1022"/>
      <c r="M911" s="1175"/>
      <c r="S911" s="504"/>
      <c r="T911" s="504"/>
      <c r="U911" s="504"/>
      <c r="V911" s="504"/>
      <c r="W911" s="504"/>
      <c r="X911" s="504"/>
      <c r="Y911" s="504"/>
      <c r="Z911" s="504"/>
      <c r="AA911" s="504"/>
      <c r="AB911" s="504"/>
      <c r="AC911" s="322"/>
      <c r="AD911" s="322"/>
      <c r="AE911" s="322"/>
    </row>
    <row r="912" spans="1:31" x14ac:dyDescent="0.25">
      <c r="A912" s="1138">
        <v>903</v>
      </c>
      <c r="B912" s="1138" t="s">
        <v>51</v>
      </c>
      <c r="C912" s="1037" t="s">
        <v>171</v>
      </c>
      <c r="D912" s="1169" t="s">
        <v>1498</v>
      </c>
      <c r="E912" s="1269" t="s">
        <v>316</v>
      </c>
      <c r="F912" s="1270">
        <f>Poeng!AB157</f>
        <v>2</v>
      </c>
      <c r="G912" s="1225">
        <f>VLOOKUP(E912,K921:L925,2,FALSE)</f>
        <v>0</v>
      </c>
      <c r="H912" s="1225" t="s">
        <v>14</v>
      </c>
      <c r="I912" s="430"/>
      <c r="J912" s="430"/>
      <c r="K912" s="1174"/>
      <c r="L912" s="1022"/>
      <c r="M912" s="1175"/>
      <c r="S912" s="504"/>
      <c r="T912" s="504"/>
      <c r="U912" s="504"/>
      <c r="V912" s="504"/>
      <c r="W912" s="504"/>
      <c r="X912" s="504"/>
      <c r="Y912" s="504"/>
      <c r="Z912" s="504"/>
      <c r="AA912" s="504"/>
      <c r="AB912" s="504"/>
      <c r="AC912" s="322"/>
      <c r="AD912" s="322"/>
      <c r="AE912" s="322"/>
    </row>
    <row r="913" spans="1:31" ht="15.75" thickBot="1" x14ac:dyDescent="0.3">
      <c r="A913" s="1138">
        <v>904</v>
      </c>
      <c r="B913" s="1138" t="s">
        <v>51</v>
      </c>
      <c r="C913" s="1037" t="s">
        <v>171</v>
      </c>
      <c r="D913" s="1170" t="s">
        <v>1953</v>
      </c>
      <c r="E913" s="1301" t="s">
        <v>316</v>
      </c>
      <c r="F913" s="1227">
        <f>Poeng!AB158</f>
        <v>2</v>
      </c>
      <c r="G913" s="1292">
        <f>VLOOKUP(E913,K927:L931,2,FALSE)</f>
        <v>0</v>
      </c>
      <c r="H913" s="1292" t="s">
        <v>14</v>
      </c>
      <c r="I913" s="1400"/>
      <c r="J913" s="430"/>
      <c r="K913" s="1174"/>
      <c r="L913" s="1022"/>
      <c r="M913" s="1175"/>
      <c r="S913" s="504"/>
      <c r="T913" s="504"/>
      <c r="U913" s="504"/>
      <c r="V913" s="504"/>
      <c r="W913" s="504"/>
      <c r="X913" s="504"/>
      <c r="Y913" s="504"/>
      <c r="Z913" s="504"/>
      <c r="AA913" s="504"/>
      <c r="AB913" s="504"/>
      <c r="AC913" s="322"/>
      <c r="AD913" s="322"/>
      <c r="AE913" s="322"/>
    </row>
    <row r="914" spans="1:31" x14ac:dyDescent="0.25">
      <c r="A914" s="1138">
        <v>905</v>
      </c>
      <c r="B914" s="1138" t="s">
        <v>51</v>
      </c>
      <c r="C914" s="1037" t="s">
        <v>171</v>
      </c>
      <c r="I914" s="910"/>
      <c r="J914" s="430"/>
      <c r="K914" s="947" t="s">
        <v>1874</v>
      </c>
      <c r="L914" s="1022"/>
      <c r="M914" s="1175"/>
      <c r="S914" s="504"/>
      <c r="T914" s="504"/>
      <c r="U914" s="504"/>
      <c r="V914" s="504"/>
      <c r="W914" s="504"/>
      <c r="X914" s="504"/>
      <c r="Y914" s="504"/>
      <c r="Z914" s="504"/>
      <c r="AA914" s="504"/>
      <c r="AB914" s="504"/>
      <c r="AC914" s="322"/>
      <c r="AD914" s="322"/>
      <c r="AE914" s="322"/>
    </row>
    <row r="915" spans="1:31" ht="15.75" thickBot="1" x14ac:dyDescent="0.3">
      <c r="A915" s="1138">
        <v>906</v>
      </c>
      <c r="B915" s="1138" t="s">
        <v>51</v>
      </c>
      <c r="C915" s="1037" t="s">
        <v>171</v>
      </c>
      <c r="D915" s="938" t="s">
        <v>1862</v>
      </c>
      <c r="E915" s="937" t="s">
        <v>1008</v>
      </c>
      <c r="F915" s="937" t="s">
        <v>1007</v>
      </c>
      <c r="G915" s="937" t="s">
        <v>1006</v>
      </c>
      <c r="H915" s="937" t="s">
        <v>1014</v>
      </c>
      <c r="I915" s="910"/>
      <c r="J915" s="430"/>
      <c r="K915" s="1229" t="str">
        <f>IF(OR(E913=K931),AIS_Yes,AIS_No)</f>
        <v>No</v>
      </c>
      <c r="L915" s="1022"/>
      <c r="M915" s="1175"/>
      <c r="S915" s="504"/>
      <c r="T915" s="504"/>
      <c r="U915" s="504"/>
      <c r="V915" s="504"/>
      <c r="W915" s="504"/>
      <c r="X915" s="504"/>
      <c r="Y915" s="504"/>
      <c r="Z915" s="504"/>
      <c r="AA915" s="504"/>
      <c r="AB915" s="504"/>
      <c r="AC915" s="322"/>
      <c r="AD915" s="322"/>
      <c r="AE915" s="322"/>
    </row>
    <row r="916" spans="1:31" ht="15.75" thickBot="1" x14ac:dyDescent="0.3">
      <c r="A916" s="1138">
        <v>907</v>
      </c>
      <c r="B916" s="1138" t="s">
        <v>51</v>
      </c>
      <c r="C916" s="1037" t="s">
        <v>171</v>
      </c>
      <c r="D916" s="1239" t="s">
        <v>1863</v>
      </c>
      <c r="E916" s="1240" t="s">
        <v>316</v>
      </c>
      <c r="F916" s="1228">
        <f>Inn10_credits</f>
        <v>1</v>
      </c>
      <c r="G916" s="1228">
        <f>IF(E916=AIS_Yes,F916,0)</f>
        <v>0</v>
      </c>
      <c r="H916" s="969" t="s">
        <v>14</v>
      </c>
      <c r="I916" s="910"/>
      <c r="J916" s="430"/>
      <c r="K916" s="1174"/>
      <c r="L916" s="1022"/>
      <c r="M916" s="1175"/>
      <c r="S916" s="504"/>
      <c r="T916" s="504"/>
      <c r="U916" s="504"/>
      <c r="V916" s="504"/>
      <c r="W916" s="504"/>
      <c r="X916" s="504"/>
      <c r="Y916" s="504"/>
      <c r="Z916" s="504"/>
      <c r="AA916" s="504"/>
      <c r="AB916" s="504"/>
      <c r="AC916" s="322"/>
      <c r="AD916" s="322"/>
      <c r="AE916" s="322"/>
    </row>
    <row r="917" spans="1:31" x14ac:dyDescent="0.25">
      <c r="A917" s="1138">
        <v>908</v>
      </c>
      <c r="B917" s="1138" t="s">
        <v>51</v>
      </c>
      <c r="C917" s="1037" t="s">
        <v>171</v>
      </c>
      <c r="I917" s="910"/>
      <c r="J917" s="430"/>
      <c r="K917" s="1174"/>
      <c r="L917" s="1022"/>
      <c r="M917" s="1175"/>
      <c r="S917" s="504"/>
      <c r="T917" s="504"/>
      <c r="U917" s="504"/>
      <c r="V917" s="504"/>
      <c r="W917" s="504"/>
      <c r="X917" s="504"/>
      <c r="Y917" s="504"/>
      <c r="Z917" s="504"/>
      <c r="AA917" s="504"/>
      <c r="AB917" s="504"/>
      <c r="AC917" s="322"/>
      <c r="AD917" s="322"/>
      <c r="AE917" s="322"/>
    </row>
    <row r="918" spans="1:31" ht="15.75" thickBot="1" x14ac:dyDescent="0.3">
      <c r="A918" s="1138">
        <v>909</v>
      </c>
      <c r="B918" s="1138" t="s">
        <v>51</v>
      </c>
      <c r="C918" s="1037" t="s">
        <v>171</v>
      </c>
      <c r="D918" s="938" t="s">
        <v>1572</v>
      </c>
      <c r="E918" s="937"/>
      <c r="G918" s="994"/>
      <c r="I918" s="910"/>
      <c r="J918" s="430"/>
      <c r="K918" s="1174"/>
      <c r="L918" s="1022"/>
      <c r="M918" s="1175"/>
      <c r="S918" s="504"/>
      <c r="T918" s="504"/>
      <c r="U918" s="504"/>
      <c r="V918" s="504"/>
      <c r="W918" s="504"/>
      <c r="X918" s="504"/>
      <c r="Y918" s="504"/>
      <c r="Z918" s="504"/>
      <c r="AA918" s="504"/>
      <c r="AB918" s="504"/>
      <c r="AC918" s="322"/>
      <c r="AD918" s="322"/>
      <c r="AE918" s="322"/>
    </row>
    <row r="919" spans="1:31" ht="15.75" thickBot="1" x14ac:dyDescent="0.3">
      <c r="A919" s="1138">
        <v>910</v>
      </c>
      <c r="B919" s="1138" t="s">
        <v>51</v>
      </c>
      <c r="C919" s="1037" t="s">
        <v>171</v>
      </c>
      <c r="D919" s="1168" t="s">
        <v>1689</v>
      </c>
      <c r="E919" s="1323"/>
      <c r="F919" s="1332" t="s">
        <v>1896</v>
      </c>
      <c r="G919" s="994"/>
      <c r="I919" s="910"/>
      <c r="J919" s="910"/>
      <c r="K919" s="1182"/>
      <c r="L919" s="484"/>
      <c r="M919" s="1175"/>
      <c r="S919" s="504"/>
      <c r="T919" s="504"/>
      <c r="U919" s="504"/>
      <c r="V919" s="504"/>
      <c r="W919" s="504"/>
      <c r="X919" s="504"/>
      <c r="Y919" s="504"/>
      <c r="Z919" s="504"/>
      <c r="AA919" s="504"/>
      <c r="AB919" s="504"/>
      <c r="AC919" s="322"/>
      <c r="AD919" s="322"/>
      <c r="AE919" s="322"/>
    </row>
    <row r="920" spans="1:31" x14ac:dyDescent="0.25">
      <c r="A920" s="1138">
        <v>911</v>
      </c>
      <c r="B920" s="1138" t="s">
        <v>51</v>
      </c>
      <c r="C920" s="1037" t="s">
        <v>171</v>
      </c>
      <c r="D920" s="1293" t="s">
        <v>1692</v>
      </c>
      <c r="E920" s="1324"/>
      <c r="F920" s="1332" t="s">
        <v>1686</v>
      </c>
      <c r="G920" s="994"/>
      <c r="I920" s="910"/>
      <c r="J920" s="910"/>
      <c r="K920" s="947" t="s">
        <v>171</v>
      </c>
      <c r="L920" s="1022"/>
      <c r="M920" s="1175"/>
      <c r="S920" s="504"/>
      <c r="T920" s="504"/>
      <c r="U920" s="504"/>
      <c r="V920" s="504"/>
      <c r="W920" s="504"/>
      <c r="X920" s="504"/>
      <c r="Y920" s="504"/>
      <c r="Z920" s="504"/>
      <c r="AA920" s="504"/>
      <c r="AB920" s="504"/>
      <c r="AC920" s="322"/>
      <c r="AD920" s="322"/>
      <c r="AE920" s="322"/>
    </row>
    <row r="921" spans="1:31" x14ac:dyDescent="0.25">
      <c r="A921" s="1138">
        <v>912</v>
      </c>
      <c r="B921" s="1138" t="s">
        <v>51</v>
      </c>
      <c r="C921" s="1037" t="s">
        <v>171</v>
      </c>
      <c r="D921" s="1293" t="s">
        <v>1687</v>
      </c>
      <c r="E921" s="1324"/>
      <c r="F921" s="1332" t="s">
        <v>1685</v>
      </c>
      <c r="G921" s="994"/>
      <c r="I921" s="910"/>
      <c r="J921" s="910"/>
      <c r="K921" s="1229" t="s">
        <v>316</v>
      </c>
      <c r="L921" s="1183">
        <v>0</v>
      </c>
      <c r="M921" s="1175"/>
      <c r="S921" s="504"/>
      <c r="T921" s="504"/>
      <c r="U921" s="504"/>
      <c r="V921" s="504"/>
      <c r="W921" s="504"/>
      <c r="X921" s="504"/>
      <c r="Y921" s="504"/>
      <c r="Z921" s="504"/>
      <c r="AA921" s="504"/>
      <c r="AB921" s="504"/>
      <c r="AC921" s="322"/>
      <c r="AD921" s="322"/>
      <c r="AE921" s="322"/>
    </row>
    <row r="922" spans="1:31" x14ac:dyDescent="0.25">
      <c r="A922" s="1138">
        <v>913</v>
      </c>
      <c r="B922" s="1138" t="s">
        <v>51</v>
      </c>
      <c r="C922" s="1037" t="s">
        <v>171</v>
      </c>
      <c r="D922" s="1293" t="s">
        <v>1688</v>
      </c>
      <c r="E922" s="1324"/>
      <c r="F922" s="1332" t="s">
        <v>1685</v>
      </c>
      <c r="G922" s="994"/>
      <c r="I922" s="910"/>
      <c r="J922" s="910"/>
      <c r="K922" s="1229" t="s">
        <v>1502</v>
      </c>
      <c r="L922" s="1183">
        <v>0</v>
      </c>
      <c r="M922" s="1175"/>
      <c r="S922" s="504"/>
      <c r="T922" s="504"/>
      <c r="U922" s="504"/>
      <c r="V922" s="504"/>
      <c r="W922" s="504"/>
      <c r="X922" s="504"/>
      <c r="Y922" s="504"/>
      <c r="Z922" s="504"/>
      <c r="AA922" s="504"/>
      <c r="AB922" s="504"/>
      <c r="AC922" s="322"/>
      <c r="AD922" s="322"/>
      <c r="AE922" s="322"/>
    </row>
    <row r="923" spans="1:31" x14ac:dyDescent="0.25">
      <c r="A923" s="1138">
        <v>914</v>
      </c>
      <c r="B923" s="1138" t="s">
        <v>51</v>
      </c>
      <c r="C923" s="1037" t="s">
        <v>171</v>
      </c>
      <c r="D923" s="1293" t="s">
        <v>1690</v>
      </c>
      <c r="E923" s="1434"/>
      <c r="F923" s="1332" t="s">
        <v>1111</v>
      </c>
      <c r="G923" s="994"/>
      <c r="I923" s="910"/>
      <c r="J923" s="910"/>
      <c r="K923" s="1229" t="s">
        <v>1499</v>
      </c>
      <c r="L923" s="1183">
        <v>1</v>
      </c>
      <c r="M923" s="1175"/>
      <c r="S923" s="504"/>
      <c r="T923" s="504"/>
      <c r="U923" s="504"/>
      <c r="V923" s="504"/>
      <c r="W923" s="504"/>
      <c r="X923" s="504"/>
      <c r="Y923" s="504"/>
      <c r="Z923" s="504"/>
      <c r="AA923" s="504"/>
      <c r="AB923" s="504"/>
      <c r="AC923" s="322"/>
      <c r="AD923" s="322"/>
      <c r="AE923" s="322"/>
    </row>
    <row r="924" spans="1:31" ht="15.75" thickBot="1" x14ac:dyDescent="0.3">
      <c r="A924" s="1138">
        <v>915</v>
      </c>
      <c r="B924" s="1138" t="s">
        <v>51</v>
      </c>
      <c r="C924" s="1037" t="s">
        <v>171</v>
      </c>
      <c r="D924" s="1002" t="s">
        <v>1691</v>
      </c>
      <c r="E924" s="1435"/>
      <c r="F924" s="1332" t="s">
        <v>1111</v>
      </c>
      <c r="G924" s="994"/>
      <c r="I924" s="910"/>
      <c r="J924" s="910"/>
      <c r="K924" s="1184" t="s">
        <v>1500</v>
      </c>
      <c r="L924" s="1183">
        <v>2</v>
      </c>
      <c r="M924" s="1175"/>
      <c r="S924" s="504"/>
      <c r="T924" s="504"/>
      <c r="U924" s="504"/>
      <c r="V924" s="504"/>
      <c r="W924" s="504"/>
      <c r="X924" s="504"/>
      <c r="Y924" s="504"/>
      <c r="Z924" s="504"/>
      <c r="AA924" s="504"/>
      <c r="AB924" s="504"/>
      <c r="AC924" s="322"/>
      <c r="AD924" s="322"/>
      <c r="AE924" s="322"/>
    </row>
    <row r="925" spans="1:31" x14ac:dyDescent="0.25">
      <c r="A925" s="1138">
        <v>916</v>
      </c>
      <c r="B925" s="1138" t="s">
        <v>51</v>
      </c>
      <c r="C925" s="1037" t="s">
        <v>171</v>
      </c>
      <c r="I925" s="910"/>
      <c r="J925" s="910"/>
      <c r="K925" s="1184" t="s">
        <v>1501</v>
      </c>
      <c r="L925" s="1183">
        <v>2</v>
      </c>
      <c r="M925" s="1175"/>
      <c r="S925" s="504"/>
      <c r="T925" s="504"/>
      <c r="U925" s="504"/>
      <c r="V925" s="504"/>
      <c r="W925" s="504"/>
      <c r="X925" s="504"/>
      <c r="Y925" s="504"/>
      <c r="Z925" s="504"/>
      <c r="AA925" s="504"/>
      <c r="AB925" s="504"/>
      <c r="AC925" s="322"/>
      <c r="AD925" s="322"/>
      <c r="AE925" s="322"/>
    </row>
    <row r="926" spans="1:31" x14ac:dyDescent="0.25">
      <c r="A926" s="1138">
        <v>917</v>
      </c>
      <c r="B926" s="1138" t="s">
        <v>51</v>
      </c>
      <c r="C926" s="1037" t="s">
        <v>171</v>
      </c>
      <c r="D926" s="958" t="s">
        <v>1012</v>
      </c>
      <c r="E926" s="1272">
        <f>G910+G912+G913</f>
        <v>0</v>
      </c>
      <c r="G926" s="1023"/>
      <c r="I926" s="917"/>
      <c r="J926" s="910"/>
      <c r="K926" s="1174"/>
      <c r="L926" s="1022"/>
      <c r="M926" s="1175"/>
      <c r="S926" s="504"/>
      <c r="T926" s="504"/>
      <c r="U926" s="504"/>
      <c r="V926" s="504"/>
      <c r="W926" s="504"/>
      <c r="X926" s="504"/>
      <c r="Y926" s="504"/>
      <c r="Z926" s="504"/>
      <c r="AA926" s="504"/>
      <c r="AB926" s="504"/>
      <c r="AC926" s="322"/>
      <c r="AD926" s="322"/>
      <c r="AE926" s="322"/>
    </row>
    <row r="927" spans="1:31" x14ac:dyDescent="0.25">
      <c r="A927" s="1138">
        <v>918</v>
      </c>
      <c r="B927" s="1138" t="s">
        <v>51</v>
      </c>
      <c r="C927" s="1037" t="s">
        <v>171</v>
      </c>
      <c r="D927" s="924" t="s">
        <v>77</v>
      </c>
      <c r="E927" s="1273">
        <f>Wst01_28</f>
        <v>0</v>
      </c>
      <c r="G927" s="1023"/>
      <c r="I927" s="910"/>
      <c r="J927" s="910"/>
      <c r="K927" s="1230" t="s">
        <v>316</v>
      </c>
      <c r="L927" s="1022">
        <v>0</v>
      </c>
      <c r="M927" s="1175"/>
      <c r="S927" s="504"/>
      <c r="T927" s="504"/>
      <c r="U927" s="504"/>
      <c r="V927" s="504"/>
      <c r="W927" s="504"/>
      <c r="X927" s="504"/>
      <c r="Y927" s="504"/>
      <c r="Z927" s="504"/>
      <c r="AA927" s="504"/>
      <c r="AB927" s="504"/>
      <c r="AC927" s="322"/>
      <c r="AD927" s="322"/>
      <c r="AE927" s="322"/>
    </row>
    <row r="928" spans="1:31" x14ac:dyDescent="0.25">
      <c r="A928" s="1138">
        <v>919</v>
      </c>
      <c r="B928" s="1138" t="s">
        <v>51</v>
      </c>
      <c r="C928" s="1037" t="s">
        <v>171</v>
      </c>
      <c r="D928" s="926" t="s">
        <v>1005</v>
      </c>
      <c r="E928" s="1272">
        <f>G916</f>
        <v>0</v>
      </c>
      <c r="G928" s="1023"/>
      <c r="I928" s="910"/>
      <c r="J928" s="910"/>
      <c r="K928" s="1231" t="s">
        <v>1044</v>
      </c>
      <c r="L928" s="1022">
        <v>0</v>
      </c>
      <c r="M928" s="1175"/>
      <c r="S928" s="504"/>
      <c r="T928" s="504"/>
      <c r="U928" s="504"/>
      <c r="V928" s="504"/>
      <c r="W928" s="504"/>
      <c r="X928" s="504"/>
      <c r="Y928" s="504"/>
      <c r="Z928" s="504"/>
      <c r="AA928" s="504"/>
      <c r="AB928" s="504"/>
      <c r="AC928" s="322"/>
      <c r="AD928" s="322"/>
      <c r="AE928" s="322"/>
    </row>
    <row r="929" spans="1:31" x14ac:dyDescent="0.25">
      <c r="A929" s="1138">
        <v>920</v>
      </c>
      <c r="B929" s="1138" t="s">
        <v>51</v>
      </c>
      <c r="C929" s="1037" t="s">
        <v>171</v>
      </c>
      <c r="D929" s="923" t="s">
        <v>46</v>
      </c>
      <c r="E929" s="1290" t="str">
        <f>VLOOKUP(MIN(Poeng!BD155:BD158,Poeng!BD251),Poeng!$BO$285:$BP$291,2,FALSE)</f>
        <v>Good</v>
      </c>
      <c r="G929" s="1023"/>
      <c r="I929" s="910"/>
      <c r="J929" s="910"/>
      <c r="K929" s="1231" t="s">
        <v>1043</v>
      </c>
      <c r="L929" s="1022">
        <v>0</v>
      </c>
      <c r="M929" s="1175"/>
      <c r="S929" s="504"/>
      <c r="T929" s="504"/>
      <c r="U929" s="504"/>
      <c r="V929" s="504"/>
      <c r="W929" s="504"/>
      <c r="X929" s="504"/>
      <c r="Y929" s="504"/>
      <c r="Z929" s="504"/>
      <c r="AA929" s="504"/>
      <c r="AB929" s="504"/>
      <c r="AC929" s="322"/>
      <c r="AD929" s="322"/>
      <c r="AE929" s="322"/>
    </row>
    <row r="930" spans="1:31" x14ac:dyDescent="0.25">
      <c r="A930" s="1138">
        <v>921</v>
      </c>
      <c r="B930" s="1138" t="s">
        <v>51</v>
      </c>
      <c r="C930" s="1037" t="s">
        <v>171</v>
      </c>
      <c r="G930" s="1023"/>
      <c r="I930" s="910"/>
      <c r="J930" s="910"/>
      <c r="K930" s="1231" t="s">
        <v>1042</v>
      </c>
      <c r="L930" s="1022">
        <v>1</v>
      </c>
      <c r="M930" s="1175"/>
      <c r="S930" s="504"/>
      <c r="T930" s="504"/>
      <c r="U930" s="504"/>
      <c r="V930" s="504"/>
      <c r="W930" s="504"/>
      <c r="X930" s="504"/>
      <c r="Y930" s="504"/>
      <c r="Z930" s="504"/>
      <c r="AA930" s="504"/>
      <c r="AB930" s="504"/>
      <c r="AC930" s="322"/>
      <c r="AD930" s="322"/>
      <c r="AE930" s="322"/>
    </row>
    <row r="931" spans="1:31" x14ac:dyDescent="0.25">
      <c r="A931" s="1138">
        <v>922</v>
      </c>
      <c r="B931" s="1138" t="s">
        <v>51</v>
      </c>
      <c r="C931" s="1037" t="s">
        <v>171</v>
      </c>
      <c r="D931" s="920" t="s">
        <v>1004</v>
      </c>
      <c r="E931" s="920" t="s">
        <v>1003</v>
      </c>
      <c r="F931" s="920" t="str">
        <f>HLOOKUP(C931,'Assessment References'!$H$512:$BG$513,2,FALSE)</f>
        <v/>
      </c>
      <c r="G931" s="919"/>
      <c r="H931" s="918"/>
      <c r="I931" s="910"/>
      <c r="J931" s="910"/>
      <c r="K931" s="1231" t="s">
        <v>1041</v>
      </c>
      <c r="L931" s="1022">
        <v>2</v>
      </c>
      <c r="M931" s="1175"/>
      <c r="S931" s="504"/>
      <c r="T931" s="504"/>
      <c r="U931" s="504"/>
      <c r="V931" s="504"/>
      <c r="W931" s="504"/>
      <c r="X931" s="504"/>
      <c r="Y931" s="504"/>
      <c r="Z931" s="504"/>
      <c r="AA931" s="504"/>
      <c r="AB931" s="504"/>
      <c r="AC931" s="322"/>
      <c r="AD931" s="322"/>
      <c r="AE931" s="322"/>
    </row>
    <row r="932" spans="1:31" x14ac:dyDescent="0.25">
      <c r="A932" s="1138">
        <v>923</v>
      </c>
      <c r="B932" s="1138" t="s">
        <v>51</v>
      </c>
      <c r="C932" s="1037" t="s">
        <v>171</v>
      </c>
      <c r="D932" s="1539"/>
      <c r="E932" s="1540"/>
      <c r="F932" s="1540"/>
      <c r="G932" s="1540"/>
      <c r="H932" s="1541"/>
      <c r="I932" s="910"/>
      <c r="J932" s="910"/>
      <c r="K932" s="1182"/>
      <c r="L932" s="484"/>
      <c r="M932" s="1175"/>
      <c r="S932" s="504"/>
      <c r="T932" s="504"/>
      <c r="U932" s="504"/>
      <c r="V932" s="504"/>
      <c r="W932" s="504"/>
      <c r="X932" s="504"/>
      <c r="Y932" s="504"/>
      <c r="Z932" s="504"/>
      <c r="AA932" s="504"/>
      <c r="AB932" s="504"/>
      <c r="AC932" s="322"/>
      <c r="AD932" s="322"/>
      <c r="AE932" s="322"/>
    </row>
    <row r="933" spans="1:31" x14ac:dyDescent="0.25">
      <c r="A933" s="1138">
        <v>924</v>
      </c>
      <c r="B933" s="1138" t="s">
        <v>51</v>
      </c>
      <c r="C933" s="1037" t="s">
        <v>171</v>
      </c>
      <c r="D933" s="1530"/>
      <c r="E933" s="1531"/>
      <c r="F933" s="1531"/>
      <c r="G933" s="1531"/>
      <c r="H933" s="1532"/>
      <c r="I933" s="910"/>
      <c r="J933" s="910"/>
      <c r="K933" s="1174"/>
      <c r="L933" s="1022"/>
      <c r="M933" s="1175"/>
      <c r="S933" s="504"/>
      <c r="T933" s="504"/>
      <c r="U933" s="504"/>
      <c r="V933" s="504"/>
      <c r="W933" s="504"/>
      <c r="X933" s="504"/>
      <c r="Y933" s="504"/>
      <c r="Z933" s="504"/>
      <c r="AA933" s="504"/>
      <c r="AB933" s="504"/>
      <c r="AC933" s="322"/>
      <c r="AD933" s="322"/>
      <c r="AE933" s="322"/>
    </row>
    <row r="934" spans="1:31" x14ac:dyDescent="0.25">
      <c r="A934" s="1138">
        <v>925</v>
      </c>
      <c r="B934" s="1138" t="s">
        <v>51</v>
      </c>
      <c r="C934" s="1037" t="s">
        <v>171</v>
      </c>
      <c r="D934" s="1530"/>
      <c r="E934" s="1531"/>
      <c r="F934" s="1531"/>
      <c r="G934" s="1531"/>
      <c r="H934" s="1532"/>
      <c r="I934" s="910"/>
      <c r="J934" s="910"/>
      <c r="K934" s="1174"/>
      <c r="L934" s="1022"/>
      <c r="M934" s="1175"/>
      <c r="S934" s="504"/>
      <c r="T934" s="504"/>
      <c r="U934" s="504"/>
      <c r="V934" s="504"/>
      <c r="W934" s="504"/>
      <c r="X934" s="504"/>
      <c r="Y934" s="504"/>
      <c r="Z934" s="504"/>
      <c r="AA934" s="504"/>
      <c r="AB934" s="504"/>
      <c r="AC934" s="322"/>
      <c r="AD934" s="322"/>
      <c r="AE934" s="322"/>
    </row>
    <row r="935" spans="1:31" x14ac:dyDescent="0.25">
      <c r="A935" s="1138">
        <v>926</v>
      </c>
      <c r="B935" s="1138" t="s">
        <v>51</v>
      </c>
      <c r="C935" s="1037" t="s">
        <v>171</v>
      </c>
      <c r="D935" s="1533"/>
      <c r="E935" s="1534"/>
      <c r="F935" s="1534"/>
      <c r="G935" s="1534"/>
      <c r="H935" s="1535"/>
      <c r="I935" s="910"/>
      <c r="J935" s="910"/>
      <c r="K935" s="1174"/>
      <c r="L935" s="1022"/>
      <c r="M935" s="1175"/>
      <c r="S935" s="504"/>
      <c r="T935" s="504"/>
      <c r="U935" s="504"/>
      <c r="V935" s="504"/>
      <c r="W935" s="504"/>
      <c r="X935" s="504"/>
      <c r="Y935" s="504"/>
      <c r="Z935" s="504"/>
      <c r="AA935" s="504"/>
      <c r="AB935" s="504"/>
      <c r="AC935" s="322"/>
      <c r="AD935" s="322"/>
      <c r="AE935" s="322"/>
    </row>
    <row r="936" spans="1:31" x14ac:dyDescent="0.25">
      <c r="A936" s="1138">
        <v>927</v>
      </c>
      <c r="B936" s="1138" t="s">
        <v>51</v>
      </c>
      <c r="C936" s="1037" t="s">
        <v>171</v>
      </c>
      <c r="D936" s="1533"/>
      <c r="E936" s="1534"/>
      <c r="F936" s="1534"/>
      <c r="G936" s="1534"/>
      <c r="H936" s="1535"/>
      <c r="I936" s="910"/>
      <c r="J936" s="910"/>
      <c r="K936" s="1174"/>
      <c r="L936" s="1022"/>
      <c r="M936" s="1175"/>
      <c r="S936" s="504"/>
      <c r="T936" s="504"/>
      <c r="U936" s="504"/>
      <c r="V936" s="504"/>
      <c r="W936" s="504"/>
      <c r="X936" s="504"/>
      <c r="Y936" s="504"/>
      <c r="Z936" s="504"/>
      <c r="AA936" s="504"/>
      <c r="AB936" s="504"/>
      <c r="AC936" s="322"/>
      <c r="AD936" s="322"/>
      <c r="AE936" s="322"/>
    </row>
    <row r="937" spans="1:31" x14ac:dyDescent="0.25">
      <c r="A937" s="1138">
        <v>928</v>
      </c>
      <c r="B937" s="1138" t="s">
        <v>51</v>
      </c>
      <c r="C937" s="1037" t="s">
        <v>171</v>
      </c>
      <c r="D937" s="1536"/>
      <c r="E937" s="1537"/>
      <c r="F937" s="1537"/>
      <c r="G937" s="1537"/>
      <c r="H937" s="1538"/>
      <c r="I937" s="910"/>
      <c r="J937" s="910"/>
      <c r="K937" s="1174"/>
      <c r="L937" s="1022"/>
      <c r="M937" s="1175"/>
      <c r="S937" s="504"/>
      <c r="T937" s="504"/>
      <c r="U937" s="504"/>
      <c r="V937" s="504"/>
      <c r="W937" s="504"/>
      <c r="X937" s="504"/>
      <c r="Y937" s="504"/>
      <c r="Z937" s="504"/>
      <c r="AA937" s="504"/>
      <c r="AB937" s="504"/>
      <c r="AC937" s="322"/>
      <c r="AD937" s="322"/>
      <c r="AE937" s="322"/>
    </row>
    <row r="938" spans="1:31" ht="15.75" thickBot="1" x14ac:dyDescent="0.3">
      <c r="A938" s="1138">
        <v>929</v>
      </c>
      <c r="B938" s="1138" t="s">
        <v>51</v>
      </c>
      <c r="C938" s="1037" t="s">
        <v>171</v>
      </c>
      <c r="D938" s="952"/>
      <c r="E938" s="951"/>
      <c r="F938" s="951"/>
      <c r="G938" s="951"/>
      <c r="H938" s="951"/>
      <c r="I938" s="910"/>
      <c r="J938" s="910"/>
      <c r="K938" s="1174"/>
      <c r="L938" s="1022"/>
      <c r="M938" s="1175"/>
      <c r="S938" s="504"/>
      <c r="T938" s="504"/>
      <c r="U938" s="504"/>
      <c r="V938" s="504"/>
      <c r="W938" s="504"/>
      <c r="X938" s="504"/>
      <c r="Y938" s="504"/>
      <c r="Z938" s="504"/>
      <c r="AA938" s="504"/>
      <c r="AB938" s="504"/>
      <c r="AC938" s="322"/>
      <c r="AD938" s="322"/>
      <c r="AE938" s="322"/>
    </row>
    <row r="939" spans="1:31" ht="15.75" thickBot="1" x14ac:dyDescent="0.3">
      <c r="A939" s="1138">
        <v>930</v>
      </c>
      <c r="B939" s="1139" t="s">
        <v>51</v>
      </c>
      <c r="C939" s="1012" t="s">
        <v>926</v>
      </c>
      <c r="D939" s="1015" t="s">
        <v>355</v>
      </c>
      <c r="E939" s="1014"/>
      <c r="F939" s="1014"/>
      <c r="G939" s="1013"/>
      <c r="H939" s="1013"/>
      <c r="I939" s="910"/>
      <c r="J939" s="910"/>
      <c r="K939" s="998" t="str">
        <f>C939</f>
        <v>Wst 03</v>
      </c>
      <c r="L939" s="1022"/>
      <c r="M939" s="1175"/>
      <c r="S939" s="504"/>
      <c r="T939" s="504"/>
      <c r="U939" s="504"/>
      <c r="V939" s="504"/>
      <c r="W939" s="504"/>
      <c r="X939" s="504"/>
      <c r="Y939" s="504"/>
      <c r="Z939" s="504"/>
      <c r="AA939" s="504"/>
      <c r="AB939" s="504"/>
      <c r="AC939" s="322"/>
      <c r="AD939" s="322"/>
      <c r="AE939" s="322"/>
    </row>
    <row r="940" spans="1:31" x14ac:dyDescent="0.25">
      <c r="A940" s="1138">
        <v>931</v>
      </c>
      <c r="B940" s="1138" t="s">
        <v>51</v>
      </c>
      <c r="C940" s="1037" t="s">
        <v>926</v>
      </c>
      <c r="D940" s="946" t="s">
        <v>15</v>
      </c>
      <c r="E940" s="1264">
        <f>Wst03_credits</f>
        <v>1</v>
      </c>
      <c r="F940" s="945"/>
      <c r="G940" s="944" t="s">
        <v>76</v>
      </c>
      <c r="H940" s="1266">
        <f>Wst03_12</f>
        <v>0.01</v>
      </c>
      <c r="I940" s="910"/>
      <c r="J940" s="910"/>
      <c r="K940" s="1174"/>
      <c r="L940" s="1022"/>
      <c r="M940" s="1175"/>
      <c r="S940" s="490" t="s">
        <v>1038</v>
      </c>
      <c r="T940" s="504"/>
      <c r="U940" s="504"/>
      <c r="V940" s="504"/>
      <c r="W940" s="504"/>
      <c r="X940" s="504"/>
      <c r="Y940" s="504"/>
      <c r="Z940" s="504"/>
      <c r="AA940" s="504"/>
      <c r="AB940" s="504"/>
      <c r="AC940" s="322"/>
      <c r="AD940" s="322"/>
      <c r="AE940" s="322"/>
    </row>
    <row r="941" spans="1:31" x14ac:dyDescent="0.25">
      <c r="A941" s="1138">
        <v>932</v>
      </c>
      <c r="B941" s="1138" t="s">
        <v>51</v>
      </c>
      <c r="C941" s="1037" t="s">
        <v>926</v>
      </c>
      <c r="D941" s="972" t="s">
        <v>1011</v>
      </c>
      <c r="E941" s="1265">
        <v>0</v>
      </c>
      <c r="F941" s="941"/>
      <c r="G941" s="940" t="s">
        <v>1010</v>
      </c>
      <c r="H941" s="1267" t="s">
        <v>12</v>
      </c>
      <c r="I941" s="910"/>
      <c r="J941" s="910"/>
      <c r="K941" s="1174"/>
      <c r="L941" s="1022"/>
      <c r="M941" s="1175"/>
      <c r="S941" s="504"/>
      <c r="T941" s="504"/>
      <c r="U941" s="504"/>
      <c r="V941" s="504"/>
      <c r="W941" s="504"/>
      <c r="X941" s="504"/>
      <c r="Y941" s="504"/>
      <c r="Z941" s="504"/>
      <c r="AA941" s="504"/>
      <c r="AB941" s="504"/>
      <c r="AC941" s="322"/>
      <c r="AD941" s="322"/>
      <c r="AE941" s="322"/>
    </row>
    <row r="942" spans="1:31" x14ac:dyDescent="0.25">
      <c r="A942" s="1138">
        <v>933</v>
      </c>
      <c r="B942" s="1138" t="s">
        <v>51</v>
      </c>
      <c r="C942" s="1037" t="s">
        <v>926</v>
      </c>
      <c r="I942" s="910"/>
      <c r="J942" s="910"/>
      <c r="K942" s="1174"/>
      <c r="L942" s="1022"/>
      <c r="M942" s="1175"/>
      <c r="S942" s="504"/>
      <c r="T942" s="504"/>
      <c r="U942" s="504"/>
      <c r="V942" s="504"/>
      <c r="W942" s="504"/>
      <c r="X942" s="504"/>
      <c r="Y942" s="504"/>
      <c r="Z942" s="504"/>
      <c r="AA942" s="504"/>
      <c r="AB942" s="504"/>
      <c r="AC942" s="322"/>
      <c r="AD942" s="322"/>
      <c r="AE942" s="322"/>
    </row>
    <row r="943" spans="1:31" ht="15.75" thickBot="1" x14ac:dyDescent="0.3">
      <c r="A943" s="1138">
        <v>934</v>
      </c>
      <c r="B943" s="1138" t="s">
        <v>51</v>
      </c>
      <c r="C943" s="1037" t="s">
        <v>926</v>
      </c>
      <c r="D943" s="938" t="s">
        <v>1785</v>
      </c>
      <c r="E943" s="937" t="s">
        <v>1008</v>
      </c>
      <c r="F943" s="937" t="s">
        <v>1007</v>
      </c>
      <c r="G943" s="937" t="s">
        <v>1006</v>
      </c>
      <c r="H943" s="937" t="s">
        <v>1014</v>
      </c>
      <c r="I943" s="910"/>
      <c r="J943" s="910"/>
      <c r="K943" s="1174"/>
      <c r="L943" s="1022"/>
      <c r="M943" s="1175"/>
      <c r="S943" s="504"/>
      <c r="T943" s="504"/>
      <c r="U943" s="504"/>
      <c r="V943" s="504"/>
      <c r="W943" s="504"/>
      <c r="X943" s="504"/>
      <c r="Y943" s="504"/>
      <c r="Z943" s="504"/>
      <c r="AA943" s="504"/>
      <c r="AB943" s="504"/>
      <c r="AC943" s="322"/>
      <c r="AD943" s="322"/>
      <c r="AE943" s="322"/>
    </row>
    <row r="944" spans="1:31" x14ac:dyDescent="0.25">
      <c r="A944" s="1138">
        <v>935</v>
      </c>
      <c r="B944" s="1138" t="s">
        <v>51</v>
      </c>
      <c r="C944" s="1037" t="s">
        <v>926</v>
      </c>
      <c r="D944" s="1168" t="s">
        <v>1503</v>
      </c>
      <c r="E944" s="1268" t="s">
        <v>316</v>
      </c>
      <c r="F944" s="1232">
        <f>Poeng!AB161</f>
        <v>1</v>
      </c>
      <c r="G944" s="1232">
        <f>IF(F944=0,0,IF(AND(E944=AIS_Yes,E945=AIS_Yes),F944,0))</f>
        <v>0</v>
      </c>
      <c r="H944" s="1232" t="s">
        <v>14</v>
      </c>
      <c r="I944" s="910"/>
      <c r="J944" s="910"/>
      <c r="K944" s="1174"/>
      <c r="L944" s="1022"/>
      <c r="M944" s="1175"/>
      <c r="S944" s="62" t="s">
        <v>1015</v>
      </c>
      <c r="T944" s="504"/>
      <c r="U944" s="504"/>
      <c r="V944" s="504"/>
      <c r="W944" s="504"/>
      <c r="X944" s="504"/>
      <c r="Y944" s="504" t="str">
        <f>$X$4</f>
        <v>No</v>
      </c>
      <c r="Z944" s="504"/>
      <c r="AA944" s="504"/>
      <c r="AB944" s="504"/>
      <c r="AC944" s="322"/>
      <c r="AD944" s="322"/>
      <c r="AE944" s="322"/>
    </row>
    <row r="945" spans="1:31" ht="15.75" thickBot="1" x14ac:dyDescent="0.3">
      <c r="A945" s="1138">
        <v>936</v>
      </c>
      <c r="B945" s="1138" t="s">
        <v>51</v>
      </c>
      <c r="C945" s="1037" t="s">
        <v>926</v>
      </c>
      <c r="D945" s="1170" t="s">
        <v>1504</v>
      </c>
      <c r="E945" s="1275" t="s">
        <v>316</v>
      </c>
      <c r="F945" s="1226"/>
      <c r="G945" s="1226"/>
      <c r="H945" s="1226"/>
      <c r="I945" s="910"/>
      <c r="J945" s="910"/>
      <c r="K945" s="1174"/>
      <c r="L945" s="1022"/>
      <c r="M945" s="1175"/>
      <c r="S945" s="504"/>
      <c r="T945" s="504"/>
      <c r="U945" s="504"/>
      <c r="V945" s="504"/>
      <c r="W945" s="504"/>
      <c r="X945" s="504"/>
      <c r="Y945" s="504"/>
      <c r="Z945" s="504"/>
      <c r="AA945" s="504"/>
      <c r="AB945" s="504"/>
      <c r="AC945" s="322"/>
      <c r="AD945" s="322"/>
      <c r="AE945" s="322"/>
    </row>
    <row r="946" spans="1:31" x14ac:dyDescent="0.25">
      <c r="A946" s="1138">
        <v>937</v>
      </c>
      <c r="B946" s="1138" t="s">
        <v>51</v>
      </c>
      <c r="C946" s="1037" t="s">
        <v>926</v>
      </c>
      <c r="I946" s="910"/>
      <c r="J946" s="910"/>
      <c r="K946" s="1234" t="s">
        <v>316</v>
      </c>
      <c r="L946" s="1114">
        <v>0</v>
      </c>
      <c r="M946" s="1218"/>
      <c r="S946" s="504"/>
      <c r="T946" s="504"/>
      <c r="U946" s="504"/>
      <c r="V946" s="504"/>
      <c r="W946" s="504"/>
      <c r="X946" s="504"/>
      <c r="Y946" s="504"/>
      <c r="Z946" s="504"/>
      <c r="AA946" s="504"/>
      <c r="AB946" s="504"/>
      <c r="AC946" s="322"/>
      <c r="AD946" s="322"/>
      <c r="AE946" s="322"/>
    </row>
    <row r="947" spans="1:31" ht="15.75" thickBot="1" x14ac:dyDescent="0.3">
      <c r="A947" s="1138">
        <v>938</v>
      </c>
      <c r="B947" s="1138" t="s">
        <v>51</v>
      </c>
      <c r="C947" s="1037" t="s">
        <v>926</v>
      </c>
      <c r="D947" s="938" t="s">
        <v>1784</v>
      </c>
      <c r="E947" s="937" t="s">
        <v>1008</v>
      </c>
      <c r="F947" s="937" t="s">
        <v>1007</v>
      </c>
      <c r="G947" s="937" t="s">
        <v>1006</v>
      </c>
      <c r="H947" s="937" t="s">
        <v>1014</v>
      </c>
      <c r="I947" s="910"/>
      <c r="J947" s="910"/>
      <c r="K947" s="1229" t="s">
        <v>1506</v>
      </c>
      <c r="L947" s="1235">
        <f>F948</f>
        <v>0</v>
      </c>
      <c r="M947" s="1218"/>
      <c r="S947" s="504"/>
      <c r="T947" s="504"/>
      <c r="U947" s="504"/>
      <c r="V947" s="504"/>
      <c r="W947" s="504"/>
      <c r="X947" s="504"/>
      <c r="Y947" s="504"/>
      <c r="Z947" s="504"/>
      <c r="AA947" s="504"/>
      <c r="AB947" s="504"/>
      <c r="AC947" s="322"/>
      <c r="AD947" s="322"/>
      <c r="AE947" s="322"/>
    </row>
    <row r="948" spans="1:31" ht="15.75" thickBot="1" x14ac:dyDescent="0.3">
      <c r="A948" s="1138">
        <v>939</v>
      </c>
      <c r="B948" s="1138" t="s">
        <v>51</v>
      </c>
      <c r="C948" s="1037" t="s">
        <v>926</v>
      </c>
      <c r="D948" s="1239" t="s">
        <v>1505</v>
      </c>
      <c r="E948" s="1509" t="s">
        <v>316</v>
      </c>
      <c r="F948" s="1228">
        <f>Poeng!AB163</f>
        <v>0</v>
      </c>
      <c r="G948" s="1228">
        <f>VLOOKUP(E948,K946:L948,2,FALSE)</f>
        <v>0</v>
      </c>
      <c r="H948" s="969"/>
      <c r="I948" s="910"/>
      <c r="J948" s="910"/>
      <c r="K948" s="1236" t="s">
        <v>1507</v>
      </c>
      <c r="L948" s="1237">
        <f>F948</f>
        <v>0</v>
      </c>
      <c r="M948" s="1218"/>
      <c r="S948" s="504"/>
      <c r="T948" s="504"/>
      <c r="U948" s="504"/>
      <c r="V948" s="504"/>
      <c r="W948" s="504"/>
      <c r="X948" s="504"/>
      <c r="Y948" s="504"/>
      <c r="Z948" s="504"/>
      <c r="AA948" s="504"/>
      <c r="AB948" s="504"/>
      <c r="AC948" s="322"/>
      <c r="AD948" s="322"/>
      <c r="AE948" s="322"/>
    </row>
    <row r="949" spans="1:31" x14ac:dyDescent="0.25">
      <c r="A949" s="1138">
        <v>940</v>
      </c>
      <c r="B949" s="1138" t="s">
        <v>51</v>
      </c>
      <c r="C949" s="1037" t="s">
        <v>926</v>
      </c>
      <c r="I949" s="910"/>
      <c r="J949" s="910"/>
      <c r="K949" s="1174"/>
      <c r="L949" s="1022"/>
      <c r="M949" s="1175"/>
      <c r="S949" s="504"/>
      <c r="T949" s="504"/>
      <c r="U949" s="504"/>
      <c r="V949" s="504"/>
      <c r="W949" s="504"/>
      <c r="X949" s="504"/>
      <c r="Y949" s="504"/>
      <c r="Z949" s="504"/>
      <c r="AA949" s="504"/>
      <c r="AB949" s="504"/>
      <c r="AC949" s="322"/>
      <c r="AD949" s="322"/>
      <c r="AE949" s="322"/>
    </row>
    <row r="950" spans="1:31" x14ac:dyDescent="0.25">
      <c r="A950" s="1138">
        <v>941</v>
      </c>
      <c r="B950" s="1138" t="s">
        <v>51</v>
      </c>
      <c r="C950" s="1037" t="s">
        <v>926</v>
      </c>
      <c r="D950" s="958" t="s">
        <v>1012</v>
      </c>
      <c r="E950" s="1272">
        <f>IF(G944+G948&gt;E940,E940,G944+G948)</f>
        <v>0</v>
      </c>
      <c r="I950" s="917"/>
      <c r="J950" s="910"/>
      <c r="K950" s="1174"/>
      <c r="L950" s="1022"/>
      <c r="M950" s="1175"/>
      <c r="S950" s="504"/>
      <c r="T950" s="504"/>
      <c r="U950" s="504"/>
      <c r="V950" s="504"/>
      <c r="W950" s="504"/>
      <c r="X950" s="504"/>
      <c r="Y950" s="504"/>
      <c r="Z950" s="504"/>
      <c r="AA950" s="504"/>
      <c r="AB950" s="504"/>
      <c r="AC950" s="322"/>
      <c r="AD950" s="322"/>
      <c r="AE950" s="322"/>
    </row>
    <row r="951" spans="1:31" x14ac:dyDescent="0.25">
      <c r="A951" s="1138">
        <v>942</v>
      </c>
      <c r="B951" s="1138" t="s">
        <v>51</v>
      </c>
      <c r="C951" s="1037" t="s">
        <v>926</v>
      </c>
      <c r="D951" s="924" t="s">
        <v>77</v>
      </c>
      <c r="E951" s="1273">
        <f>Wst03_13</f>
        <v>0</v>
      </c>
      <c r="I951" s="910"/>
      <c r="J951" s="910"/>
      <c r="K951" s="1174"/>
      <c r="L951" s="1022"/>
      <c r="M951" s="1175"/>
      <c r="S951" s="504"/>
      <c r="T951" s="504"/>
      <c r="U951" s="504"/>
      <c r="V951" s="504"/>
      <c r="W951" s="504"/>
      <c r="X951" s="504"/>
      <c r="Y951" s="504"/>
      <c r="Z951" s="504"/>
      <c r="AA951" s="504"/>
      <c r="AB951" s="504"/>
      <c r="AC951" s="322"/>
      <c r="AD951" s="322"/>
      <c r="AE951" s="322"/>
    </row>
    <row r="952" spans="1:31" x14ac:dyDescent="0.25">
      <c r="A952" s="1138">
        <v>943</v>
      </c>
      <c r="B952" s="1138" t="s">
        <v>51</v>
      </c>
      <c r="C952" s="1037" t="s">
        <v>926</v>
      </c>
      <c r="D952" s="926" t="s">
        <v>1005</v>
      </c>
      <c r="E952" s="1272" t="s">
        <v>14</v>
      </c>
      <c r="I952" s="910"/>
      <c r="J952" s="910"/>
      <c r="K952" s="1174"/>
      <c r="L952" s="1022"/>
      <c r="M952" s="1175"/>
      <c r="S952" s="504"/>
      <c r="T952" s="504"/>
      <c r="U952" s="504"/>
      <c r="V952" s="504"/>
      <c r="W952" s="504"/>
      <c r="X952" s="504"/>
      <c r="Y952" s="504"/>
      <c r="Z952" s="504"/>
      <c r="AA952" s="504"/>
      <c r="AB952" s="504"/>
      <c r="AC952" s="322"/>
      <c r="AD952" s="322"/>
      <c r="AE952" s="322"/>
    </row>
    <row r="953" spans="1:31" x14ac:dyDescent="0.25">
      <c r="A953" s="1138">
        <v>944</v>
      </c>
      <c r="B953" s="1138" t="s">
        <v>51</v>
      </c>
      <c r="C953" s="1037" t="s">
        <v>926</v>
      </c>
      <c r="D953" s="923" t="s">
        <v>46</v>
      </c>
      <c r="E953" s="1306" t="str">
        <f>IF(F944=E940,VLOOKUP(MIN(Poeng!BD160:BD161),Poeng!$BO$285:$BP$291,2,FALSE),VLOOKUP(MIN(Poeng!BD162:BD163),Poeng!$BO$285:$BP$291,2,FALSE))</f>
        <v>Very Good</v>
      </c>
      <c r="I953" s="910"/>
      <c r="J953" s="910"/>
      <c r="K953" s="1174"/>
      <c r="L953" s="1022"/>
      <c r="M953" s="1175"/>
      <c r="S953" s="504"/>
      <c r="T953" s="504"/>
      <c r="U953" s="504"/>
      <c r="V953" s="504"/>
      <c r="W953" s="504"/>
      <c r="X953" s="504"/>
      <c r="Y953" s="504"/>
      <c r="Z953" s="504"/>
      <c r="AA953" s="504"/>
      <c r="AB953" s="504"/>
      <c r="AC953" s="322"/>
      <c r="AD953" s="322"/>
      <c r="AE953" s="322"/>
    </row>
    <row r="954" spans="1:31" x14ac:dyDescent="0.25">
      <c r="A954" s="1138">
        <v>945</v>
      </c>
      <c r="B954" s="1138" t="s">
        <v>51</v>
      </c>
      <c r="C954" s="1037" t="s">
        <v>926</v>
      </c>
      <c r="I954" s="910"/>
      <c r="J954" s="910"/>
      <c r="K954" s="1174"/>
      <c r="L954" s="1022"/>
      <c r="M954" s="1175"/>
      <c r="S954" s="504"/>
      <c r="T954" s="504"/>
      <c r="U954" s="504"/>
      <c r="V954" s="504"/>
      <c r="W954" s="504"/>
      <c r="X954" s="504"/>
      <c r="Y954" s="504"/>
      <c r="Z954" s="504"/>
      <c r="AA954" s="504"/>
      <c r="AB954" s="504"/>
      <c r="AC954" s="322"/>
      <c r="AD954" s="322"/>
      <c r="AE954" s="322"/>
    </row>
    <row r="955" spans="1:31" x14ac:dyDescent="0.25">
      <c r="A955" s="1138">
        <v>946</v>
      </c>
      <c r="B955" s="1138" t="s">
        <v>51</v>
      </c>
      <c r="C955" s="1037" t="s">
        <v>926</v>
      </c>
      <c r="D955" s="920" t="s">
        <v>1004</v>
      </c>
      <c r="E955" s="920" t="s">
        <v>1003</v>
      </c>
      <c r="F955" s="920" t="str">
        <f>HLOOKUP(C955,'Assessment References'!$H$512:$BG$513,2,FALSE)</f>
        <v/>
      </c>
      <c r="G955" s="919"/>
      <c r="H955" s="918"/>
      <c r="I955" s="910"/>
      <c r="J955" s="910"/>
      <c r="K955" s="1174"/>
      <c r="L955" s="1022"/>
      <c r="M955" s="1175"/>
      <c r="S955" s="504"/>
      <c r="T955" s="504"/>
      <c r="U955" s="504"/>
      <c r="V955" s="504"/>
      <c r="W955" s="504"/>
      <c r="X955" s="504"/>
      <c r="Y955" s="504"/>
      <c r="Z955" s="504"/>
      <c r="AA955" s="504"/>
      <c r="AB955" s="504"/>
      <c r="AC955" s="322"/>
      <c r="AD955" s="322"/>
      <c r="AE955" s="322"/>
    </row>
    <row r="956" spans="1:31" x14ac:dyDescent="0.25">
      <c r="A956" s="1138">
        <v>947</v>
      </c>
      <c r="B956" s="1138" t="s">
        <v>51</v>
      </c>
      <c r="C956" s="1037" t="s">
        <v>926</v>
      </c>
      <c r="D956" s="1539"/>
      <c r="E956" s="1540"/>
      <c r="F956" s="1540"/>
      <c r="G956" s="1540"/>
      <c r="H956" s="1541"/>
      <c r="I956" s="910"/>
      <c r="J956" s="910"/>
      <c r="K956" s="1174"/>
      <c r="L956" s="1022"/>
      <c r="M956" s="1175"/>
      <c r="S956" s="504"/>
      <c r="T956" s="504"/>
      <c r="U956" s="504"/>
      <c r="V956" s="504"/>
      <c r="W956" s="504"/>
      <c r="X956" s="504"/>
      <c r="Y956" s="504"/>
      <c r="Z956" s="504"/>
      <c r="AA956" s="504"/>
      <c r="AB956" s="504"/>
      <c r="AC956" s="322"/>
      <c r="AD956" s="322"/>
      <c r="AE956" s="322"/>
    </row>
    <row r="957" spans="1:31" x14ac:dyDescent="0.25">
      <c r="A957" s="1138">
        <v>948</v>
      </c>
      <c r="B957" s="1138" t="s">
        <v>51</v>
      </c>
      <c r="C957" s="1037" t="s">
        <v>926</v>
      </c>
      <c r="D957" s="1530"/>
      <c r="E957" s="1531"/>
      <c r="F957" s="1531"/>
      <c r="G957" s="1531"/>
      <c r="H957" s="1532"/>
      <c r="I957" s="910"/>
      <c r="J957" s="910"/>
      <c r="K957" s="1174"/>
      <c r="L957" s="1022"/>
      <c r="M957" s="1175"/>
      <c r="S957" s="504"/>
      <c r="T957" s="504"/>
      <c r="U957" s="504"/>
      <c r="V957" s="504"/>
      <c r="W957" s="504"/>
      <c r="X957" s="504"/>
      <c r="Y957" s="504"/>
      <c r="Z957" s="504"/>
      <c r="AA957" s="504"/>
      <c r="AB957" s="504"/>
      <c r="AC957" s="322"/>
      <c r="AD957" s="322"/>
      <c r="AE957" s="322"/>
    </row>
    <row r="958" spans="1:31" x14ac:dyDescent="0.25">
      <c r="A958" s="1138">
        <v>949</v>
      </c>
      <c r="B958" s="1138" t="s">
        <v>51</v>
      </c>
      <c r="C958" s="1037" t="s">
        <v>926</v>
      </c>
      <c r="D958" s="1530"/>
      <c r="E958" s="1531"/>
      <c r="F958" s="1531"/>
      <c r="G958" s="1531"/>
      <c r="H958" s="1532"/>
      <c r="I958" s="910"/>
      <c r="J958" s="910"/>
      <c r="K958" s="1174"/>
      <c r="L958" s="1022"/>
      <c r="M958" s="1175"/>
      <c r="S958" s="504"/>
      <c r="T958" s="504"/>
      <c r="U958" s="504"/>
      <c r="V958" s="504"/>
      <c r="W958" s="504"/>
      <c r="X958" s="504"/>
      <c r="Y958" s="504"/>
      <c r="Z958" s="504"/>
      <c r="AA958" s="504"/>
      <c r="AB958" s="504"/>
      <c r="AC958" s="322"/>
      <c r="AD958" s="322"/>
      <c r="AE958" s="322"/>
    </row>
    <row r="959" spans="1:31" x14ac:dyDescent="0.25">
      <c r="A959" s="1138">
        <v>950</v>
      </c>
      <c r="B959" s="1138" t="s">
        <v>51</v>
      </c>
      <c r="C959" s="1037" t="s">
        <v>926</v>
      </c>
      <c r="D959" s="1533"/>
      <c r="E959" s="1534"/>
      <c r="F959" s="1534"/>
      <c r="G959" s="1534"/>
      <c r="H959" s="1535"/>
      <c r="I959" s="910"/>
      <c r="J959" s="910"/>
      <c r="K959" s="1174"/>
      <c r="L959" s="1022"/>
      <c r="M959" s="1175"/>
      <c r="S959" s="504"/>
      <c r="T959" s="504"/>
      <c r="U959" s="504"/>
      <c r="V959" s="504"/>
      <c r="W959" s="504"/>
      <c r="X959" s="504"/>
      <c r="Y959" s="504"/>
      <c r="Z959" s="504"/>
      <c r="AA959" s="504"/>
      <c r="AB959" s="504"/>
      <c r="AC959" s="322"/>
      <c r="AD959" s="322"/>
      <c r="AE959" s="322"/>
    </row>
    <row r="960" spans="1:31" x14ac:dyDescent="0.25">
      <c r="A960" s="1138">
        <v>951</v>
      </c>
      <c r="B960" s="1138" t="s">
        <v>51</v>
      </c>
      <c r="C960" s="1037" t="s">
        <v>926</v>
      </c>
      <c r="D960" s="1533"/>
      <c r="E960" s="1534"/>
      <c r="F960" s="1534"/>
      <c r="G960" s="1534"/>
      <c r="H960" s="1535"/>
      <c r="I960" s="910"/>
      <c r="J960" s="910"/>
      <c r="K960" s="1174"/>
      <c r="L960" s="1022"/>
      <c r="M960" s="1175"/>
      <c r="S960" s="504"/>
      <c r="T960" s="504"/>
      <c r="U960" s="504"/>
      <c r="V960" s="504"/>
      <c r="W960" s="504"/>
      <c r="X960" s="504"/>
      <c r="Y960" s="504"/>
      <c r="Z960" s="504"/>
      <c r="AA960" s="504"/>
      <c r="AB960" s="504"/>
      <c r="AC960" s="322"/>
      <c r="AD960" s="322"/>
      <c r="AE960" s="322"/>
    </row>
    <row r="961" spans="1:31" x14ac:dyDescent="0.25">
      <c r="A961" s="1138">
        <v>952</v>
      </c>
      <c r="B961" s="1138" t="s">
        <v>51</v>
      </c>
      <c r="C961" s="1037" t="s">
        <v>926</v>
      </c>
      <c r="D961" s="1536"/>
      <c r="E961" s="1537"/>
      <c r="F961" s="1537"/>
      <c r="G961" s="1537"/>
      <c r="H961" s="1538"/>
      <c r="I961" s="910"/>
      <c r="J961" s="910"/>
      <c r="K961" s="1174"/>
      <c r="L961" s="1022"/>
      <c r="M961" s="1175"/>
      <c r="S961" s="504"/>
      <c r="T961" s="504"/>
      <c r="U961" s="504"/>
      <c r="V961" s="504"/>
      <c r="W961" s="504"/>
      <c r="X961" s="504"/>
      <c r="Y961" s="504"/>
      <c r="Z961" s="504"/>
      <c r="AA961" s="504"/>
      <c r="AB961" s="504"/>
      <c r="AC961" s="322"/>
      <c r="AD961" s="322"/>
      <c r="AE961" s="322"/>
    </row>
    <row r="962" spans="1:31" x14ac:dyDescent="0.25">
      <c r="A962" s="1138">
        <v>953</v>
      </c>
      <c r="B962" s="1138" t="s">
        <v>51</v>
      </c>
      <c r="C962" s="1037" t="s">
        <v>926</v>
      </c>
      <c r="D962" s="952"/>
      <c r="E962" s="951"/>
      <c r="F962" s="951"/>
      <c r="G962" s="951"/>
      <c r="H962" s="951"/>
      <c r="I962" s="910"/>
      <c r="J962" s="910"/>
      <c r="K962" s="1174"/>
      <c r="L962" s="1022"/>
      <c r="M962" s="1175"/>
      <c r="S962" s="504"/>
      <c r="T962" s="504"/>
      <c r="U962" s="504"/>
      <c r="V962" s="504"/>
      <c r="W962" s="504"/>
      <c r="X962" s="504"/>
      <c r="Y962" s="504"/>
      <c r="Z962" s="504"/>
      <c r="AA962" s="504"/>
      <c r="AB962" s="504"/>
      <c r="AC962" s="322"/>
      <c r="AD962" s="322"/>
      <c r="AE962" s="322"/>
    </row>
    <row r="963" spans="1:31" x14ac:dyDescent="0.25">
      <c r="A963" s="1138">
        <v>954</v>
      </c>
      <c r="B963" s="1139" t="s">
        <v>51</v>
      </c>
      <c r="C963" s="950" t="s">
        <v>173</v>
      </c>
      <c r="D963" s="1015" t="s">
        <v>1508</v>
      </c>
      <c r="E963" s="1014"/>
      <c r="F963" s="1014"/>
      <c r="G963" s="1013"/>
      <c r="H963" s="974" t="str" cm="1">
        <f t="array" ref="H963">IF(Wst04_credits=AIS_credit00,AIS_statement32,"")</f>
        <v/>
      </c>
      <c r="I963" s="910"/>
      <c r="J963" s="910"/>
      <c r="K963" s="1174"/>
      <c r="L963" s="1022"/>
      <c r="M963" s="1175"/>
      <c r="S963" s="62" t="s">
        <v>1038</v>
      </c>
      <c r="T963" s="504"/>
      <c r="U963" s="504"/>
      <c r="V963" s="504"/>
      <c r="W963" s="504"/>
      <c r="X963" s="504"/>
      <c r="Y963" s="504"/>
      <c r="Z963" s="504"/>
      <c r="AA963" s="504"/>
      <c r="AB963" s="504"/>
      <c r="AC963" s="322"/>
      <c r="AD963" s="322"/>
      <c r="AE963" s="322"/>
    </row>
    <row r="964" spans="1:31" x14ac:dyDescent="0.25">
      <c r="A964" s="1138">
        <v>955</v>
      </c>
      <c r="B964" s="1138" t="s">
        <v>51</v>
      </c>
      <c r="C964" s="1037" t="s">
        <v>173</v>
      </c>
      <c r="D964" s="946" t="s">
        <v>15</v>
      </c>
      <c r="E964" s="1264">
        <f>Wst04_credits</f>
        <v>1</v>
      </c>
      <c r="F964" s="945"/>
      <c r="G964" s="944" t="s">
        <v>76</v>
      </c>
      <c r="H964" s="1266">
        <f>Wst04_08</f>
        <v>0.01</v>
      </c>
      <c r="I964" s="917"/>
      <c r="K964" s="1174"/>
      <c r="L964" s="1022"/>
      <c r="M964" s="1175"/>
      <c r="S964" s="504"/>
      <c r="T964" s="504"/>
      <c r="U964" s="504"/>
      <c r="V964" s="504"/>
      <c r="W964" s="504"/>
      <c r="X964" s="504"/>
      <c r="Y964" s="504"/>
      <c r="Z964" s="504"/>
      <c r="AA964" s="504"/>
      <c r="AB964" s="504"/>
      <c r="AC964" s="322"/>
      <c r="AD964" s="322"/>
      <c r="AE964" s="322"/>
    </row>
    <row r="965" spans="1:31" x14ac:dyDescent="0.25">
      <c r="A965" s="1138">
        <v>956</v>
      </c>
      <c r="B965" s="1138" t="s">
        <v>51</v>
      </c>
      <c r="C965" s="1037" t="s">
        <v>173</v>
      </c>
      <c r="D965" s="972" t="s">
        <v>1011</v>
      </c>
      <c r="E965" s="1265">
        <v>0</v>
      </c>
      <c r="F965" s="941"/>
      <c r="G965" s="940" t="s">
        <v>1010</v>
      </c>
      <c r="H965" s="1267" t="s">
        <v>13</v>
      </c>
      <c r="I965" s="910"/>
      <c r="J965" s="910"/>
      <c r="K965" s="1174"/>
      <c r="L965" s="1022"/>
      <c r="M965" s="1175"/>
      <c r="S965" s="504"/>
      <c r="T965" s="504"/>
      <c r="U965" s="504"/>
      <c r="V965" s="504"/>
      <c r="W965" s="504"/>
      <c r="X965" s="504"/>
      <c r="Y965" s="504"/>
      <c r="Z965" s="504"/>
      <c r="AA965" s="504"/>
      <c r="AB965" s="504"/>
      <c r="AC965" s="322"/>
      <c r="AD965" s="322"/>
      <c r="AE965" s="322"/>
    </row>
    <row r="966" spans="1:31" x14ac:dyDescent="0.25">
      <c r="A966" s="1138">
        <v>957</v>
      </c>
      <c r="B966" s="1138" t="s">
        <v>51</v>
      </c>
      <c r="C966" s="1037" t="s">
        <v>173</v>
      </c>
      <c r="I966" s="910"/>
      <c r="J966" s="910"/>
      <c r="K966" s="1174"/>
      <c r="L966" s="1022"/>
      <c r="M966" s="1175"/>
      <c r="S966" s="504"/>
      <c r="T966" s="504"/>
      <c r="U966" s="504"/>
      <c r="V966" s="504"/>
      <c r="W966" s="504"/>
      <c r="X966" s="504"/>
      <c r="Y966" s="504"/>
      <c r="Z966" s="504"/>
      <c r="AA966" s="504"/>
      <c r="AB966" s="504"/>
      <c r="AC966" s="322"/>
      <c r="AD966" s="322"/>
      <c r="AE966" s="322"/>
    </row>
    <row r="967" spans="1:31" ht="15.75" thickBot="1" x14ac:dyDescent="0.3">
      <c r="A967" s="1138">
        <v>958</v>
      </c>
      <c r="B967" s="1138" t="s">
        <v>51</v>
      </c>
      <c r="C967" s="1037" t="s">
        <v>173</v>
      </c>
      <c r="D967" s="938" t="s">
        <v>1009</v>
      </c>
      <c r="E967" s="937" t="s">
        <v>1008</v>
      </c>
      <c r="F967" s="937" t="s">
        <v>1007</v>
      </c>
      <c r="G967" s="937" t="s">
        <v>1006</v>
      </c>
      <c r="H967" s="937" t="s">
        <v>1014</v>
      </c>
      <c r="I967" s="910"/>
      <c r="J967" s="910"/>
      <c r="K967" s="1174"/>
      <c r="L967" s="1022"/>
      <c r="M967" s="1175"/>
      <c r="S967" s="504"/>
      <c r="T967" s="504"/>
      <c r="U967" s="504"/>
      <c r="V967" s="504"/>
      <c r="W967" s="504"/>
      <c r="X967" s="504"/>
      <c r="Y967" s="504"/>
      <c r="Z967" s="504"/>
      <c r="AA967" s="504"/>
      <c r="AB967" s="504"/>
      <c r="AC967" s="322"/>
      <c r="AD967" s="322"/>
      <c r="AE967" s="322"/>
    </row>
    <row r="968" spans="1:31" ht="15.75" thickBot="1" x14ac:dyDescent="0.3">
      <c r="A968" s="1138">
        <v>959</v>
      </c>
      <c r="B968" s="1138" t="s">
        <v>51</v>
      </c>
      <c r="C968" s="1037" t="s">
        <v>173</v>
      </c>
      <c r="D968" s="982" t="s">
        <v>1509</v>
      </c>
      <c r="E968" s="1240" t="s">
        <v>316</v>
      </c>
      <c r="F968" s="1228">
        <f>Poeng!AB165</f>
        <v>1</v>
      </c>
      <c r="G968" s="1228">
        <f>IF(E968=AIS_Yes,F968,0)</f>
        <v>0</v>
      </c>
      <c r="H968" s="969" t="s">
        <v>14</v>
      </c>
      <c r="I968" s="917"/>
      <c r="K968" s="1174"/>
      <c r="L968" s="1022"/>
      <c r="M968" s="1175"/>
      <c r="S968" s="62" t="s">
        <v>1015</v>
      </c>
      <c r="T968" s="504"/>
      <c r="U968" s="504"/>
      <c r="V968" s="504"/>
      <c r="W968" s="504"/>
      <c r="X968" s="504"/>
      <c r="Y968" s="504" t="str">
        <f>$X$4</f>
        <v>No</v>
      </c>
      <c r="Z968" s="504"/>
      <c r="AA968" s="504"/>
      <c r="AB968" s="504"/>
      <c r="AC968" s="322"/>
      <c r="AD968" s="322"/>
      <c r="AE968" s="322"/>
    </row>
    <row r="969" spans="1:31" x14ac:dyDescent="0.25">
      <c r="A969" s="1138">
        <v>960</v>
      </c>
      <c r="B969" s="1138" t="s">
        <v>51</v>
      </c>
      <c r="C969" s="1037" t="s">
        <v>173</v>
      </c>
      <c r="E969" s="959"/>
      <c r="I969" s="910"/>
      <c r="J969" s="910"/>
      <c r="K969" s="1174"/>
      <c r="L969" s="1022"/>
      <c r="M969" s="1175"/>
      <c r="S969" s="504"/>
      <c r="T969" s="504"/>
      <c r="U969" s="504"/>
      <c r="V969" s="504"/>
      <c r="W969" s="504"/>
      <c r="X969" s="504"/>
      <c r="Y969" s="504"/>
      <c r="Z969" s="504"/>
      <c r="AA969" s="504"/>
      <c r="AB969" s="504"/>
      <c r="AC969" s="322"/>
      <c r="AD969" s="322"/>
      <c r="AE969" s="322"/>
    </row>
    <row r="970" spans="1:31" x14ac:dyDescent="0.25">
      <c r="A970" s="1138">
        <v>961</v>
      </c>
      <c r="B970" s="1138" t="s">
        <v>51</v>
      </c>
      <c r="C970" s="1037" t="s">
        <v>173</v>
      </c>
      <c r="D970" s="958" t="s">
        <v>1012</v>
      </c>
      <c r="E970" s="1272">
        <f>G968</f>
        <v>0</v>
      </c>
      <c r="I970" s="917"/>
      <c r="J970" s="910"/>
      <c r="K970" s="1174"/>
      <c r="L970" s="1022"/>
      <c r="M970" s="1175"/>
      <c r="S970" s="504"/>
      <c r="T970" s="504"/>
      <c r="U970" s="504"/>
      <c r="V970" s="504"/>
      <c r="W970" s="504"/>
      <c r="X970" s="504"/>
      <c r="Y970" s="504"/>
      <c r="Z970" s="504"/>
      <c r="AA970" s="504"/>
      <c r="AB970" s="504"/>
      <c r="AC970" s="322"/>
      <c r="AD970" s="322"/>
      <c r="AE970" s="322"/>
    </row>
    <row r="971" spans="1:31" x14ac:dyDescent="0.25">
      <c r="A971" s="1138">
        <v>962</v>
      </c>
      <c r="B971" s="1138" t="s">
        <v>51</v>
      </c>
      <c r="C971" s="1037" t="s">
        <v>173</v>
      </c>
      <c r="D971" s="924" t="s">
        <v>77</v>
      </c>
      <c r="E971" s="1273">
        <f>Wst04_09</f>
        <v>0</v>
      </c>
      <c r="I971" s="910"/>
      <c r="J971" s="910"/>
      <c r="K971" s="1174"/>
      <c r="L971" s="1022"/>
      <c r="M971" s="1175"/>
      <c r="S971" s="504"/>
      <c r="T971" s="504"/>
      <c r="U971" s="504"/>
      <c r="V971" s="504"/>
      <c r="W971" s="504"/>
      <c r="X971" s="504"/>
      <c r="Y971" s="504"/>
      <c r="Z971" s="504"/>
      <c r="AA971" s="504"/>
      <c r="AB971" s="504"/>
      <c r="AC971" s="322"/>
      <c r="AD971" s="322"/>
      <c r="AE971" s="322"/>
    </row>
    <row r="972" spans="1:31" x14ac:dyDescent="0.25">
      <c r="A972" s="1138">
        <v>963</v>
      </c>
      <c r="B972" s="1138" t="s">
        <v>51</v>
      </c>
      <c r="C972" s="1037" t="s">
        <v>173</v>
      </c>
      <c r="D972" s="926" t="s">
        <v>1005</v>
      </c>
      <c r="E972" s="1272" t="s">
        <v>14</v>
      </c>
      <c r="I972" s="910"/>
      <c r="J972" s="910"/>
      <c r="K972" s="1174"/>
      <c r="L972" s="1022"/>
      <c r="M972" s="1175"/>
      <c r="S972" s="504"/>
      <c r="T972" s="504"/>
      <c r="U972" s="504"/>
      <c r="V972" s="504"/>
      <c r="W972" s="504"/>
      <c r="X972" s="504"/>
      <c r="Y972" s="504"/>
      <c r="Z972" s="504"/>
      <c r="AA972" s="504"/>
      <c r="AB972" s="504"/>
      <c r="AC972" s="322"/>
      <c r="AD972" s="322"/>
      <c r="AE972" s="322"/>
    </row>
    <row r="973" spans="1:31" x14ac:dyDescent="0.25">
      <c r="A973" s="1138">
        <v>964</v>
      </c>
      <c r="B973" s="1138" t="s">
        <v>51</v>
      </c>
      <c r="C973" s="1037" t="s">
        <v>173</v>
      </c>
      <c r="D973" s="923" t="s">
        <v>46</v>
      </c>
      <c r="E973" s="1290" t="s">
        <v>14</v>
      </c>
      <c r="I973" s="910"/>
      <c r="J973" s="910"/>
      <c r="K973" s="1174"/>
      <c r="L973" s="1022"/>
      <c r="M973" s="1175"/>
      <c r="S973" s="504"/>
      <c r="T973" s="504"/>
      <c r="U973" s="504"/>
      <c r="V973" s="504"/>
      <c r="W973" s="504"/>
      <c r="X973" s="504"/>
      <c r="Y973" s="504"/>
      <c r="Z973" s="504"/>
      <c r="AA973" s="504"/>
      <c r="AB973" s="504"/>
      <c r="AC973" s="322"/>
      <c r="AD973" s="322"/>
      <c r="AE973" s="322"/>
    </row>
    <row r="974" spans="1:31" x14ac:dyDescent="0.25">
      <c r="A974" s="1138">
        <v>965</v>
      </c>
      <c r="B974" s="1138" t="s">
        <v>51</v>
      </c>
      <c r="C974" s="1037" t="s">
        <v>173</v>
      </c>
      <c r="E974"/>
      <c r="I974" s="910"/>
      <c r="J974" s="910"/>
      <c r="K974" s="1174"/>
      <c r="L974" s="1022"/>
      <c r="M974" s="1175"/>
      <c r="S974" s="504"/>
      <c r="T974" s="504"/>
      <c r="U974" s="504"/>
      <c r="V974" s="504"/>
      <c r="W974" s="504"/>
      <c r="X974" s="504"/>
      <c r="Y974" s="504"/>
      <c r="Z974" s="504"/>
      <c r="AA974" s="504"/>
      <c r="AB974" s="504"/>
      <c r="AC974" s="322"/>
      <c r="AD974" s="322"/>
      <c r="AE974" s="322"/>
    </row>
    <row r="975" spans="1:31" x14ac:dyDescent="0.25">
      <c r="A975" s="1138">
        <v>966</v>
      </c>
      <c r="B975" s="1138" t="s">
        <v>51</v>
      </c>
      <c r="C975" s="1037" t="s">
        <v>173</v>
      </c>
      <c r="D975" s="920" t="s">
        <v>1004</v>
      </c>
      <c r="E975" s="920" t="s">
        <v>1003</v>
      </c>
      <c r="F975" s="920" t="str">
        <f>HLOOKUP(C975,'Assessment References'!$H$512:$BG$513,2,FALSE)</f>
        <v/>
      </c>
      <c r="G975" s="919"/>
      <c r="H975" s="918"/>
      <c r="I975" s="910"/>
      <c r="J975" s="910"/>
      <c r="K975" s="1174"/>
      <c r="L975" s="1022"/>
      <c r="M975" s="1175"/>
      <c r="S975" s="504"/>
      <c r="T975" s="504"/>
      <c r="U975" s="504"/>
      <c r="V975" s="504"/>
      <c r="W975" s="504"/>
      <c r="X975" s="504"/>
      <c r="Y975" s="504"/>
      <c r="Z975" s="504"/>
      <c r="AA975" s="504"/>
      <c r="AB975" s="504"/>
      <c r="AC975" s="322"/>
      <c r="AD975" s="322"/>
      <c r="AE975" s="322"/>
    </row>
    <row r="976" spans="1:31" x14ac:dyDescent="0.25">
      <c r="A976" s="1138">
        <v>967</v>
      </c>
      <c r="B976" s="1138" t="s">
        <v>51</v>
      </c>
      <c r="C976" s="1037" t="s">
        <v>173</v>
      </c>
      <c r="D976" s="1539"/>
      <c r="E976" s="1540"/>
      <c r="F976" s="1540"/>
      <c r="G976" s="1540"/>
      <c r="H976" s="1541"/>
      <c r="I976" s="910"/>
      <c r="J976" s="910"/>
      <c r="K976" s="1174"/>
      <c r="L976" s="1022"/>
      <c r="M976" s="1175"/>
      <c r="S976" s="504"/>
      <c r="T976" s="504"/>
      <c r="U976" s="504"/>
      <c r="V976" s="504"/>
      <c r="W976" s="504"/>
      <c r="X976" s="504"/>
      <c r="Y976" s="504"/>
      <c r="Z976" s="504"/>
      <c r="AA976" s="504"/>
      <c r="AB976" s="504"/>
      <c r="AC976" s="322"/>
      <c r="AD976" s="322"/>
      <c r="AE976" s="322"/>
    </row>
    <row r="977" spans="1:31" x14ac:dyDescent="0.25">
      <c r="A977" s="1138">
        <v>968</v>
      </c>
      <c r="B977" s="1138" t="s">
        <v>51</v>
      </c>
      <c r="C977" s="1037" t="s">
        <v>173</v>
      </c>
      <c r="D977" s="1530"/>
      <c r="E977" s="1531"/>
      <c r="F977" s="1531"/>
      <c r="G977" s="1531"/>
      <c r="H977" s="1532"/>
      <c r="I977" s="910"/>
      <c r="J977" s="910"/>
      <c r="K977" s="1174"/>
      <c r="L977" s="1022"/>
      <c r="M977" s="1175"/>
      <c r="S977" s="504"/>
      <c r="T977" s="504"/>
      <c r="U977" s="504"/>
      <c r="V977" s="504"/>
      <c r="W977" s="504"/>
      <c r="X977" s="504"/>
      <c r="Y977" s="504"/>
      <c r="Z977" s="504"/>
      <c r="AA977" s="504"/>
      <c r="AB977" s="504"/>
      <c r="AC977" s="322"/>
      <c r="AD977" s="322"/>
      <c r="AE977" s="322"/>
    </row>
    <row r="978" spans="1:31" x14ac:dyDescent="0.25">
      <c r="A978" s="1138">
        <v>969</v>
      </c>
      <c r="B978" s="1138" t="s">
        <v>51</v>
      </c>
      <c r="C978" s="1037" t="s">
        <v>173</v>
      </c>
      <c r="D978" s="1530"/>
      <c r="E978" s="1531"/>
      <c r="F978" s="1531"/>
      <c r="G978" s="1531"/>
      <c r="H978" s="1532"/>
      <c r="I978" s="910"/>
      <c r="J978" s="910"/>
      <c r="K978" s="1174"/>
      <c r="L978" s="1022"/>
      <c r="M978" s="1175"/>
      <c r="S978" s="504"/>
      <c r="T978" s="504"/>
      <c r="U978" s="504"/>
      <c r="V978" s="504"/>
      <c r="W978" s="504"/>
      <c r="X978" s="504"/>
      <c r="Y978" s="504"/>
      <c r="Z978" s="504"/>
      <c r="AA978" s="504"/>
      <c r="AB978" s="504"/>
      <c r="AC978" s="322"/>
      <c r="AD978" s="322"/>
      <c r="AE978" s="322"/>
    </row>
    <row r="979" spans="1:31" x14ac:dyDescent="0.25">
      <c r="A979" s="1138">
        <v>970</v>
      </c>
      <c r="B979" s="1138" t="s">
        <v>51</v>
      </c>
      <c r="C979" s="1037" t="s">
        <v>173</v>
      </c>
      <c r="D979" s="1533"/>
      <c r="E979" s="1534"/>
      <c r="F979" s="1534"/>
      <c r="G979" s="1534"/>
      <c r="H979" s="1535"/>
      <c r="I979" s="910"/>
      <c r="J979" s="910"/>
      <c r="K979" s="1174"/>
      <c r="L979" s="1022"/>
      <c r="M979" s="1175"/>
      <c r="S979" s="504"/>
      <c r="T979" s="504"/>
      <c r="U979" s="504"/>
      <c r="V979" s="504"/>
      <c r="W979" s="504"/>
      <c r="X979" s="504"/>
      <c r="Y979" s="504"/>
      <c r="Z979" s="504"/>
      <c r="AA979" s="504"/>
      <c r="AB979" s="504"/>
      <c r="AC979" s="322"/>
      <c r="AD979" s="322"/>
      <c r="AE979" s="322"/>
    </row>
    <row r="980" spans="1:31" x14ac:dyDescent="0.25">
      <c r="A980" s="1138">
        <v>971</v>
      </c>
      <c r="B980" s="1138" t="s">
        <v>51</v>
      </c>
      <c r="C980" s="1037" t="s">
        <v>173</v>
      </c>
      <c r="D980" s="1533"/>
      <c r="E980" s="1534"/>
      <c r="F980" s="1534"/>
      <c r="G980" s="1534"/>
      <c r="H980" s="1535"/>
      <c r="I980" s="910"/>
      <c r="J980" s="910"/>
      <c r="K980" s="1174"/>
      <c r="L980" s="1022"/>
      <c r="M980" s="1175"/>
      <c r="S980" s="504"/>
      <c r="T980" s="504"/>
      <c r="U980" s="504"/>
      <c r="V980" s="504"/>
      <c r="W980" s="504"/>
      <c r="X980" s="504"/>
      <c r="Y980" s="504"/>
      <c r="Z980" s="504"/>
      <c r="AA980" s="504"/>
      <c r="AB980" s="504"/>
      <c r="AC980" s="322"/>
      <c r="AD980" s="322"/>
      <c r="AE980" s="322"/>
    </row>
    <row r="981" spans="1:31" x14ac:dyDescent="0.25">
      <c r="A981" s="1138">
        <v>972</v>
      </c>
      <c r="B981" s="1138" t="s">
        <v>51</v>
      </c>
      <c r="C981" s="1037" t="s">
        <v>173</v>
      </c>
      <c r="D981" s="1536"/>
      <c r="E981" s="1537"/>
      <c r="F981" s="1537"/>
      <c r="G981" s="1537"/>
      <c r="H981" s="1538"/>
      <c r="I981" s="910"/>
      <c r="J981" s="910"/>
      <c r="K981" s="1174"/>
      <c r="L981" s="1022"/>
      <c r="M981" s="1175"/>
      <c r="S981" s="504"/>
      <c r="T981" s="504"/>
      <c r="U981" s="504"/>
      <c r="V981" s="504"/>
      <c r="W981" s="504"/>
      <c r="X981" s="504"/>
      <c r="Y981" s="504"/>
      <c r="Z981" s="504"/>
      <c r="AA981" s="504"/>
      <c r="AB981" s="504"/>
      <c r="AC981" s="322"/>
      <c r="AD981" s="322"/>
      <c r="AE981" s="322"/>
    </row>
    <row r="982" spans="1:31" x14ac:dyDescent="0.25">
      <c r="A982" s="1138">
        <v>973</v>
      </c>
      <c r="B982" s="1138" t="s">
        <v>51</v>
      </c>
      <c r="C982" s="1037" t="s">
        <v>173</v>
      </c>
      <c r="D982" s="952"/>
      <c r="E982" s="951"/>
      <c r="F982" s="951"/>
      <c r="G982" s="951"/>
      <c r="H982" s="951"/>
      <c r="I982" s="910"/>
      <c r="J982" s="910"/>
      <c r="K982" s="1174"/>
      <c r="L982" s="1022"/>
      <c r="M982" s="1175"/>
      <c r="S982" s="504"/>
      <c r="T982" s="504"/>
      <c r="U982" s="504"/>
      <c r="V982" s="504"/>
      <c r="W982" s="504"/>
      <c r="X982" s="504"/>
      <c r="Y982" s="504"/>
      <c r="Z982" s="504"/>
      <c r="AA982" s="504"/>
      <c r="AB982" s="504"/>
      <c r="AC982" s="322"/>
      <c r="AD982" s="322"/>
      <c r="AE982" s="322"/>
    </row>
    <row r="983" spans="1:31" ht="18.75" x14ac:dyDescent="0.3">
      <c r="A983" s="1138">
        <v>974</v>
      </c>
      <c r="B983" s="957" t="s">
        <v>52</v>
      </c>
      <c r="C983" s="956"/>
      <c r="D983" s="954"/>
      <c r="E983" s="954"/>
      <c r="F983" s="954"/>
      <c r="G983" s="954"/>
      <c r="H983" s="953"/>
      <c r="I983" s="910"/>
      <c r="J983" s="910"/>
      <c r="K983" s="1174"/>
      <c r="L983" s="1022"/>
      <c r="M983" s="1175"/>
      <c r="S983" s="504"/>
      <c r="T983" s="504"/>
      <c r="U983" s="504"/>
      <c r="V983" s="504"/>
      <c r="W983" s="504"/>
      <c r="X983" s="504"/>
      <c r="Y983" s="504"/>
      <c r="Z983" s="504"/>
      <c r="AA983" s="504"/>
      <c r="AB983" s="504"/>
      <c r="AC983" s="322"/>
      <c r="AD983" s="322"/>
      <c r="AE983" s="322"/>
    </row>
    <row r="984" spans="1:31" x14ac:dyDescent="0.25">
      <c r="A984" s="1138">
        <v>975</v>
      </c>
      <c r="B984" s="1138" t="s">
        <v>52</v>
      </c>
      <c r="C984" s="917"/>
      <c r="D984" s="1021"/>
      <c r="E984" s="1021"/>
      <c r="F984" s="1020"/>
      <c r="G984" s="1020"/>
      <c r="H984" s="1019"/>
      <c r="I984" s="1018"/>
      <c r="J984" s="1018"/>
      <c r="K984" s="1174"/>
      <c r="L984" s="1022"/>
      <c r="M984" s="1175"/>
      <c r="S984" s="504"/>
      <c r="T984" s="504"/>
      <c r="U984" s="504"/>
      <c r="V984" s="504"/>
      <c r="W984" s="504"/>
      <c r="X984" s="504"/>
      <c r="Y984" s="504"/>
      <c r="Z984" s="504"/>
      <c r="AA984" s="504"/>
      <c r="AB984" s="504"/>
      <c r="AC984" s="322"/>
      <c r="AD984" s="322"/>
      <c r="AE984" s="322"/>
    </row>
    <row r="985" spans="1:31" x14ac:dyDescent="0.25">
      <c r="A985" s="1138">
        <v>976</v>
      </c>
      <c r="B985" s="1139" t="s">
        <v>52</v>
      </c>
      <c r="C985" s="978" t="s">
        <v>174</v>
      </c>
      <c r="D985" s="1015" t="s">
        <v>359</v>
      </c>
      <c r="E985" s="1014"/>
      <c r="F985" s="1014"/>
      <c r="G985" s="1013"/>
      <c r="H985" s="1013"/>
      <c r="I985" s="973"/>
      <c r="J985" s="973"/>
      <c r="K985" s="1174"/>
      <c r="L985" s="1022"/>
      <c r="M985" s="1175"/>
      <c r="S985" s="504"/>
      <c r="T985" s="504"/>
      <c r="U985" s="504"/>
      <c r="V985" s="504"/>
      <c r="W985" s="504"/>
      <c r="X985" s="504"/>
      <c r="Y985" s="504"/>
      <c r="Z985" s="504"/>
      <c r="AA985" s="504"/>
      <c r="AB985" s="504"/>
      <c r="AC985" s="322"/>
      <c r="AD985" s="322"/>
      <c r="AE985" s="322"/>
    </row>
    <row r="986" spans="1:31" x14ac:dyDescent="0.25">
      <c r="A986" s="1138">
        <v>977</v>
      </c>
      <c r="B986" s="1138" t="s">
        <v>52</v>
      </c>
      <c r="C986" s="1037" t="s">
        <v>174</v>
      </c>
      <c r="D986" s="946" t="s">
        <v>15</v>
      </c>
      <c r="E986" s="1264">
        <f>LE01_credits</f>
        <v>2</v>
      </c>
      <c r="F986" s="945"/>
      <c r="G986" s="944" t="s">
        <v>76</v>
      </c>
      <c r="H986" s="1266">
        <f>LE01_07</f>
        <v>1.5789473684210527E-2</v>
      </c>
      <c r="I986" s="910"/>
      <c r="J986" s="910"/>
      <c r="K986" s="1230" t="s">
        <v>316</v>
      </c>
      <c r="L986" s="1022"/>
      <c r="M986" s="1175"/>
      <c r="S986" s="504"/>
      <c r="T986" s="504"/>
      <c r="U986" s="504"/>
      <c r="V986" s="504"/>
      <c r="W986" s="504"/>
      <c r="X986" s="504"/>
      <c r="Y986" s="504"/>
      <c r="Z986" s="504"/>
      <c r="AA986" s="504"/>
      <c r="AB986" s="504"/>
      <c r="AC986" s="322"/>
      <c r="AD986" s="322"/>
      <c r="AE986" s="322"/>
    </row>
    <row r="987" spans="1:31" x14ac:dyDescent="0.25">
      <c r="A987" s="1138">
        <v>978</v>
      </c>
      <c r="B987" s="1138" t="s">
        <v>52</v>
      </c>
      <c r="C987" s="1037" t="s">
        <v>174</v>
      </c>
      <c r="D987" s="972" t="s">
        <v>1011</v>
      </c>
      <c r="E987" s="1265">
        <v>0</v>
      </c>
      <c r="F987" s="941"/>
      <c r="G987" s="940" t="s">
        <v>1010</v>
      </c>
      <c r="H987" s="1267" t="s">
        <v>12</v>
      </c>
      <c r="I987" s="910"/>
      <c r="J987" s="910"/>
      <c r="K987" s="1230" t="s">
        <v>1510</v>
      </c>
      <c r="L987" s="1022"/>
      <c r="M987" s="1175"/>
      <c r="S987" s="504"/>
      <c r="T987" s="504"/>
      <c r="U987" s="504"/>
      <c r="V987" s="504"/>
      <c r="W987" s="504"/>
      <c r="X987" s="504"/>
      <c r="Y987" s="504"/>
      <c r="Z987" s="504"/>
      <c r="AA987" s="504"/>
      <c r="AB987" s="504"/>
      <c r="AC987" s="322"/>
      <c r="AD987" s="322"/>
      <c r="AE987" s="322"/>
    </row>
    <row r="988" spans="1:31" x14ac:dyDescent="0.25">
      <c r="A988" s="1138">
        <v>979</v>
      </c>
      <c r="B988" s="1138" t="s">
        <v>52</v>
      </c>
      <c r="C988" s="1037" t="s">
        <v>174</v>
      </c>
      <c r="I988" s="910"/>
      <c r="J988" s="910"/>
      <c r="K988" s="1230" t="s">
        <v>1511</v>
      </c>
      <c r="L988" s="1022"/>
      <c r="M988" s="1175"/>
      <c r="S988" s="504"/>
      <c r="T988" s="504"/>
      <c r="U988" s="504"/>
      <c r="V988" s="504"/>
      <c r="W988" s="504"/>
      <c r="X988" s="504"/>
      <c r="Y988" s="504"/>
      <c r="Z988" s="504"/>
      <c r="AA988" s="504"/>
      <c r="AB988" s="504"/>
      <c r="AC988" s="322"/>
      <c r="AD988" s="322"/>
      <c r="AE988" s="322"/>
    </row>
    <row r="989" spans="1:31" ht="15.75" thickBot="1" x14ac:dyDescent="0.3">
      <c r="A989" s="1138">
        <v>980</v>
      </c>
      <c r="B989" s="1138" t="s">
        <v>52</v>
      </c>
      <c r="C989" s="1037" t="s">
        <v>174</v>
      </c>
      <c r="D989" s="938" t="s">
        <v>1786</v>
      </c>
      <c r="E989" s="937" t="s">
        <v>1037</v>
      </c>
      <c r="F989" s="937" t="s">
        <v>1007</v>
      </c>
      <c r="G989" s="937" t="s">
        <v>1006</v>
      </c>
      <c r="H989" s="937" t="s">
        <v>1014</v>
      </c>
      <c r="I989" s="910"/>
      <c r="J989" s="910"/>
      <c r="K989" s="1174"/>
      <c r="L989" s="1022"/>
      <c r="M989" s="1175"/>
      <c r="S989" s="504"/>
      <c r="T989" s="504"/>
      <c r="U989" s="504"/>
      <c r="V989" s="504"/>
      <c r="W989" s="504"/>
      <c r="X989" s="504"/>
      <c r="Y989" s="504"/>
      <c r="Z989" s="504"/>
      <c r="AA989" s="504"/>
      <c r="AB989" s="504"/>
      <c r="AC989" s="322"/>
      <c r="AD989" s="322"/>
      <c r="AE989" s="322"/>
    </row>
    <row r="990" spans="1:31" x14ac:dyDescent="0.25">
      <c r="A990" s="1138">
        <v>981</v>
      </c>
      <c r="B990" s="1138" t="s">
        <v>52</v>
      </c>
      <c r="C990" s="1037" t="s">
        <v>174</v>
      </c>
      <c r="D990" s="1168" t="s">
        <v>1763</v>
      </c>
      <c r="E990" s="1333" t="s">
        <v>1036</v>
      </c>
      <c r="F990" s="1232">
        <f>Poeng!AB170</f>
        <v>2</v>
      </c>
      <c r="G990" s="1232">
        <f>IF(E990=Options!Q3,0,IF(E990&lt;0.75,0,IF(E990&lt;0.95,F990/2,F990)))*IF(E991=K987,1,0)</f>
        <v>0</v>
      </c>
      <c r="H990" s="1232" t="s">
        <v>14</v>
      </c>
      <c r="I990" s="910"/>
      <c r="J990" s="910"/>
      <c r="K990" s="1206"/>
      <c r="L990" s="1022"/>
      <c r="M990" s="1175"/>
      <c r="S990" s="62" t="s">
        <v>1015</v>
      </c>
      <c r="T990" s="504"/>
      <c r="U990" s="504"/>
      <c r="V990" s="504"/>
      <c r="W990" s="504"/>
      <c r="X990" s="504"/>
      <c r="Y990" s="504" t="str">
        <f>$X$4</f>
        <v>No</v>
      </c>
      <c r="Z990" s="504"/>
      <c r="AA990" s="504"/>
      <c r="AB990" s="504"/>
      <c r="AC990" s="322"/>
      <c r="AD990" s="322"/>
      <c r="AE990" s="322"/>
    </row>
    <row r="991" spans="1:31" ht="30.75" thickBot="1" x14ac:dyDescent="0.3">
      <c r="A991" s="1138">
        <v>982</v>
      </c>
      <c r="B991" s="1138" t="s">
        <v>52</v>
      </c>
      <c r="C991" s="1037" t="s">
        <v>174</v>
      </c>
      <c r="D991" s="1419" t="s">
        <v>1871</v>
      </c>
      <c r="E991" s="1275" t="s">
        <v>316</v>
      </c>
      <c r="F991" s="1226"/>
      <c r="G991" s="1226"/>
      <c r="H991" s="1226"/>
      <c r="I991" s="910"/>
      <c r="J991" s="910"/>
      <c r="K991" s="1230" t="str">
        <f>IF(E991=K987,AIS_Yes,AIS_No)</f>
        <v>No</v>
      </c>
      <c r="L991" s="1022"/>
      <c r="M991" s="1175"/>
      <c r="S991" s="62" t="s">
        <v>1015</v>
      </c>
      <c r="T991" s="504"/>
      <c r="U991" s="504"/>
      <c r="V991" s="504"/>
      <c r="W991" s="504"/>
      <c r="X991" s="504"/>
      <c r="Y991" s="504" t="str">
        <f>$X$4</f>
        <v>No</v>
      </c>
      <c r="Z991" s="504"/>
      <c r="AA991" s="504"/>
      <c r="AB991" s="504"/>
      <c r="AC991" s="322"/>
      <c r="AD991" s="322"/>
      <c r="AE991" s="322"/>
    </row>
    <row r="992" spans="1:31" x14ac:dyDescent="0.25">
      <c r="A992" s="1138">
        <v>983</v>
      </c>
      <c r="B992" s="1138" t="s">
        <v>52</v>
      </c>
      <c r="C992" s="1037" t="s">
        <v>174</v>
      </c>
      <c r="I992" s="910"/>
      <c r="J992" s="910"/>
      <c r="K992" s="1206"/>
      <c r="L992" s="1022"/>
      <c r="M992" s="1175"/>
      <c r="S992" s="504"/>
      <c r="T992" s="504"/>
      <c r="U992" s="504"/>
      <c r="V992" s="504"/>
      <c r="W992" s="504"/>
      <c r="X992" s="504"/>
      <c r="Y992" s="504"/>
      <c r="Z992" s="504"/>
      <c r="AA992" s="504"/>
      <c r="AB992" s="504"/>
      <c r="AC992" s="322"/>
      <c r="AD992" s="322"/>
      <c r="AE992" s="322"/>
    </row>
    <row r="993" spans="1:31" x14ac:dyDescent="0.25">
      <c r="A993" s="1138">
        <v>984</v>
      </c>
      <c r="B993" s="1138" t="s">
        <v>52</v>
      </c>
      <c r="C993" s="1037" t="s">
        <v>174</v>
      </c>
      <c r="D993" s="958" t="s">
        <v>1012</v>
      </c>
      <c r="E993" s="1272">
        <f>G990</f>
        <v>0</v>
      </c>
      <c r="I993" s="917"/>
      <c r="J993" s="910"/>
      <c r="K993" s="1174"/>
      <c r="L993" s="1022"/>
      <c r="M993" s="1175"/>
      <c r="S993" s="504"/>
      <c r="T993" s="504"/>
      <c r="U993" s="504"/>
      <c r="V993" s="504"/>
      <c r="W993" s="504"/>
      <c r="X993" s="504"/>
      <c r="Y993" s="504"/>
      <c r="Z993" s="504"/>
      <c r="AA993" s="504"/>
      <c r="AB993" s="504"/>
      <c r="AC993" s="322"/>
      <c r="AD993" s="322"/>
      <c r="AE993" s="322"/>
    </row>
    <row r="994" spans="1:31" x14ac:dyDescent="0.25">
      <c r="A994" s="1138">
        <v>985</v>
      </c>
      <c r="B994" s="1138" t="s">
        <v>52</v>
      </c>
      <c r="C994" s="1037" t="s">
        <v>174</v>
      </c>
      <c r="D994" s="924" t="s">
        <v>77</v>
      </c>
      <c r="E994" s="1273">
        <f>LE01_08</f>
        <v>0</v>
      </c>
      <c r="I994" s="910"/>
      <c r="J994" s="910"/>
      <c r="K994" s="1174"/>
      <c r="L994" s="1022"/>
      <c r="M994" s="1175"/>
      <c r="S994" s="504"/>
      <c r="T994" s="504"/>
      <c r="U994" s="504"/>
      <c r="V994" s="504"/>
      <c r="W994" s="504"/>
      <c r="X994" s="504"/>
      <c r="Y994" s="504"/>
      <c r="Z994" s="504"/>
      <c r="AA994" s="504"/>
      <c r="AB994" s="504"/>
      <c r="AC994" s="322"/>
      <c r="AD994" s="322"/>
      <c r="AE994" s="322"/>
    </row>
    <row r="995" spans="1:31" x14ac:dyDescent="0.25">
      <c r="A995" s="1138">
        <v>986</v>
      </c>
      <c r="B995" s="1138" t="s">
        <v>52</v>
      </c>
      <c r="C995" s="1037" t="s">
        <v>174</v>
      </c>
      <c r="D995" s="926" t="s">
        <v>1005</v>
      </c>
      <c r="E995" s="1272" t="s">
        <v>14</v>
      </c>
      <c r="I995" s="910"/>
      <c r="J995" s="910"/>
      <c r="K995" s="1174"/>
      <c r="L995" s="1022"/>
      <c r="M995" s="1175"/>
      <c r="S995" s="504"/>
      <c r="T995" s="504"/>
      <c r="U995" s="504"/>
      <c r="V995" s="504"/>
      <c r="W995" s="504"/>
      <c r="X995" s="504"/>
      <c r="Y995" s="504"/>
      <c r="Z995" s="504"/>
      <c r="AA995" s="504"/>
      <c r="AB995" s="504"/>
      <c r="AC995" s="322"/>
      <c r="AD995" s="322"/>
      <c r="AE995" s="322"/>
    </row>
    <row r="996" spans="1:31" x14ac:dyDescent="0.25">
      <c r="A996" s="1138">
        <v>987</v>
      </c>
      <c r="B996" s="1138" t="s">
        <v>52</v>
      </c>
      <c r="C996" s="1037" t="s">
        <v>174</v>
      </c>
      <c r="D996" s="923" t="s">
        <v>46</v>
      </c>
      <c r="E996" s="1306" t="str">
        <f>VLOOKUP(MIN(Poeng!BD169:BD170,Poeng!BD252),Poeng!$BO$285:$BP$291,2,FALSE)</f>
        <v>Very Good</v>
      </c>
      <c r="I996" s="910"/>
      <c r="J996" s="910"/>
      <c r="K996" s="1174"/>
      <c r="L996" s="1022"/>
      <c r="M996" s="1175"/>
      <c r="S996" s="504"/>
      <c r="T996" s="504"/>
      <c r="U996" s="504"/>
      <c r="V996" s="504"/>
      <c r="W996" s="504"/>
      <c r="X996" s="504"/>
      <c r="Y996" s="504"/>
      <c r="Z996" s="504"/>
      <c r="AA996" s="504"/>
      <c r="AB996" s="504"/>
      <c r="AC996" s="322"/>
      <c r="AD996" s="322"/>
      <c r="AE996" s="322"/>
    </row>
    <row r="997" spans="1:31" x14ac:dyDescent="0.25">
      <c r="A997" s="1138">
        <v>988</v>
      </c>
      <c r="B997" s="1138" t="s">
        <v>52</v>
      </c>
      <c r="C997" s="1037" t="s">
        <v>174</v>
      </c>
      <c r="I997" s="910"/>
      <c r="J997" s="910"/>
      <c r="K997" s="1174"/>
      <c r="L997" s="1022"/>
      <c r="M997" s="1175"/>
      <c r="S997" s="504"/>
      <c r="T997" s="504"/>
      <c r="U997" s="504"/>
      <c r="V997" s="504"/>
      <c r="W997" s="504"/>
      <c r="X997" s="504"/>
      <c r="Y997" s="504"/>
      <c r="Z997" s="504"/>
      <c r="AA997" s="504"/>
      <c r="AB997" s="504"/>
      <c r="AC997" s="322"/>
      <c r="AD997" s="322"/>
      <c r="AE997" s="322"/>
    </row>
    <row r="998" spans="1:31" x14ac:dyDescent="0.25">
      <c r="A998" s="1138">
        <v>989</v>
      </c>
      <c r="B998" s="1138" t="s">
        <v>52</v>
      </c>
      <c r="C998" s="1037" t="s">
        <v>174</v>
      </c>
      <c r="D998" s="920" t="s">
        <v>1004</v>
      </c>
      <c r="E998" s="920" t="s">
        <v>1003</v>
      </c>
      <c r="F998" s="920" t="str">
        <f>HLOOKUP(C998,'Assessment References'!$H$512:$BG$513,2,FALSE)</f>
        <v/>
      </c>
      <c r="G998" s="919"/>
      <c r="H998" s="918"/>
      <c r="I998" s="910"/>
      <c r="J998" s="910"/>
      <c r="K998" s="1174"/>
      <c r="L998" s="1022"/>
      <c r="M998" s="1175"/>
      <c r="S998" s="504"/>
      <c r="T998" s="504"/>
      <c r="U998" s="504"/>
      <c r="V998" s="504"/>
      <c r="W998" s="504"/>
      <c r="X998" s="504"/>
      <c r="Y998" s="504"/>
      <c r="Z998" s="504"/>
      <c r="AA998" s="504"/>
      <c r="AB998" s="504"/>
      <c r="AC998" s="322"/>
      <c r="AD998" s="322"/>
      <c r="AE998" s="322"/>
    </row>
    <row r="999" spans="1:31" x14ac:dyDescent="0.25">
      <c r="A999" s="1138">
        <v>990</v>
      </c>
      <c r="B999" s="1138" t="s">
        <v>52</v>
      </c>
      <c r="C999" s="1037" t="s">
        <v>174</v>
      </c>
      <c r="D999" s="1539"/>
      <c r="E999" s="1540"/>
      <c r="F999" s="1540"/>
      <c r="G999" s="1540"/>
      <c r="H999" s="1541"/>
      <c r="I999" s="910"/>
      <c r="J999" s="910"/>
      <c r="K999" s="1174"/>
      <c r="L999" s="1022"/>
      <c r="M999" s="1175"/>
      <c r="S999" s="504"/>
      <c r="T999" s="504"/>
      <c r="U999" s="504"/>
      <c r="V999" s="504"/>
      <c r="W999" s="504"/>
      <c r="X999" s="504"/>
      <c r="Y999" s="504"/>
      <c r="Z999" s="504"/>
      <c r="AA999" s="504"/>
      <c r="AB999" s="504"/>
      <c r="AC999" s="322"/>
      <c r="AD999" s="322"/>
      <c r="AE999" s="322"/>
    </row>
    <row r="1000" spans="1:31" x14ac:dyDescent="0.25">
      <c r="A1000" s="1138">
        <v>991</v>
      </c>
      <c r="B1000" s="1138" t="s">
        <v>52</v>
      </c>
      <c r="C1000" s="1037" t="s">
        <v>174</v>
      </c>
      <c r="D1000" s="1530"/>
      <c r="E1000" s="1531"/>
      <c r="F1000" s="1531"/>
      <c r="G1000" s="1531"/>
      <c r="H1000" s="1532"/>
      <c r="I1000" s="910"/>
      <c r="J1000" s="910"/>
      <c r="K1000" s="1174"/>
      <c r="L1000" s="1022"/>
      <c r="M1000" s="1175"/>
      <c r="S1000" s="504"/>
      <c r="T1000" s="504"/>
      <c r="U1000" s="504"/>
      <c r="V1000" s="504"/>
      <c r="W1000" s="504"/>
      <c r="X1000" s="504"/>
      <c r="Y1000" s="504"/>
      <c r="Z1000" s="504"/>
      <c r="AA1000" s="504"/>
      <c r="AB1000" s="504"/>
      <c r="AC1000" s="322"/>
      <c r="AD1000" s="322"/>
      <c r="AE1000" s="322"/>
    </row>
    <row r="1001" spans="1:31" x14ac:dyDescent="0.25">
      <c r="A1001" s="1138">
        <v>992</v>
      </c>
      <c r="B1001" s="1138" t="s">
        <v>52</v>
      </c>
      <c r="C1001" s="1037" t="s">
        <v>174</v>
      </c>
      <c r="D1001" s="1530"/>
      <c r="E1001" s="1531"/>
      <c r="F1001" s="1531"/>
      <c r="G1001" s="1531"/>
      <c r="H1001" s="1532"/>
      <c r="I1001" s="910"/>
      <c r="J1001" s="910"/>
      <c r="K1001" s="1174"/>
      <c r="L1001" s="1022"/>
      <c r="M1001" s="1175"/>
      <c r="S1001" s="504"/>
      <c r="T1001" s="504"/>
      <c r="U1001" s="504"/>
      <c r="V1001" s="504"/>
      <c r="W1001" s="504"/>
      <c r="X1001" s="504"/>
      <c r="Y1001" s="504"/>
      <c r="Z1001" s="504"/>
      <c r="AA1001" s="504"/>
      <c r="AB1001" s="504"/>
      <c r="AC1001" s="322"/>
      <c r="AD1001" s="322"/>
      <c r="AE1001" s="322"/>
    </row>
    <row r="1002" spans="1:31" x14ac:dyDescent="0.25">
      <c r="A1002" s="1138">
        <v>993</v>
      </c>
      <c r="B1002" s="1138" t="s">
        <v>52</v>
      </c>
      <c r="C1002" s="1037" t="s">
        <v>174</v>
      </c>
      <c r="D1002" s="1533"/>
      <c r="E1002" s="1534"/>
      <c r="F1002" s="1534"/>
      <c r="G1002" s="1534"/>
      <c r="H1002" s="1535"/>
      <c r="I1002" s="910"/>
      <c r="J1002" s="910"/>
      <c r="K1002" s="1174"/>
      <c r="L1002" s="1022"/>
      <c r="M1002" s="1175"/>
      <c r="S1002" s="504"/>
      <c r="T1002" s="504"/>
      <c r="U1002" s="504"/>
      <c r="V1002" s="504"/>
      <c r="W1002" s="504"/>
      <c r="X1002" s="504"/>
      <c r="Y1002" s="504"/>
      <c r="Z1002" s="504"/>
      <c r="AA1002" s="504"/>
      <c r="AB1002" s="504"/>
      <c r="AC1002" s="322"/>
      <c r="AD1002" s="322"/>
      <c r="AE1002" s="322"/>
    </row>
    <row r="1003" spans="1:31" ht="15.75" customHeight="1" x14ac:dyDescent="0.25">
      <c r="A1003" s="1138">
        <v>994</v>
      </c>
      <c r="B1003" s="1138" t="s">
        <v>52</v>
      </c>
      <c r="C1003" s="1037" t="s">
        <v>174</v>
      </c>
      <c r="D1003" s="1533"/>
      <c r="E1003" s="1534"/>
      <c r="F1003" s="1534"/>
      <c r="G1003" s="1534"/>
      <c r="H1003" s="1535"/>
      <c r="I1003" s="910"/>
      <c r="J1003" s="910"/>
      <c r="K1003" s="1174"/>
      <c r="L1003" s="1022"/>
      <c r="M1003" s="1175"/>
      <c r="S1003" s="504"/>
      <c r="T1003" s="504"/>
      <c r="U1003" s="504"/>
      <c r="V1003" s="504"/>
      <c r="W1003" s="504"/>
      <c r="X1003" s="504"/>
      <c r="Y1003" s="504"/>
      <c r="Z1003" s="504"/>
      <c r="AA1003" s="504"/>
      <c r="AB1003" s="504"/>
      <c r="AC1003" s="322"/>
      <c r="AD1003" s="322"/>
      <c r="AE1003" s="322"/>
    </row>
    <row r="1004" spans="1:31" x14ac:dyDescent="0.25">
      <c r="A1004" s="1138">
        <v>995</v>
      </c>
      <c r="B1004" s="1138" t="s">
        <v>52</v>
      </c>
      <c r="C1004" s="1037" t="s">
        <v>174</v>
      </c>
      <c r="D1004" s="1536"/>
      <c r="E1004" s="1537"/>
      <c r="F1004" s="1537"/>
      <c r="G1004" s="1537"/>
      <c r="H1004" s="1538"/>
      <c r="I1004" s="910"/>
      <c r="J1004" s="910"/>
      <c r="K1004" s="1174"/>
      <c r="L1004" s="1022"/>
      <c r="M1004" s="1175"/>
      <c r="S1004" s="504"/>
      <c r="T1004" s="504"/>
      <c r="U1004" s="504"/>
      <c r="V1004" s="504"/>
      <c r="W1004" s="504"/>
      <c r="X1004" s="504"/>
      <c r="Y1004" s="504"/>
      <c r="Z1004" s="504"/>
      <c r="AA1004" s="504"/>
      <c r="AB1004" s="504"/>
      <c r="AC1004" s="322"/>
      <c r="AD1004" s="322"/>
      <c r="AE1004" s="322"/>
    </row>
    <row r="1005" spans="1:31" ht="15.75" thickBot="1" x14ac:dyDescent="0.3">
      <c r="A1005" s="1138">
        <v>996</v>
      </c>
      <c r="B1005" s="1138" t="s">
        <v>52</v>
      </c>
      <c r="C1005" s="1037" t="s">
        <v>174</v>
      </c>
      <c r="D1005" s="952"/>
      <c r="E1005" s="951"/>
      <c r="F1005" s="951"/>
      <c r="G1005" s="951"/>
      <c r="H1005" s="951"/>
      <c r="I1005" s="910"/>
      <c r="J1005" s="910"/>
      <c r="K1005" s="1174"/>
      <c r="L1005" s="1022"/>
      <c r="M1005" s="1175"/>
      <c r="S1005" s="504"/>
      <c r="T1005" s="504"/>
      <c r="U1005" s="504"/>
      <c r="V1005" s="504"/>
      <c r="W1005" s="504"/>
      <c r="X1005" s="504"/>
      <c r="Y1005" s="504"/>
      <c r="Z1005" s="504"/>
      <c r="AA1005" s="504"/>
      <c r="AB1005" s="504"/>
      <c r="AC1005" s="322"/>
      <c r="AD1005" s="322"/>
      <c r="AE1005" s="322"/>
    </row>
    <row r="1006" spans="1:31" ht="15.75" thickBot="1" x14ac:dyDescent="0.3">
      <c r="A1006" s="1138">
        <v>997</v>
      </c>
      <c r="B1006" s="1140" t="s">
        <v>52</v>
      </c>
      <c r="C1006" s="978" t="s">
        <v>175</v>
      </c>
      <c r="D1006" s="1015" t="s">
        <v>829</v>
      </c>
      <c r="E1006" s="1014"/>
      <c r="F1006" s="1014"/>
      <c r="G1006" s="1013"/>
      <c r="H1006" s="1013"/>
      <c r="I1006" s="973"/>
      <c r="J1006" s="973"/>
      <c r="K1006" s="998" t="str">
        <f>C1006</f>
        <v>LE 02</v>
      </c>
      <c r="L1006" s="1022"/>
      <c r="M1006" s="1175"/>
      <c r="S1006" s="504"/>
      <c r="T1006" s="504"/>
      <c r="U1006" s="504"/>
      <c r="V1006" s="504"/>
      <c r="W1006" s="504"/>
      <c r="X1006" s="504"/>
      <c r="Y1006" s="504"/>
      <c r="Z1006" s="504"/>
      <c r="AA1006" s="504"/>
      <c r="AB1006" s="504"/>
      <c r="AC1006" s="322"/>
      <c r="AD1006" s="322"/>
      <c r="AE1006" s="322"/>
    </row>
    <row r="1007" spans="1:31" x14ac:dyDescent="0.25">
      <c r="A1007" s="1138">
        <v>998</v>
      </c>
      <c r="B1007" s="1138" t="s">
        <v>52</v>
      </c>
      <c r="C1007" s="1037" t="s">
        <v>175</v>
      </c>
      <c r="D1007" s="946" t="s">
        <v>15</v>
      </c>
      <c r="E1007" s="1264">
        <f>LE02_credits</f>
        <v>2</v>
      </c>
      <c r="F1007" s="945"/>
      <c r="G1007" s="944" t="s">
        <v>76</v>
      </c>
      <c r="H1007" s="1266">
        <f>LE02_07</f>
        <v>1.5789473684210527E-2</v>
      </c>
      <c r="I1007" s="910"/>
      <c r="J1007" s="910"/>
      <c r="K1007" s="1174"/>
      <c r="L1007" s="1022"/>
      <c r="M1007" s="1175"/>
      <c r="S1007" s="504"/>
      <c r="T1007" s="504"/>
      <c r="U1007" s="504"/>
      <c r="V1007" s="504"/>
      <c r="W1007" s="504"/>
      <c r="X1007" s="504"/>
      <c r="Y1007" s="504"/>
      <c r="Z1007" s="504"/>
      <c r="AA1007" s="504"/>
      <c r="AB1007" s="504"/>
      <c r="AC1007" s="322"/>
      <c r="AD1007" s="322"/>
      <c r="AE1007" s="322"/>
    </row>
    <row r="1008" spans="1:31" x14ac:dyDescent="0.25">
      <c r="A1008" s="1138">
        <v>999</v>
      </c>
      <c r="B1008" s="1138" t="s">
        <v>52</v>
      </c>
      <c r="C1008" s="1037" t="s">
        <v>175</v>
      </c>
      <c r="D1008" s="972" t="s">
        <v>1011</v>
      </c>
      <c r="E1008" s="1265">
        <f>Inn11_credits</f>
        <v>1</v>
      </c>
      <c r="F1008" s="941"/>
      <c r="G1008" s="940" t="s">
        <v>1010</v>
      </c>
      <c r="H1008" s="1267" t="s">
        <v>12</v>
      </c>
      <c r="I1008" s="910"/>
      <c r="J1008" s="910"/>
      <c r="K1008" s="1174"/>
      <c r="L1008" s="1022"/>
      <c r="M1008" s="1175"/>
      <c r="S1008" s="504"/>
      <c r="T1008" s="504"/>
      <c r="U1008" s="504"/>
      <c r="V1008" s="504"/>
      <c r="W1008" s="504"/>
      <c r="X1008" s="504"/>
      <c r="Y1008" s="504"/>
      <c r="Z1008" s="504"/>
      <c r="AA1008" s="504"/>
      <c r="AB1008" s="504"/>
      <c r="AC1008" s="322"/>
      <c r="AD1008" s="322"/>
      <c r="AE1008" s="322"/>
    </row>
    <row r="1009" spans="1:31" x14ac:dyDescent="0.25">
      <c r="A1009" s="1138">
        <v>1000</v>
      </c>
      <c r="B1009" s="1138" t="s">
        <v>52</v>
      </c>
      <c r="C1009" s="1037" t="s">
        <v>175</v>
      </c>
      <c r="I1009" s="910"/>
      <c r="J1009" s="910"/>
      <c r="K1009" s="1174"/>
      <c r="L1009" s="1022"/>
      <c r="M1009" s="1175"/>
      <c r="S1009" s="504"/>
      <c r="T1009" s="504"/>
      <c r="U1009" s="504"/>
      <c r="V1009" s="504"/>
      <c r="W1009" s="504"/>
      <c r="X1009" s="504"/>
      <c r="Y1009" s="504"/>
      <c r="Z1009" s="504"/>
      <c r="AA1009" s="504"/>
      <c r="AB1009" s="504"/>
      <c r="AC1009" s="322"/>
      <c r="AD1009" s="322"/>
      <c r="AE1009" s="322"/>
    </row>
    <row r="1010" spans="1:31" ht="15.75" thickBot="1" x14ac:dyDescent="0.3">
      <c r="A1010" s="1138">
        <v>1001</v>
      </c>
      <c r="B1010" s="1138" t="s">
        <v>52</v>
      </c>
      <c r="C1010" s="1037" t="s">
        <v>175</v>
      </c>
      <c r="D1010" s="938" t="s">
        <v>1787</v>
      </c>
      <c r="E1010" s="937" t="s">
        <v>1008</v>
      </c>
      <c r="F1010"/>
      <c r="G1010"/>
      <c r="H1010"/>
      <c r="I1010" s="910"/>
      <c r="J1010" s="910"/>
      <c r="K1010" s="1174"/>
      <c r="L1010" s="1022"/>
      <c r="M1010" s="1175"/>
      <c r="Q1010"/>
      <c r="S1010" s="504"/>
      <c r="T1010" s="504"/>
      <c r="U1010" s="504"/>
      <c r="V1010" s="504"/>
      <c r="W1010" s="504"/>
      <c r="X1010" s="504"/>
      <c r="Y1010" s="504"/>
      <c r="Z1010" s="504"/>
      <c r="AA1010" s="504"/>
      <c r="AB1010" s="504"/>
      <c r="AC1010" s="322"/>
      <c r="AD1010" s="322"/>
      <c r="AE1010" s="322"/>
    </row>
    <row r="1011" spans="1:31" ht="15.75" thickBot="1" x14ac:dyDescent="0.3">
      <c r="A1011" s="1138">
        <v>1002</v>
      </c>
      <c r="B1011" s="1138" t="s">
        <v>52</v>
      </c>
      <c r="C1011" s="1037" t="s">
        <v>175</v>
      </c>
      <c r="D1011" s="1239" t="s">
        <v>994</v>
      </c>
      <c r="E1011" s="1240" t="s">
        <v>316</v>
      </c>
      <c r="F1011" s="1024" t="str">
        <f>IF(OR(E1011=AIS_No,E1011=AIS_PS),"Pre-requisite: Please select yes","")</f>
        <v>Pre-requisite: Please select yes</v>
      </c>
      <c r="G1011"/>
      <c r="H1011"/>
      <c r="J1011" s="910"/>
      <c r="K1011" s="1174"/>
      <c r="L1011" s="1022"/>
      <c r="M1011" s="1175"/>
      <c r="S1011" s="62" t="s">
        <v>1015</v>
      </c>
      <c r="T1011" s="504"/>
      <c r="U1011" s="504"/>
      <c r="V1011" s="504"/>
      <c r="W1011" s="504"/>
      <c r="X1011" s="504"/>
      <c r="Y1011" s="504" t="str">
        <f>$X$4</f>
        <v>No</v>
      </c>
      <c r="Z1011" s="504"/>
      <c r="AA1011" s="504"/>
      <c r="AB1011" s="504"/>
      <c r="AC1011" s="322"/>
      <c r="AD1011" s="322"/>
      <c r="AE1011" s="322"/>
    </row>
    <row r="1012" spans="1:31" x14ac:dyDescent="0.25">
      <c r="A1012" s="1138">
        <v>1003</v>
      </c>
      <c r="B1012" s="1138" t="s">
        <v>52</v>
      </c>
      <c r="C1012" s="1037" t="s">
        <v>175</v>
      </c>
      <c r="D1012" s="916"/>
      <c r="E1012" s="916"/>
      <c r="F1012" s="916"/>
      <c r="G1012" s="916"/>
      <c r="H1012" s="916"/>
      <c r="I1012" s="916"/>
      <c r="J1012" s="910"/>
      <c r="K1012" s="1174"/>
      <c r="L1012" s="1022"/>
      <c r="M1012" s="1175"/>
      <c r="S1012" s="62"/>
      <c r="T1012" s="504"/>
      <c r="U1012" s="504"/>
      <c r="V1012" s="504"/>
      <c r="W1012" s="504"/>
      <c r="X1012" s="504"/>
      <c r="Y1012" s="504"/>
      <c r="Z1012" s="504"/>
      <c r="AA1012" s="504"/>
      <c r="AB1012" s="504"/>
      <c r="AC1012" s="322"/>
      <c r="AD1012" s="322"/>
      <c r="AE1012" s="322"/>
    </row>
    <row r="1013" spans="1:31" ht="15.75" thickBot="1" x14ac:dyDescent="0.3">
      <c r="A1013" s="1138">
        <v>1004</v>
      </c>
      <c r="B1013" s="1138" t="s">
        <v>52</v>
      </c>
      <c r="C1013" s="1037" t="s">
        <v>175</v>
      </c>
      <c r="D1013" s="938" t="s">
        <v>1833</v>
      </c>
      <c r="E1013" s="937" t="s">
        <v>1008</v>
      </c>
      <c r="F1013" s="937" t="s">
        <v>1007</v>
      </c>
      <c r="G1013" s="937" t="s">
        <v>1006</v>
      </c>
      <c r="H1013" s="937" t="s">
        <v>1014</v>
      </c>
      <c r="I1013" s="916"/>
      <c r="J1013" s="910"/>
      <c r="K1013" s="1230" t="s">
        <v>316</v>
      </c>
      <c r="L1013" s="1022">
        <v>0</v>
      </c>
      <c r="M1013" s="1175"/>
      <c r="S1013" s="62"/>
      <c r="T1013" s="504"/>
      <c r="U1013" s="504"/>
      <c r="V1013" s="504"/>
      <c r="W1013" s="504"/>
      <c r="X1013" s="504"/>
      <c r="Y1013" s="504"/>
      <c r="Z1013" s="504"/>
      <c r="AA1013" s="504"/>
      <c r="AB1013" s="504"/>
      <c r="AC1013" s="322"/>
      <c r="AD1013" s="322"/>
      <c r="AE1013" s="322"/>
    </row>
    <row r="1014" spans="1:31" x14ac:dyDescent="0.25">
      <c r="A1014" s="1138">
        <v>1005</v>
      </c>
      <c r="B1014" s="1138" t="s">
        <v>52</v>
      </c>
      <c r="C1014" s="1037" t="s">
        <v>175</v>
      </c>
      <c r="D1014" s="1168" t="s">
        <v>1512</v>
      </c>
      <c r="E1014" s="1268" t="s">
        <v>316</v>
      </c>
      <c r="F1014" s="1232"/>
      <c r="G1014" s="1232"/>
      <c r="H1014" s="1232"/>
      <c r="I1014" s="910"/>
      <c r="J1014" s="910"/>
      <c r="K1014" s="1230" t="s">
        <v>1514</v>
      </c>
      <c r="L1014" s="1233">
        <f>$F$1019</f>
        <v>1</v>
      </c>
      <c r="M1014" s="1175"/>
      <c r="S1014" s="62" t="s">
        <v>1015</v>
      </c>
      <c r="T1014" s="504"/>
      <c r="U1014" s="504"/>
      <c r="V1014" s="504"/>
      <c r="W1014" s="504"/>
      <c r="X1014" s="504"/>
      <c r="Y1014" s="504" t="str">
        <f>$X$4</f>
        <v>No</v>
      </c>
      <c r="Z1014" s="504"/>
      <c r="AA1014" s="504"/>
      <c r="AB1014" s="504"/>
      <c r="AC1014" s="322"/>
      <c r="AD1014" s="322"/>
      <c r="AE1014" s="322"/>
    </row>
    <row r="1015" spans="1:31" ht="30" x14ac:dyDescent="0.25">
      <c r="A1015" s="1138">
        <v>1006</v>
      </c>
      <c r="B1015" s="1138" t="s">
        <v>52</v>
      </c>
      <c r="C1015" s="1037" t="s">
        <v>175</v>
      </c>
      <c r="D1015" s="1423" t="s">
        <v>1872</v>
      </c>
      <c r="E1015" s="1303" t="s">
        <v>316</v>
      </c>
      <c r="F1015" s="1274">
        <f>Poeng!AB173</f>
        <v>1</v>
      </c>
      <c r="G1015" s="1224">
        <f>IF(AND(E1014=AIS_Yes,E1015=AIS_Yes,E1016=AIS_Yes),F1015,0)*IF(E1011=AIS_Yes,1,0)</f>
        <v>0</v>
      </c>
      <c r="H1015" s="1224" t="s">
        <v>14</v>
      </c>
      <c r="I1015" s="910"/>
      <c r="J1015" s="910"/>
      <c r="K1015" s="1230" t="s">
        <v>1515</v>
      </c>
      <c r="L1015" s="1233">
        <f t="shared" ref="L1015:L1019" si="8">$F$1019</f>
        <v>1</v>
      </c>
      <c r="M1015" s="1175"/>
      <c r="S1015" s="62"/>
      <c r="T1015" s="504"/>
      <c r="U1015" s="504"/>
      <c r="V1015" s="504"/>
      <c r="W1015" s="504"/>
      <c r="X1015" s="504"/>
      <c r="Y1015" s="504"/>
      <c r="Z1015" s="504"/>
      <c r="AA1015" s="504"/>
      <c r="AB1015" s="504"/>
      <c r="AC1015" s="322"/>
      <c r="AD1015" s="322"/>
      <c r="AE1015" s="322"/>
    </row>
    <row r="1016" spans="1:31" ht="15.75" thickBot="1" x14ac:dyDescent="0.3">
      <c r="A1016" s="1138">
        <v>1007</v>
      </c>
      <c r="B1016" s="1138" t="s">
        <v>52</v>
      </c>
      <c r="C1016" s="1037" t="s">
        <v>175</v>
      </c>
      <c r="D1016" s="1170" t="s">
        <v>1513</v>
      </c>
      <c r="E1016" s="1275" t="s">
        <v>316</v>
      </c>
      <c r="F1016" s="1226"/>
      <c r="G1016" s="1226"/>
      <c r="H1016" s="1226"/>
      <c r="I1016" s="910"/>
      <c r="J1016" s="910"/>
      <c r="K1016" s="1230" t="s">
        <v>1517</v>
      </c>
      <c r="L1016" s="1233">
        <f t="shared" si="8"/>
        <v>1</v>
      </c>
      <c r="M1016" s="1175"/>
      <c r="S1016" s="62" t="s">
        <v>1015</v>
      </c>
      <c r="T1016" s="504"/>
      <c r="U1016" s="504"/>
      <c r="V1016" s="504"/>
      <c r="W1016" s="504"/>
      <c r="X1016" s="504"/>
      <c r="Y1016" s="504" t="str">
        <f>$X$4</f>
        <v>No</v>
      </c>
      <c r="Z1016" s="504"/>
      <c r="AA1016" s="504"/>
      <c r="AB1016" s="504"/>
      <c r="AC1016" s="322"/>
      <c r="AD1016" s="322"/>
      <c r="AE1016" s="322"/>
    </row>
    <row r="1017" spans="1:31" x14ac:dyDescent="0.25">
      <c r="A1017" s="1138">
        <v>1008</v>
      </c>
      <c r="B1017" s="1138" t="s">
        <v>52</v>
      </c>
      <c r="C1017" s="1037" t="s">
        <v>175</v>
      </c>
      <c r="I1017" s="910"/>
      <c r="J1017" s="910"/>
      <c r="K1017" s="1230" t="s">
        <v>1516</v>
      </c>
      <c r="L1017" s="1233">
        <f t="shared" si="8"/>
        <v>1</v>
      </c>
      <c r="M1017" s="1175"/>
      <c r="S1017" s="504"/>
      <c r="T1017" s="504"/>
      <c r="U1017" s="504"/>
      <c r="V1017" s="504"/>
      <c r="W1017" s="504"/>
      <c r="X1017" s="504"/>
      <c r="Y1017" s="504"/>
      <c r="Z1017" s="504"/>
      <c r="AA1017" s="504"/>
      <c r="AB1017" s="504"/>
      <c r="AC1017" s="322"/>
      <c r="AD1017" s="322"/>
      <c r="AE1017" s="322"/>
    </row>
    <row r="1018" spans="1:31" ht="15.75" thickBot="1" x14ac:dyDescent="0.3">
      <c r="A1018" s="1138">
        <v>1009</v>
      </c>
      <c r="B1018" s="1138" t="s">
        <v>52</v>
      </c>
      <c r="C1018" s="1037" t="s">
        <v>175</v>
      </c>
      <c r="D1018" s="938" t="s">
        <v>1788</v>
      </c>
      <c r="E1018" s="937" t="s">
        <v>1008</v>
      </c>
      <c r="F1018" s="937" t="s">
        <v>1007</v>
      </c>
      <c r="G1018" s="937" t="s">
        <v>1006</v>
      </c>
      <c r="H1018" s="937" t="s">
        <v>1014</v>
      </c>
      <c r="I1018" s="910"/>
      <c r="J1018" s="910"/>
      <c r="K1018" s="1230" t="s">
        <v>1518</v>
      </c>
      <c r="L1018" s="1233">
        <f t="shared" si="8"/>
        <v>1</v>
      </c>
      <c r="M1018" s="1175"/>
      <c r="S1018" s="504"/>
      <c r="T1018" s="504"/>
      <c r="U1018" s="504"/>
      <c r="V1018" s="504"/>
      <c r="W1018" s="504"/>
      <c r="X1018" s="504"/>
      <c r="Y1018" s="504"/>
      <c r="Z1018" s="504"/>
      <c r="AA1018" s="504"/>
      <c r="AB1018" s="504"/>
      <c r="AC1018" s="322"/>
      <c r="AD1018" s="322"/>
      <c r="AE1018" s="322"/>
    </row>
    <row r="1019" spans="1:31" ht="15.75" thickBot="1" x14ac:dyDescent="0.3">
      <c r="A1019" s="1138">
        <v>1010</v>
      </c>
      <c r="B1019" s="1138" t="s">
        <v>52</v>
      </c>
      <c r="C1019" s="1037" t="s">
        <v>175</v>
      </c>
      <c r="D1019" s="1239" t="s">
        <v>1693</v>
      </c>
      <c r="E1019" s="1240" t="s">
        <v>316</v>
      </c>
      <c r="F1019" s="1228">
        <f>Poeng!AB174</f>
        <v>1</v>
      </c>
      <c r="G1019" s="1228">
        <f>VLOOKUP(E1019,K1013:L1019,2,FALSE)*IF(G1015&gt;0,1,0)</f>
        <v>0</v>
      </c>
      <c r="H1019" s="1228" t="s">
        <v>14</v>
      </c>
      <c r="I1019" s="910"/>
      <c r="J1019" s="910"/>
      <c r="K1019" s="1230" t="s">
        <v>1519</v>
      </c>
      <c r="L1019" s="1233">
        <f t="shared" si="8"/>
        <v>1</v>
      </c>
      <c r="M1019" s="1175"/>
      <c r="S1019" s="504"/>
      <c r="T1019" s="504"/>
      <c r="U1019" s="504"/>
      <c r="V1019" s="504"/>
      <c r="W1019" s="504"/>
      <c r="X1019" s="504"/>
      <c r="Y1019" s="504"/>
      <c r="Z1019" s="504"/>
      <c r="AA1019" s="504"/>
      <c r="AB1019" s="504"/>
      <c r="AC1019" s="322"/>
      <c r="AD1019" s="322"/>
      <c r="AE1019" s="322"/>
    </row>
    <row r="1020" spans="1:31" x14ac:dyDescent="0.25">
      <c r="A1020" s="1138">
        <v>1011</v>
      </c>
      <c r="B1020" s="1138" t="s">
        <v>52</v>
      </c>
      <c r="C1020" s="1037" t="s">
        <v>175</v>
      </c>
      <c r="I1020" s="910"/>
      <c r="J1020" s="910"/>
      <c r="K1020" s="1174"/>
      <c r="L1020" s="1022"/>
      <c r="M1020" s="1175"/>
      <c r="S1020" s="504"/>
      <c r="T1020" s="504"/>
      <c r="U1020" s="504"/>
      <c r="V1020" s="504"/>
      <c r="W1020" s="504"/>
      <c r="X1020" s="504"/>
      <c r="Y1020" s="504"/>
      <c r="Z1020" s="504"/>
      <c r="AA1020" s="504"/>
      <c r="AB1020" s="504"/>
      <c r="AC1020" s="322"/>
      <c r="AD1020" s="322"/>
      <c r="AE1020" s="322"/>
    </row>
    <row r="1021" spans="1:31" ht="15.75" thickBot="1" x14ac:dyDescent="0.3">
      <c r="A1021" s="1138">
        <v>1012</v>
      </c>
      <c r="B1021" s="1138" t="s">
        <v>52</v>
      </c>
      <c r="C1021" s="1037" t="s">
        <v>175</v>
      </c>
      <c r="D1021" s="938" t="s">
        <v>1864</v>
      </c>
      <c r="E1021" s="937" t="s">
        <v>1008</v>
      </c>
      <c r="F1021" s="937" t="s">
        <v>1007</v>
      </c>
      <c r="G1021" s="937" t="s">
        <v>1006</v>
      </c>
      <c r="H1021" s="937" t="s">
        <v>1014</v>
      </c>
      <c r="I1021" s="910"/>
      <c r="J1021" s="910"/>
      <c r="K1021" s="1174"/>
      <c r="L1021" s="1022"/>
      <c r="M1021" s="1175"/>
      <c r="S1021" s="504"/>
      <c r="T1021" s="504"/>
      <c r="U1021" s="504"/>
      <c r="V1021" s="504"/>
      <c r="W1021" s="504"/>
      <c r="X1021" s="504"/>
      <c r="Y1021" s="504"/>
      <c r="Z1021" s="504"/>
      <c r="AA1021" s="504"/>
      <c r="AB1021" s="504"/>
      <c r="AC1021" s="322"/>
      <c r="AD1021" s="322"/>
      <c r="AE1021" s="322"/>
    </row>
    <row r="1022" spans="1:31" ht="15.75" thickBot="1" x14ac:dyDescent="0.3">
      <c r="A1022" s="1138">
        <v>1013</v>
      </c>
      <c r="B1022" s="1138" t="s">
        <v>52</v>
      </c>
      <c r="C1022" s="1037" t="s">
        <v>175</v>
      </c>
      <c r="D1022" s="1239" t="s">
        <v>1865</v>
      </c>
      <c r="E1022" s="1240" t="s">
        <v>316</v>
      </c>
      <c r="F1022" s="1228">
        <f>Inn11_credits</f>
        <v>1</v>
      </c>
      <c r="G1022" s="1228">
        <f>IF(AND(G1019&gt;0,E1022=AIS_Yes),F1022,0)</f>
        <v>0</v>
      </c>
      <c r="H1022" s="1228" t="s">
        <v>14</v>
      </c>
      <c r="J1022" s="910"/>
      <c r="K1022" s="1174"/>
      <c r="L1022" s="1022"/>
      <c r="M1022" s="1175"/>
      <c r="S1022" s="504"/>
      <c r="T1022" s="504"/>
      <c r="U1022" s="504"/>
      <c r="V1022" s="504"/>
      <c r="W1022" s="504"/>
      <c r="X1022" s="504"/>
      <c r="Y1022" s="504"/>
      <c r="Z1022" s="504"/>
      <c r="AA1022" s="504"/>
      <c r="AB1022" s="504"/>
      <c r="AC1022" s="322"/>
      <c r="AD1022" s="322"/>
      <c r="AE1022" s="322"/>
    </row>
    <row r="1023" spans="1:31" x14ac:dyDescent="0.25">
      <c r="A1023" s="1138">
        <v>1014</v>
      </c>
      <c r="B1023" s="1138" t="s">
        <v>52</v>
      </c>
      <c r="C1023" s="1037" t="s">
        <v>175</v>
      </c>
      <c r="I1023" s="910"/>
      <c r="J1023" s="910"/>
      <c r="K1023" s="1174"/>
      <c r="L1023" s="1022"/>
      <c r="M1023" s="1175"/>
      <c r="S1023" s="504"/>
      <c r="T1023" s="504"/>
      <c r="U1023" s="504"/>
      <c r="V1023" s="504"/>
      <c r="W1023" s="504"/>
      <c r="X1023" s="504"/>
      <c r="Y1023" s="504"/>
      <c r="Z1023" s="504"/>
      <c r="AA1023" s="504"/>
      <c r="AB1023" s="504"/>
      <c r="AC1023" s="322"/>
      <c r="AD1023" s="322"/>
      <c r="AE1023" s="322"/>
    </row>
    <row r="1024" spans="1:31" x14ac:dyDescent="0.25">
      <c r="A1024" s="1138">
        <v>1015</v>
      </c>
      <c r="B1024" s="1138" t="s">
        <v>52</v>
      </c>
      <c r="C1024" s="1037" t="s">
        <v>175</v>
      </c>
      <c r="D1024" s="958" t="s">
        <v>1012</v>
      </c>
      <c r="E1024" s="1272">
        <f>G1015+G1019</f>
        <v>0</v>
      </c>
      <c r="I1024" s="917"/>
      <c r="J1024" s="910"/>
      <c r="K1024" s="1174"/>
      <c r="L1024" s="1022"/>
      <c r="M1024" s="1175"/>
      <c r="S1024" s="504"/>
      <c r="T1024" s="504"/>
      <c r="U1024" s="504"/>
      <c r="V1024" s="504"/>
      <c r="W1024" s="504"/>
      <c r="X1024" s="504"/>
      <c r="Y1024" s="504"/>
      <c r="Z1024" s="504"/>
      <c r="AA1024" s="504"/>
      <c r="AB1024" s="504"/>
      <c r="AC1024" s="322"/>
      <c r="AD1024" s="322"/>
      <c r="AE1024" s="322"/>
    </row>
    <row r="1025" spans="1:31" x14ac:dyDescent="0.25">
      <c r="A1025" s="1138">
        <v>1016</v>
      </c>
      <c r="B1025" s="1138" t="s">
        <v>52</v>
      </c>
      <c r="C1025" s="1037" t="s">
        <v>175</v>
      </c>
      <c r="D1025" s="924" t="s">
        <v>77</v>
      </c>
      <c r="E1025" s="1273">
        <f>LE02_08</f>
        <v>0</v>
      </c>
      <c r="I1025" s="910"/>
      <c r="J1025" s="910"/>
      <c r="K1025" s="1174"/>
      <c r="L1025" s="1022"/>
      <c r="M1025" s="1175"/>
      <c r="S1025" s="504"/>
      <c r="T1025" s="504"/>
      <c r="U1025" s="504"/>
      <c r="V1025" s="504"/>
      <c r="W1025" s="504"/>
      <c r="X1025" s="504"/>
      <c r="Y1025" s="504"/>
      <c r="Z1025" s="504"/>
      <c r="AA1025" s="504"/>
      <c r="AB1025" s="504"/>
      <c r="AC1025" s="322"/>
      <c r="AD1025" s="322"/>
      <c r="AE1025" s="322"/>
    </row>
    <row r="1026" spans="1:31" x14ac:dyDescent="0.25">
      <c r="A1026" s="1138">
        <v>1017</v>
      </c>
      <c r="B1026" s="1138" t="s">
        <v>52</v>
      </c>
      <c r="C1026" s="1037" t="s">
        <v>175</v>
      </c>
      <c r="D1026" s="926" t="s">
        <v>1005</v>
      </c>
      <c r="E1026" s="1272">
        <f>G1022</f>
        <v>0</v>
      </c>
      <c r="I1026" s="910"/>
      <c r="J1026" s="910"/>
      <c r="K1026" s="1174"/>
      <c r="L1026" s="1022"/>
      <c r="M1026" s="1175"/>
      <c r="S1026" s="504"/>
      <c r="T1026" s="504"/>
      <c r="U1026" s="504"/>
      <c r="V1026" s="504"/>
      <c r="W1026" s="504"/>
      <c r="X1026" s="504"/>
      <c r="Y1026" s="504"/>
      <c r="Z1026" s="504"/>
      <c r="AA1026" s="504"/>
      <c r="AB1026" s="504"/>
      <c r="AC1026" s="322"/>
      <c r="AD1026" s="322"/>
      <c r="AE1026" s="322"/>
    </row>
    <row r="1027" spans="1:31" x14ac:dyDescent="0.25">
      <c r="A1027" s="1138">
        <v>1018</v>
      </c>
      <c r="B1027" s="1138" t="s">
        <v>52</v>
      </c>
      <c r="C1027" s="1037" t="s">
        <v>175</v>
      </c>
      <c r="D1027" s="923" t="s">
        <v>46</v>
      </c>
      <c r="E1027" s="1306" t="str">
        <f>VLOOKUP(MIN(Poeng!BD171:BD174),Poeng!$BO$285:$BP$291,2,FALSE)</f>
        <v>Good</v>
      </c>
      <c r="I1027" s="910"/>
      <c r="J1027" s="910"/>
      <c r="K1027" s="1174"/>
      <c r="L1027" s="1022"/>
      <c r="M1027" s="1175"/>
      <c r="S1027" s="504"/>
      <c r="T1027" s="504"/>
      <c r="U1027" s="504"/>
      <c r="V1027" s="504"/>
      <c r="W1027" s="504"/>
      <c r="X1027" s="504"/>
      <c r="Y1027" s="504"/>
      <c r="Z1027" s="504"/>
      <c r="AA1027" s="504"/>
      <c r="AB1027" s="504"/>
      <c r="AC1027" s="322"/>
      <c r="AD1027" s="322"/>
      <c r="AE1027" s="322"/>
    </row>
    <row r="1028" spans="1:31" x14ac:dyDescent="0.25">
      <c r="A1028" s="1138">
        <v>1019</v>
      </c>
      <c r="B1028" s="1138" t="s">
        <v>52</v>
      </c>
      <c r="C1028" s="1037" t="s">
        <v>175</v>
      </c>
      <c r="I1028" s="910"/>
      <c r="J1028" s="910"/>
      <c r="K1028" s="1174"/>
      <c r="L1028" s="1022"/>
      <c r="M1028" s="1175"/>
      <c r="S1028" s="504"/>
      <c r="T1028" s="504"/>
      <c r="U1028" s="504"/>
      <c r="V1028" s="504"/>
      <c r="W1028" s="504"/>
      <c r="X1028" s="504"/>
      <c r="Y1028" s="504"/>
      <c r="Z1028" s="504"/>
      <c r="AA1028" s="504"/>
      <c r="AB1028" s="504"/>
      <c r="AC1028" s="322"/>
      <c r="AD1028" s="322"/>
      <c r="AE1028" s="322"/>
    </row>
    <row r="1029" spans="1:31" x14ac:dyDescent="0.25">
      <c r="A1029" s="1138">
        <v>1020</v>
      </c>
      <c r="B1029" s="1138" t="s">
        <v>52</v>
      </c>
      <c r="C1029" s="1037" t="s">
        <v>175</v>
      </c>
      <c r="D1029" s="920" t="s">
        <v>1004</v>
      </c>
      <c r="E1029" s="920" t="s">
        <v>1003</v>
      </c>
      <c r="F1029" s="920" t="str">
        <f>HLOOKUP(C1029,'Assessment References'!$H$512:$BG$513,2,FALSE)</f>
        <v/>
      </c>
      <c r="G1029" s="919"/>
      <c r="H1029" s="918"/>
      <c r="I1029" s="910"/>
      <c r="J1029" s="910"/>
      <c r="K1029" s="1174"/>
      <c r="L1029" s="1022"/>
      <c r="M1029" s="1175"/>
      <c r="S1029" s="504"/>
      <c r="T1029" s="504"/>
      <c r="U1029" s="504"/>
      <c r="V1029" s="504"/>
      <c r="W1029" s="504"/>
      <c r="X1029" s="504"/>
      <c r="Y1029" s="504"/>
      <c r="Z1029" s="504"/>
      <c r="AA1029" s="504"/>
      <c r="AB1029" s="504"/>
      <c r="AC1029" s="322"/>
      <c r="AD1029" s="322"/>
      <c r="AE1029" s="322"/>
    </row>
    <row r="1030" spans="1:31" x14ac:dyDescent="0.25">
      <c r="A1030" s="1138">
        <v>1021</v>
      </c>
      <c r="B1030" s="1138" t="s">
        <v>52</v>
      </c>
      <c r="C1030" s="1037" t="s">
        <v>175</v>
      </c>
      <c r="D1030" s="1539"/>
      <c r="E1030" s="1540"/>
      <c r="F1030" s="1540"/>
      <c r="G1030" s="1540"/>
      <c r="H1030" s="1541"/>
      <c r="I1030" s="910"/>
      <c r="J1030" s="910"/>
      <c r="K1030" s="1174"/>
      <c r="L1030" s="1022"/>
      <c r="M1030" s="1175"/>
      <c r="S1030" s="504"/>
      <c r="T1030" s="504"/>
      <c r="U1030" s="504"/>
      <c r="V1030" s="504"/>
      <c r="W1030" s="504"/>
      <c r="X1030" s="504"/>
      <c r="Y1030" s="504"/>
      <c r="Z1030" s="504"/>
      <c r="AA1030" s="504"/>
      <c r="AB1030" s="504"/>
      <c r="AC1030" s="322"/>
      <c r="AD1030" s="322"/>
      <c r="AE1030" s="322"/>
    </row>
    <row r="1031" spans="1:31" x14ac:dyDescent="0.25">
      <c r="A1031" s="1138">
        <v>1022</v>
      </c>
      <c r="B1031" s="1138" t="s">
        <v>52</v>
      </c>
      <c r="C1031" s="1037" t="s">
        <v>175</v>
      </c>
      <c r="D1031" s="1530"/>
      <c r="E1031" s="1531"/>
      <c r="F1031" s="1531"/>
      <c r="G1031" s="1531"/>
      <c r="H1031" s="1532"/>
      <c r="I1031" s="910"/>
      <c r="J1031" s="910"/>
      <c r="K1031" s="1174"/>
      <c r="L1031" s="1022"/>
      <c r="M1031" s="1175"/>
      <c r="S1031" s="504"/>
      <c r="T1031" s="504"/>
      <c r="U1031" s="504"/>
      <c r="V1031" s="504"/>
      <c r="W1031" s="504"/>
      <c r="X1031" s="504"/>
      <c r="Y1031" s="504"/>
      <c r="Z1031" s="504"/>
      <c r="AA1031" s="504"/>
      <c r="AB1031" s="504"/>
      <c r="AC1031" s="322"/>
      <c r="AD1031" s="322"/>
      <c r="AE1031" s="322"/>
    </row>
    <row r="1032" spans="1:31" x14ac:dyDescent="0.25">
      <c r="A1032" s="1138">
        <v>1023</v>
      </c>
      <c r="B1032" s="1138" t="s">
        <v>52</v>
      </c>
      <c r="C1032" s="1037" t="s">
        <v>175</v>
      </c>
      <c r="D1032" s="1530"/>
      <c r="E1032" s="1531"/>
      <c r="F1032" s="1531"/>
      <c r="G1032" s="1531"/>
      <c r="H1032" s="1532"/>
      <c r="I1032" s="910"/>
      <c r="J1032" s="910"/>
      <c r="K1032" s="1174"/>
      <c r="L1032" s="1022"/>
      <c r="M1032" s="1175"/>
      <c r="S1032" s="504"/>
      <c r="T1032" s="504"/>
      <c r="U1032" s="504"/>
      <c r="V1032" s="504"/>
      <c r="W1032" s="504"/>
      <c r="X1032" s="504"/>
      <c r="Y1032" s="504"/>
      <c r="Z1032" s="504"/>
      <c r="AA1032" s="504"/>
      <c r="AB1032" s="504"/>
      <c r="AC1032" s="322"/>
      <c r="AD1032" s="322"/>
      <c r="AE1032" s="322"/>
    </row>
    <row r="1033" spans="1:31" x14ac:dyDescent="0.25">
      <c r="A1033" s="1138">
        <v>1024</v>
      </c>
      <c r="B1033" s="1138" t="s">
        <v>52</v>
      </c>
      <c r="C1033" s="1037" t="s">
        <v>175</v>
      </c>
      <c r="D1033" s="1533"/>
      <c r="E1033" s="1534"/>
      <c r="F1033" s="1534"/>
      <c r="G1033" s="1534"/>
      <c r="H1033" s="1535"/>
      <c r="I1033" s="910"/>
      <c r="J1033" s="910"/>
      <c r="K1033" s="1174"/>
      <c r="L1033" s="1022"/>
      <c r="M1033" s="1175"/>
      <c r="S1033" s="504"/>
      <c r="T1033" s="504"/>
      <c r="U1033" s="504"/>
      <c r="V1033" s="504"/>
      <c r="W1033" s="504"/>
      <c r="X1033" s="504"/>
      <c r="Y1033" s="504"/>
      <c r="Z1033" s="504"/>
      <c r="AA1033" s="504"/>
      <c r="AB1033" s="504"/>
      <c r="AC1033" s="322"/>
      <c r="AD1033" s="322"/>
      <c r="AE1033" s="322"/>
    </row>
    <row r="1034" spans="1:31" x14ac:dyDescent="0.25">
      <c r="A1034" s="1138">
        <v>1025</v>
      </c>
      <c r="B1034" s="1138" t="s">
        <v>52</v>
      </c>
      <c r="C1034" s="1037" t="s">
        <v>175</v>
      </c>
      <c r="D1034" s="1533"/>
      <c r="E1034" s="1534"/>
      <c r="F1034" s="1534"/>
      <c r="G1034" s="1534"/>
      <c r="H1034" s="1535"/>
      <c r="I1034" s="910"/>
      <c r="J1034" s="910"/>
      <c r="K1034" s="1174"/>
      <c r="L1034" s="1022"/>
      <c r="M1034" s="1175"/>
      <c r="S1034" s="504"/>
      <c r="T1034" s="504"/>
      <c r="U1034" s="504"/>
      <c r="V1034" s="504"/>
      <c r="W1034" s="504"/>
      <c r="X1034" s="504"/>
      <c r="Y1034" s="504"/>
      <c r="Z1034" s="504"/>
      <c r="AA1034" s="504"/>
      <c r="AB1034" s="504"/>
      <c r="AC1034" s="322"/>
      <c r="AD1034" s="322"/>
      <c r="AE1034" s="322"/>
    </row>
    <row r="1035" spans="1:31" x14ac:dyDescent="0.25">
      <c r="A1035" s="1138">
        <v>1026</v>
      </c>
      <c r="B1035" s="1138" t="s">
        <v>52</v>
      </c>
      <c r="C1035" s="1037" t="s">
        <v>175</v>
      </c>
      <c r="D1035" s="1536"/>
      <c r="E1035" s="1537"/>
      <c r="F1035" s="1537"/>
      <c r="G1035" s="1537"/>
      <c r="H1035" s="1538"/>
      <c r="I1035" s="910"/>
      <c r="J1035" s="910"/>
      <c r="K1035" s="1174"/>
      <c r="L1035" s="1022"/>
      <c r="M1035" s="1175"/>
      <c r="S1035" s="504"/>
      <c r="T1035" s="504"/>
      <c r="U1035" s="504"/>
      <c r="V1035" s="504"/>
      <c r="W1035" s="504"/>
      <c r="X1035" s="504"/>
      <c r="Y1035" s="504"/>
      <c r="Z1035" s="504"/>
      <c r="AA1035" s="504"/>
      <c r="AB1035" s="504"/>
      <c r="AC1035" s="322"/>
      <c r="AD1035" s="322"/>
      <c r="AE1035" s="322"/>
    </row>
    <row r="1036" spans="1:31" x14ac:dyDescent="0.25">
      <c r="A1036" s="1138">
        <v>1027</v>
      </c>
      <c r="B1036" s="1138" t="s">
        <v>52</v>
      </c>
      <c r="C1036" s="1037" t="s">
        <v>175</v>
      </c>
      <c r="D1036" s="952"/>
      <c r="E1036" s="951"/>
      <c r="F1036" s="951"/>
      <c r="G1036" s="951"/>
      <c r="H1036" s="951"/>
      <c r="I1036" s="910"/>
      <c r="J1036" s="910"/>
      <c r="K1036" s="1174"/>
      <c r="L1036" s="1022"/>
      <c r="M1036" s="1175"/>
      <c r="S1036" s="504"/>
      <c r="T1036" s="504"/>
      <c r="U1036" s="504"/>
      <c r="V1036" s="504"/>
      <c r="W1036" s="504"/>
      <c r="X1036" s="504"/>
      <c r="Y1036" s="504"/>
      <c r="Z1036" s="504"/>
      <c r="AA1036" s="504"/>
      <c r="AB1036" s="504"/>
      <c r="AC1036" s="322"/>
      <c r="AD1036" s="322"/>
      <c r="AE1036" s="322"/>
    </row>
    <row r="1037" spans="1:31" x14ac:dyDescent="0.25">
      <c r="A1037" s="1138">
        <v>1028</v>
      </c>
      <c r="B1037" s="1140" t="s">
        <v>52</v>
      </c>
      <c r="C1037" s="978" t="s">
        <v>459</v>
      </c>
      <c r="D1037" s="1015" t="s">
        <v>831</v>
      </c>
      <c r="E1037" s="1014"/>
      <c r="F1037" s="1014"/>
      <c r="G1037" s="1013"/>
      <c r="H1037" s="1013"/>
      <c r="I1037" s="910"/>
      <c r="J1037" s="910"/>
      <c r="K1037" s="1174"/>
      <c r="L1037" s="1022"/>
      <c r="M1037" s="1175"/>
      <c r="S1037" s="504"/>
      <c r="T1037" s="504"/>
      <c r="U1037" s="504"/>
      <c r="V1037" s="504"/>
      <c r="W1037" s="504"/>
      <c r="X1037" s="504"/>
      <c r="Y1037" s="504"/>
      <c r="Z1037" s="504"/>
      <c r="AA1037" s="504"/>
      <c r="AB1037" s="504"/>
      <c r="AC1037" s="322"/>
      <c r="AD1037" s="322"/>
      <c r="AE1037" s="322"/>
    </row>
    <row r="1038" spans="1:31" x14ac:dyDescent="0.25">
      <c r="A1038" s="1138">
        <v>1029</v>
      </c>
      <c r="B1038" s="1138" t="s">
        <v>52</v>
      </c>
      <c r="C1038" s="1037" t="s">
        <v>459</v>
      </c>
      <c r="D1038" s="946" t="s">
        <v>15</v>
      </c>
      <c r="E1038" s="1264">
        <f>LE03_credits</f>
        <v>3</v>
      </c>
      <c r="F1038" s="945"/>
      <c r="G1038" s="944" t="s">
        <v>76</v>
      </c>
      <c r="H1038" s="1266">
        <f>LE03_07</f>
        <v>2.368421052631579E-2</v>
      </c>
      <c r="I1038" s="910"/>
      <c r="J1038" s="910"/>
      <c r="K1038" s="1174"/>
      <c r="L1038" s="1022"/>
      <c r="M1038" s="1175"/>
      <c r="S1038" s="504"/>
      <c r="T1038" s="504"/>
      <c r="U1038" s="504"/>
      <c r="V1038" s="504"/>
      <c r="W1038" s="504"/>
      <c r="X1038" s="504"/>
      <c r="Y1038" s="504"/>
      <c r="Z1038" s="504"/>
      <c r="AA1038" s="504"/>
      <c r="AB1038" s="504"/>
      <c r="AC1038" s="322"/>
      <c r="AD1038" s="322"/>
      <c r="AE1038" s="322"/>
    </row>
    <row r="1039" spans="1:31" x14ac:dyDescent="0.25">
      <c r="A1039" s="1138">
        <v>1030</v>
      </c>
      <c r="B1039" s="1138" t="s">
        <v>52</v>
      </c>
      <c r="C1039" s="1037" t="s">
        <v>459</v>
      </c>
      <c r="D1039" s="972" t="s">
        <v>1011</v>
      </c>
      <c r="E1039" s="1265">
        <v>0</v>
      </c>
      <c r="F1039" s="941"/>
      <c r="G1039" s="940" t="s">
        <v>1010</v>
      </c>
      <c r="H1039" s="1267" t="s">
        <v>13</v>
      </c>
      <c r="I1039" s="910"/>
      <c r="J1039" s="910"/>
      <c r="K1039" s="1174"/>
      <c r="L1039" s="1022"/>
      <c r="M1039" s="1175"/>
      <c r="S1039" s="504"/>
      <c r="T1039" s="504"/>
      <c r="U1039" s="504"/>
      <c r="V1039" s="504"/>
      <c r="W1039" s="504"/>
      <c r="X1039" s="504"/>
      <c r="Y1039" s="504"/>
      <c r="Z1039" s="504"/>
      <c r="AA1039" s="504"/>
      <c r="AB1039" s="504"/>
      <c r="AC1039" s="322"/>
      <c r="AD1039" s="322"/>
      <c r="AE1039" s="322"/>
    </row>
    <row r="1040" spans="1:31" x14ac:dyDescent="0.25">
      <c r="A1040" s="1138">
        <v>1031</v>
      </c>
      <c r="B1040" s="1138" t="s">
        <v>52</v>
      </c>
      <c r="C1040" s="1037" t="s">
        <v>459</v>
      </c>
      <c r="I1040" s="910"/>
      <c r="J1040" s="910"/>
      <c r="K1040" s="1174"/>
      <c r="L1040" s="1022"/>
      <c r="M1040" s="1175"/>
      <c r="S1040" s="504"/>
      <c r="T1040" s="504"/>
      <c r="U1040" s="504"/>
      <c r="V1040" s="504"/>
      <c r="W1040" s="504"/>
      <c r="X1040" s="504"/>
      <c r="Y1040" s="504"/>
      <c r="Z1040" s="504"/>
      <c r="AA1040" s="504"/>
      <c r="AB1040" s="504"/>
      <c r="AC1040" s="322"/>
      <c r="AD1040" s="322"/>
      <c r="AE1040" s="322"/>
    </row>
    <row r="1041" spans="1:31" ht="15.75" thickBot="1" x14ac:dyDescent="0.3">
      <c r="A1041" s="1138">
        <v>1032</v>
      </c>
      <c r="B1041" s="1138" t="s">
        <v>52</v>
      </c>
      <c r="C1041" s="1037" t="s">
        <v>459</v>
      </c>
      <c r="D1041" s="938" t="s">
        <v>1789</v>
      </c>
      <c r="E1041" s="937" t="s">
        <v>1008</v>
      </c>
      <c r="F1041"/>
      <c r="G1041"/>
      <c r="H1041"/>
      <c r="I1041" s="910"/>
      <c r="J1041" s="910"/>
      <c r="K1041" s="1174"/>
      <c r="L1041" s="1022"/>
      <c r="M1041" s="1175"/>
      <c r="S1041" s="504"/>
      <c r="T1041" s="504"/>
      <c r="U1041" s="504"/>
      <c r="V1041" s="504"/>
      <c r="W1041" s="504"/>
      <c r="X1041" s="504"/>
      <c r="Y1041" s="504"/>
      <c r="Z1041" s="504"/>
      <c r="AA1041" s="504"/>
      <c r="AB1041" s="504"/>
      <c r="AC1041" s="322"/>
      <c r="AD1041" s="322"/>
      <c r="AE1041" s="322"/>
    </row>
    <row r="1042" spans="1:31" ht="15.75" thickBot="1" x14ac:dyDescent="0.3">
      <c r="A1042" s="1138">
        <v>1033</v>
      </c>
      <c r="B1042" s="1138" t="s">
        <v>52</v>
      </c>
      <c r="C1042" s="1037" t="s">
        <v>459</v>
      </c>
      <c r="D1042" s="1239" t="s">
        <v>1520</v>
      </c>
      <c r="E1042" s="1319" t="str">
        <f>IF(E1024=2,AIS_Yes,AIS_No)</f>
        <v>No</v>
      </c>
      <c r="F1042" s="1024" t="str">
        <f>IF(OR(E1042=AIS_No,E1042=AIS_PS),"Pre-requisite: Criteria 2–6 in LE 02","")</f>
        <v>Pre-requisite: Criteria 2–6 in LE 02</v>
      </c>
      <c r="G1042"/>
      <c r="H1042"/>
      <c r="I1042" s="910"/>
      <c r="J1042" s="910"/>
      <c r="K1042" s="1174"/>
      <c r="L1042" s="1022"/>
      <c r="M1042" s="1175"/>
      <c r="S1042" s="504"/>
      <c r="T1042" s="504"/>
      <c r="U1042" s="504"/>
      <c r="V1042" s="504"/>
      <c r="W1042" s="504"/>
      <c r="X1042" s="504"/>
      <c r="Y1042" s="504"/>
      <c r="Z1042" s="504"/>
      <c r="AA1042" s="504"/>
      <c r="AB1042" s="504"/>
      <c r="AC1042" s="322"/>
      <c r="AD1042" s="322"/>
      <c r="AE1042" s="322"/>
    </row>
    <row r="1043" spans="1:31" x14ac:dyDescent="0.25">
      <c r="A1043" s="1138">
        <v>1034</v>
      </c>
      <c r="B1043" s="1138" t="s">
        <v>52</v>
      </c>
      <c r="C1043" s="1037" t="s">
        <v>459</v>
      </c>
      <c r="D1043" s="916"/>
      <c r="E1043" s="916"/>
      <c r="F1043" s="916"/>
      <c r="G1043" s="916"/>
      <c r="H1043" s="916"/>
      <c r="I1043" s="910"/>
      <c r="J1043" s="910"/>
      <c r="K1043" s="1174"/>
      <c r="L1043" s="1022"/>
      <c r="M1043" s="1175"/>
      <c r="S1043" s="504"/>
      <c r="T1043" s="504"/>
      <c r="U1043" s="504"/>
      <c r="V1043" s="504"/>
      <c r="W1043" s="504"/>
      <c r="X1043" s="504"/>
      <c r="Y1043" s="504"/>
      <c r="Z1043" s="504"/>
      <c r="AA1043" s="504"/>
      <c r="AB1043" s="504"/>
      <c r="AC1043" s="322"/>
      <c r="AD1043" s="322"/>
      <c r="AE1043" s="322"/>
    </row>
    <row r="1044" spans="1:31" ht="15.75" thickBot="1" x14ac:dyDescent="0.3">
      <c r="A1044" s="1138">
        <v>1035</v>
      </c>
      <c r="B1044" s="1138" t="s">
        <v>52</v>
      </c>
      <c r="C1044" s="1037" t="s">
        <v>459</v>
      </c>
      <c r="D1044" s="938" t="s">
        <v>1009</v>
      </c>
      <c r="E1044" s="937" t="s">
        <v>1008</v>
      </c>
      <c r="F1044" s="937" t="s">
        <v>1007</v>
      </c>
      <c r="G1044" s="937" t="s">
        <v>1006</v>
      </c>
      <c r="H1044" s="937" t="s">
        <v>1014</v>
      </c>
      <c r="I1044" s="910"/>
      <c r="J1044" s="910"/>
      <c r="K1044" s="1230" t="s">
        <v>316</v>
      </c>
      <c r="L1044" s="1022">
        <v>0</v>
      </c>
      <c r="M1044" s="1175"/>
      <c r="S1044" s="504"/>
      <c r="T1044" s="504"/>
      <c r="U1044" s="504"/>
      <c r="V1044" s="504"/>
      <c r="W1044" s="504"/>
      <c r="X1044" s="504"/>
      <c r="Y1044" s="504"/>
      <c r="Z1044" s="504"/>
      <c r="AA1044" s="504"/>
      <c r="AB1044" s="504"/>
      <c r="AC1044" s="322"/>
      <c r="AD1044" s="322"/>
      <c r="AE1044" s="322"/>
    </row>
    <row r="1045" spans="1:31" x14ac:dyDescent="0.25">
      <c r="A1045" s="1138">
        <v>1036</v>
      </c>
      <c r="B1045" s="1138" t="s">
        <v>52</v>
      </c>
      <c r="C1045" s="1037" t="s">
        <v>459</v>
      </c>
      <c r="D1045" s="1168" t="s">
        <v>1521</v>
      </c>
      <c r="E1045" s="1268" t="s">
        <v>316</v>
      </c>
      <c r="F1045" s="1223">
        <f>Poeng!AB177</f>
        <v>1</v>
      </c>
      <c r="G1045" s="1223">
        <f>IF(E1045=AIS_Yes,F1045,0)*IF(E1042=AIS_Yes,1,0)</f>
        <v>0</v>
      </c>
      <c r="H1045" s="1223" t="s">
        <v>14</v>
      </c>
      <c r="I1045" s="910"/>
      <c r="J1045" s="910"/>
      <c r="K1045" s="1230" t="s">
        <v>1522</v>
      </c>
      <c r="L1045" s="1233">
        <f>F1046</f>
        <v>2</v>
      </c>
      <c r="M1045" s="1175"/>
      <c r="S1045" s="504"/>
      <c r="T1045" s="504"/>
      <c r="U1045" s="504"/>
      <c r="V1045" s="504"/>
      <c r="W1045" s="504"/>
      <c r="X1045" s="504"/>
      <c r="Y1045" s="504"/>
      <c r="Z1045" s="504"/>
      <c r="AA1045" s="504"/>
      <c r="AB1045" s="504"/>
      <c r="AC1045" s="322"/>
      <c r="AD1045" s="322"/>
      <c r="AE1045" s="322"/>
    </row>
    <row r="1046" spans="1:31" ht="15.75" thickBot="1" x14ac:dyDescent="0.3">
      <c r="A1046" s="1138">
        <v>1037</v>
      </c>
      <c r="B1046" s="1138" t="s">
        <v>52</v>
      </c>
      <c r="C1046" s="1037" t="s">
        <v>459</v>
      </c>
      <c r="D1046" s="1170" t="s">
        <v>657</v>
      </c>
      <c r="E1046" s="1275" t="s">
        <v>316</v>
      </c>
      <c r="F1046" s="1226">
        <f>Poeng!AB178</f>
        <v>2</v>
      </c>
      <c r="G1046" s="1227">
        <f>VLOOKUP(E1046,K1044:L1046,2,FALSE)</f>
        <v>0</v>
      </c>
      <c r="H1046" s="1227" t="s">
        <v>14</v>
      </c>
      <c r="I1046" s="910"/>
      <c r="J1046" s="910"/>
      <c r="K1046" s="1230" t="s">
        <v>1523</v>
      </c>
      <c r="L1046" s="1022">
        <f>F1046/2</f>
        <v>1</v>
      </c>
      <c r="M1046" s="1175"/>
      <c r="S1046" s="504"/>
      <c r="T1046" s="504"/>
      <c r="U1046" s="504"/>
      <c r="V1046" s="504"/>
      <c r="W1046" s="504"/>
      <c r="X1046" s="504"/>
      <c r="Y1046" s="504"/>
      <c r="Z1046" s="504"/>
      <c r="AA1046" s="504"/>
      <c r="AB1046" s="504"/>
      <c r="AC1046" s="322"/>
      <c r="AD1046" s="322"/>
      <c r="AE1046" s="322"/>
    </row>
    <row r="1047" spans="1:31" x14ac:dyDescent="0.25">
      <c r="A1047" s="1138">
        <v>1038</v>
      </c>
      <c r="B1047" s="1138" t="s">
        <v>52</v>
      </c>
      <c r="C1047" s="1037" t="s">
        <v>459</v>
      </c>
      <c r="I1047" s="910"/>
      <c r="J1047" s="910"/>
      <c r="K1047" s="1174"/>
      <c r="L1047" s="1022"/>
      <c r="M1047" s="1175"/>
      <c r="S1047" s="504"/>
      <c r="T1047" s="504"/>
      <c r="U1047" s="504"/>
      <c r="V1047" s="504"/>
      <c r="W1047" s="504"/>
      <c r="X1047" s="504"/>
      <c r="Y1047" s="504"/>
      <c r="Z1047" s="504"/>
      <c r="AA1047" s="504"/>
      <c r="AB1047" s="504"/>
      <c r="AC1047" s="322"/>
      <c r="AD1047" s="322"/>
      <c r="AE1047" s="322"/>
    </row>
    <row r="1048" spans="1:31" x14ac:dyDescent="0.25">
      <c r="A1048" s="1138">
        <v>1039</v>
      </c>
      <c r="B1048" s="1138" t="s">
        <v>52</v>
      </c>
      <c r="C1048" s="1037" t="s">
        <v>459</v>
      </c>
      <c r="D1048" s="958" t="s">
        <v>1012</v>
      </c>
      <c r="E1048" s="1272">
        <f>G1045+G1046</f>
        <v>0</v>
      </c>
      <c r="I1048" s="910"/>
      <c r="J1048" s="910"/>
      <c r="K1048" s="1174"/>
      <c r="L1048" s="1022"/>
      <c r="M1048" s="1175"/>
      <c r="S1048" s="504"/>
      <c r="T1048" s="504"/>
      <c r="U1048" s="504"/>
      <c r="V1048" s="504"/>
      <c r="W1048" s="504"/>
      <c r="X1048" s="504"/>
      <c r="Y1048" s="504"/>
      <c r="Z1048" s="504"/>
      <c r="AA1048" s="504"/>
      <c r="AB1048" s="504"/>
      <c r="AC1048" s="322"/>
      <c r="AD1048" s="322"/>
      <c r="AE1048" s="322"/>
    </row>
    <row r="1049" spans="1:31" x14ac:dyDescent="0.25">
      <c r="A1049" s="1138">
        <v>1040</v>
      </c>
      <c r="B1049" s="1138" t="s">
        <v>52</v>
      </c>
      <c r="C1049" s="1037" t="s">
        <v>459</v>
      </c>
      <c r="D1049" s="924" t="s">
        <v>77</v>
      </c>
      <c r="E1049" s="1273">
        <f>LE03_cont</f>
        <v>0</v>
      </c>
      <c r="I1049" s="910"/>
      <c r="J1049" s="910"/>
      <c r="K1049" s="1174"/>
      <c r="L1049" s="1022"/>
      <c r="M1049" s="1175"/>
      <c r="S1049" s="504"/>
      <c r="T1049" s="504"/>
      <c r="U1049" s="504"/>
      <c r="V1049" s="504"/>
      <c r="W1049" s="504"/>
      <c r="X1049" s="504"/>
      <c r="Y1049" s="504"/>
      <c r="Z1049" s="504"/>
      <c r="AA1049" s="504"/>
      <c r="AB1049" s="504"/>
      <c r="AC1049" s="322"/>
      <c r="AD1049" s="322"/>
      <c r="AE1049" s="322"/>
    </row>
    <row r="1050" spans="1:31" x14ac:dyDescent="0.25">
      <c r="A1050" s="1138">
        <v>1041</v>
      </c>
      <c r="B1050" s="1138" t="s">
        <v>52</v>
      </c>
      <c r="C1050" s="1037" t="s">
        <v>459</v>
      </c>
      <c r="D1050" s="926" t="s">
        <v>1005</v>
      </c>
      <c r="E1050" s="1272" t="s">
        <v>14</v>
      </c>
      <c r="I1050" s="910"/>
      <c r="J1050" s="910"/>
      <c r="K1050" s="1174"/>
      <c r="L1050" s="1022"/>
      <c r="M1050" s="1175"/>
      <c r="S1050" s="504"/>
      <c r="T1050" s="504"/>
      <c r="U1050" s="504"/>
      <c r="V1050" s="504"/>
      <c r="W1050" s="504"/>
      <c r="X1050" s="504"/>
      <c r="Y1050" s="504"/>
      <c r="Z1050" s="504"/>
      <c r="AA1050" s="504"/>
      <c r="AB1050" s="504"/>
      <c r="AC1050" s="322"/>
      <c r="AD1050" s="322"/>
      <c r="AE1050" s="322"/>
    </row>
    <row r="1051" spans="1:31" x14ac:dyDescent="0.25">
      <c r="A1051" s="1138">
        <v>1042</v>
      </c>
      <c r="B1051" s="1138" t="s">
        <v>52</v>
      </c>
      <c r="C1051" s="1037" t="s">
        <v>459</v>
      </c>
      <c r="D1051" s="923" t="s">
        <v>46</v>
      </c>
      <c r="E1051" s="1290" t="s">
        <v>14</v>
      </c>
      <c r="I1051" s="910"/>
      <c r="J1051" s="910"/>
      <c r="K1051" s="1174"/>
      <c r="L1051" s="1022"/>
      <c r="M1051" s="1175"/>
      <c r="S1051" s="504"/>
      <c r="T1051" s="504"/>
      <c r="U1051" s="504"/>
      <c r="V1051" s="504"/>
      <c r="W1051" s="504"/>
      <c r="X1051" s="504"/>
      <c r="Y1051" s="504"/>
      <c r="Z1051" s="504"/>
      <c r="AA1051" s="504"/>
      <c r="AB1051" s="504"/>
      <c r="AC1051" s="322"/>
      <c r="AD1051" s="322"/>
      <c r="AE1051" s="322"/>
    </row>
    <row r="1052" spans="1:31" x14ac:dyDescent="0.25">
      <c r="A1052" s="1138">
        <v>1043</v>
      </c>
      <c r="B1052" s="1138" t="s">
        <v>52</v>
      </c>
      <c r="C1052" s="1037" t="s">
        <v>459</v>
      </c>
      <c r="I1052" s="910"/>
      <c r="J1052" s="910"/>
      <c r="K1052" s="1174"/>
      <c r="L1052" s="1022"/>
      <c r="M1052" s="1175"/>
      <c r="S1052" s="504"/>
      <c r="T1052" s="504"/>
      <c r="U1052" s="504"/>
      <c r="V1052" s="504"/>
      <c r="W1052" s="504"/>
      <c r="X1052" s="504"/>
      <c r="Y1052" s="504"/>
      <c r="Z1052" s="504"/>
      <c r="AA1052" s="504"/>
      <c r="AB1052" s="504"/>
      <c r="AC1052" s="322"/>
      <c r="AD1052" s="322"/>
      <c r="AE1052" s="322"/>
    </row>
    <row r="1053" spans="1:31" x14ac:dyDescent="0.25">
      <c r="A1053" s="1138">
        <v>1044</v>
      </c>
      <c r="B1053" s="1138" t="s">
        <v>52</v>
      </c>
      <c r="C1053" s="1037" t="s">
        <v>459</v>
      </c>
      <c r="D1053" s="920" t="s">
        <v>1004</v>
      </c>
      <c r="E1053" s="920" t="s">
        <v>1003</v>
      </c>
      <c r="F1053" s="920" t="str">
        <f>HLOOKUP(C1053,'Assessment References'!$H$512:$BG$513,2,FALSE)</f>
        <v/>
      </c>
      <c r="G1053" s="919"/>
      <c r="H1053" s="918"/>
      <c r="I1053" s="910"/>
      <c r="J1053" s="910"/>
      <c r="K1053" s="1174"/>
      <c r="L1053" s="1022"/>
      <c r="M1053" s="1175"/>
      <c r="S1053" s="504"/>
      <c r="T1053" s="504"/>
      <c r="U1053" s="504"/>
      <c r="V1053" s="504"/>
      <c r="W1053" s="504"/>
      <c r="X1053" s="504"/>
      <c r="Y1053" s="504"/>
      <c r="Z1053" s="504"/>
      <c r="AA1053" s="504"/>
      <c r="AB1053" s="504"/>
      <c r="AC1053" s="322"/>
      <c r="AD1053" s="322"/>
      <c r="AE1053" s="322"/>
    </row>
    <row r="1054" spans="1:31" x14ac:dyDescent="0.25">
      <c r="A1054" s="1138">
        <v>1045</v>
      </c>
      <c r="B1054" s="1138" t="s">
        <v>52</v>
      </c>
      <c r="C1054" s="1037" t="s">
        <v>459</v>
      </c>
      <c r="D1054" s="1539"/>
      <c r="E1054" s="1540"/>
      <c r="F1054" s="1540"/>
      <c r="G1054" s="1540"/>
      <c r="H1054" s="1541"/>
      <c r="I1054" s="910"/>
      <c r="J1054" s="910"/>
      <c r="K1054" s="1174"/>
      <c r="L1054" s="1022"/>
      <c r="M1054" s="1175"/>
      <c r="S1054" s="504"/>
      <c r="T1054" s="504"/>
      <c r="U1054" s="504"/>
      <c r="V1054" s="504"/>
      <c r="W1054" s="504"/>
      <c r="X1054" s="504"/>
      <c r="Y1054" s="504"/>
      <c r="Z1054" s="504"/>
      <c r="AA1054" s="504"/>
      <c r="AB1054" s="504"/>
      <c r="AC1054" s="322"/>
      <c r="AD1054" s="322"/>
      <c r="AE1054" s="322"/>
    </row>
    <row r="1055" spans="1:31" x14ac:dyDescent="0.25">
      <c r="A1055" s="1138">
        <v>1046</v>
      </c>
      <c r="B1055" s="1138" t="s">
        <v>52</v>
      </c>
      <c r="C1055" s="1037" t="s">
        <v>459</v>
      </c>
      <c r="D1055" s="1530"/>
      <c r="E1055" s="1531"/>
      <c r="F1055" s="1531"/>
      <c r="G1055" s="1531"/>
      <c r="H1055" s="1532"/>
      <c r="I1055" s="910"/>
      <c r="J1055" s="910"/>
      <c r="K1055" s="1174"/>
      <c r="L1055" s="1022"/>
      <c r="M1055" s="1175"/>
      <c r="S1055" s="504"/>
      <c r="T1055" s="504"/>
      <c r="U1055" s="504"/>
      <c r="V1055" s="504"/>
      <c r="W1055" s="504"/>
      <c r="X1055" s="504"/>
      <c r="Y1055" s="504"/>
      <c r="Z1055" s="504"/>
      <c r="AA1055" s="504"/>
      <c r="AB1055" s="504"/>
      <c r="AC1055" s="322"/>
      <c r="AD1055" s="322"/>
      <c r="AE1055" s="322"/>
    </row>
    <row r="1056" spans="1:31" x14ac:dyDescent="0.25">
      <c r="A1056" s="1138">
        <v>1047</v>
      </c>
      <c r="B1056" s="1138" t="s">
        <v>52</v>
      </c>
      <c r="C1056" s="1037" t="s">
        <v>459</v>
      </c>
      <c r="D1056" s="1530"/>
      <c r="E1056" s="1531"/>
      <c r="F1056" s="1531"/>
      <c r="G1056" s="1531"/>
      <c r="H1056" s="1532"/>
      <c r="I1056" s="910"/>
      <c r="J1056" s="910"/>
      <c r="K1056" s="1174"/>
      <c r="L1056" s="1022"/>
      <c r="M1056" s="1175"/>
      <c r="S1056" s="504"/>
      <c r="T1056" s="504"/>
      <c r="U1056" s="504"/>
      <c r="V1056" s="504"/>
      <c r="W1056" s="504"/>
      <c r="X1056" s="504"/>
      <c r="Y1056" s="504"/>
      <c r="Z1056" s="504"/>
      <c r="AA1056" s="504"/>
      <c r="AB1056" s="504"/>
      <c r="AC1056" s="322"/>
      <c r="AD1056" s="322"/>
      <c r="AE1056" s="322"/>
    </row>
    <row r="1057" spans="1:31" x14ac:dyDescent="0.25">
      <c r="A1057" s="1138">
        <v>1048</v>
      </c>
      <c r="B1057" s="1138" t="s">
        <v>52</v>
      </c>
      <c r="C1057" s="1037" t="s">
        <v>459</v>
      </c>
      <c r="D1057" s="1533"/>
      <c r="E1057" s="1534"/>
      <c r="F1057" s="1534"/>
      <c r="G1057" s="1534"/>
      <c r="H1057" s="1535"/>
      <c r="I1057" s="910"/>
      <c r="J1057" s="910"/>
      <c r="K1057" s="1174"/>
      <c r="L1057" s="1022"/>
      <c r="M1057" s="1175"/>
      <c r="S1057" s="504"/>
      <c r="T1057" s="504"/>
      <c r="U1057" s="504"/>
      <c r="V1057" s="504"/>
      <c r="W1057" s="504"/>
      <c r="X1057" s="504"/>
      <c r="Y1057" s="504"/>
      <c r="Z1057" s="504"/>
      <c r="AA1057" s="504"/>
      <c r="AB1057" s="504"/>
      <c r="AC1057" s="322"/>
      <c r="AD1057" s="322"/>
      <c r="AE1057" s="322"/>
    </row>
    <row r="1058" spans="1:31" x14ac:dyDescent="0.25">
      <c r="A1058" s="1138">
        <v>1049</v>
      </c>
      <c r="B1058" s="1138" t="s">
        <v>52</v>
      </c>
      <c r="C1058" s="1037" t="s">
        <v>459</v>
      </c>
      <c r="D1058" s="1533"/>
      <c r="E1058" s="1534"/>
      <c r="F1058" s="1534"/>
      <c r="G1058" s="1534"/>
      <c r="H1058" s="1535"/>
      <c r="I1058" s="910"/>
      <c r="J1058" s="910"/>
      <c r="K1058" s="1174"/>
      <c r="L1058" s="1022"/>
      <c r="M1058" s="1175"/>
      <c r="S1058" s="504"/>
      <c r="T1058" s="504"/>
      <c r="U1058" s="504"/>
      <c r="V1058" s="504"/>
      <c r="W1058" s="504"/>
      <c r="X1058" s="504"/>
      <c r="Y1058" s="504"/>
      <c r="Z1058" s="504"/>
      <c r="AA1058" s="504"/>
      <c r="AB1058" s="504"/>
      <c r="AC1058" s="322"/>
      <c r="AD1058" s="322"/>
      <c r="AE1058" s="322"/>
    </row>
    <row r="1059" spans="1:31" x14ac:dyDescent="0.25">
      <c r="A1059" s="1138">
        <v>1050</v>
      </c>
      <c r="B1059" s="1138" t="s">
        <v>52</v>
      </c>
      <c r="C1059" s="1037" t="s">
        <v>459</v>
      </c>
      <c r="D1059" s="1536"/>
      <c r="E1059" s="1537"/>
      <c r="F1059" s="1537"/>
      <c r="G1059" s="1537"/>
      <c r="H1059" s="1538"/>
      <c r="I1059" s="910"/>
      <c r="J1059" s="910"/>
      <c r="K1059" s="1174"/>
      <c r="L1059" s="1022"/>
      <c r="M1059" s="1175"/>
      <c r="S1059" s="504"/>
      <c r="T1059" s="504"/>
      <c r="U1059" s="504"/>
      <c r="V1059" s="504"/>
      <c r="W1059" s="504"/>
      <c r="X1059" s="504"/>
      <c r="Y1059" s="504"/>
      <c r="Z1059" s="504"/>
      <c r="AA1059" s="504"/>
      <c r="AB1059" s="504"/>
      <c r="AC1059" s="322"/>
      <c r="AD1059" s="322"/>
      <c r="AE1059" s="322"/>
    </row>
    <row r="1060" spans="1:31" x14ac:dyDescent="0.25">
      <c r="A1060" s="1138">
        <v>1051</v>
      </c>
      <c r="B1060" s="1138" t="s">
        <v>52</v>
      </c>
      <c r="C1060" s="1037" t="s">
        <v>459</v>
      </c>
      <c r="D1060" s="952"/>
      <c r="E1060" s="951"/>
      <c r="F1060" s="951"/>
      <c r="G1060" s="951"/>
      <c r="H1060" s="951"/>
      <c r="I1060" s="910"/>
      <c r="J1060" s="910"/>
      <c r="K1060" s="1174"/>
      <c r="L1060" s="1022"/>
      <c r="M1060" s="1175"/>
      <c r="S1060" s="504"/>
      <c r="T1060" s="504"/>
      <c r="U1060" s="504"/>
      <c r="V1060" s="504"/>
      <c r="W1060" s="504"/>
      <c r="X1060" s="504"/>
      <c r="Y1060" s="504"/>
      <c r="Z1060" s="504"/>
      <c r="AA1060" s="504"/>
      <c r="AB1060" s="504"/>
      <c r="AC1060" s="322"/>
      <c r="AD1060" s="322"/>
      <c r="AE1060" s="322"/>
    </row>
    <row r="1061" spans="1:31" x14ac:dyDescent="0.25">
      <c r="A1061" s="1138">
        <v>1052</v>
      </c>
      <c r="B1061" s="1140" t="s">
        <v>52</v>
      </c>
      <c r="C1061" s="978" t="s">
        <v>176</v>
      </c>
      <c r="D1061" s="1015" t="s">
        <v>832</v>
      </c>
      <c r="E1061" s="1014"/>
      <c r="F1061" s="1014"/>
      <c r="G1061" s="1013"/>
      <c r="H1061" s="1013"/>
      <c r="I1061" s="973"/>
      <c r="J1061" s="973"/>
      <c r="K1061" s="1174"/>
      <c r="L1061" s="1022"/>
      <c r="M1061" s="1175"/>
      <c r="S1061" s="504"/>
      <c r="T1061" s="504"/>
      <c r="U1061" s="504"/>
      <c r="V1061" s="504"/>
      <c r="W1061" s="504"/>
      <c r="X1061" s="504"/>
      <c r="Y1061" s="504"/>
      <c r="Z1061" s="504"/>
      <c r="AA1061" s="504"/>
      <c r="AB1061" s="504"/>
      <c r="AC1061" s="322"/>
      <c r="AD1061" s="322"/>
      <c r="AE1061" s="322"/>
    </row>
    <row r="1062" spans="1:31" x14ac:dyDescent="0.25">
      <c r="A1062" s="1138">
        <v>1053</v>
      </c>
      <c r="B1062" s="1138" t="s">
        <v>52</v>
      </c>
      <c r="C1062" s="1037" t="s">
        <v>176</v>
      </c>
      <c r="D1062" s="946" t="s">
        <v>15</v>
      </c>
      <c r="E1062" s="1264">
        <f>LE04_credits</f>
        <v>4</v>
      </c>
      <c r="F1062" s="945"/>
      <c r="G1062" s="944" t="s">
        <v>76</v>
      </c>
      <c r="H1062" s="1266">
        <f>LE04_13</f>
        <v>3.1578947368421054E-2</v>
      </c>
      <c r="I1062" s="910"/>
      <c r="J1062" s="910"/>
      <c r="K1062" s="1174"/>
      <c r="L1062" s="1022"/>
      <c r="M1062" s="1175"/>
      <c r="S1062" s="504"/>
      <c r="T1062" s="504"/>
      <c r="U1062" s="504"/>
      <c r="V1062" s="504"/>
      <c r="W1062" s="504"/>
      <c r="X1062" s="504"/>
      <c r="Y1062" s="504"/>
      <c r="Z1062" s="504"/>
      <c r="AA1062" s="504"/>
      <c r="AB1062" s="504"/>
      <c r="AC1062" s="322"/>
      <c r="AD1062" s="322"/>
      <c r="AE1062" s="322"/>
    </row>
    <row r="1063" spans="1:31" x14ac:dyDescent="0.25">
      <c r="A1063" s="1138">
        <v>1054</v>
      </c>
      <c r="B1063" s="1138" t="s">
        <v>52</v>
      </c>
      <c r="C1063" s="1037" t="s">
        <v>176</v>
      </c>
      <c r="D1063" s="972" t="s">
        <v>1011</v>
      </c>
      <c r="E1063" s="1265">
        <f>Inn12_credits</f>
        <v>1</v>
      </c>
      <c r="F1063" s="941"/>
      <c r="G1063" s="940" t="s">
        <v>1010</v>
      </c>
      <c r="H1063" s="1267" t="s">
        <v>12</v>
      </c>
      <c r="I1063" s="910"/>
      <c r="J1063" s="910"/>
      <c r="K1063" s="1174"/>
      <c r="L1063" s="1022"/>
      <c r="M1063" s="1175"/>
      <c r="S1063" s="504"/>
      <c r="T1063" s="504"/>
      <c r="U1063" s="504"/>
      <c r="V1063" s="504"/>
      <c r="W1063" s="504"/>
      <c r="X1063" s="504"/>
      <c r="Y1063" s="504"/>
      <c r="Z1063" s="504"/>
      <c r="AA1063" s="504"/>
      <c r="AB1063" s="504"/>
      <c r="AC1063" s="322"/>
      <c r="AD1063" s="322"/>
      <c r="AE1063" s="322"/>
    </row>
    <row r="1064" spans="1:31" x14ac:dyDescent="0.25">
      <c r="A1064" s="1138">
        <v>1055</v>
      </c>
      <c r="B1064" s="1138" t="s">
        <v>52</v>
      </c>
      <c r="C1064" s="1037" t="s">
        <v>176</v>
      </c>
      <c r="I1064" s="910"/>
      <c r="J1064" s="910"/>
      <c r="K1064" s="1174"/>
      <c r="L1064" s="1022"/>
      <c r="M1064" s="1175"/>
      <c r="S1064" s="504"/>
      <c r="T1064" s="504"/>
      <c r="U1064" s="504"/>
      <c r="V1064" s="504"/>
      <c r="W1064" s="504"/>
      <c r="X1064" s="504"/>
      <c r="Y1064" s="504"/>
      <c r="Z1064" s="504"/>
      <c r="AA1064" s="504"/>
      <c r="AB1064" s="504"/>
      <c r="AC1064" s="322"/>
      <c r="AD1064" s="322"/>
      <c r="AE1064" s="322"/>
    </row>
    <row r="1065" spans="1:31" ht="15.75" thickBot="1" x14ac:dyDescent="0.3">
      <c r="A1065" s="1138">
        <v>1056</v>
      </c>
      <c r="B1065" s="1138" t="s">
        <v>52</v>
      </c>
      <c r="C1065" s="1037" t="s">
        <v>176</v>
      </c>
      <c r="D1065" s="938" t="s">
        <v>1790</v>
      </c>
      <c r="E1065" s="937" t="s">
        <v>1008</v>
      </c>
      <c r="I1065" s="910"/>
      <c r="J1065" s="910"/>
      <c r="K1065" s="1174"/>
      <c r="L1065" s="1022"/>
      <c r="M1065" s="1175"/>
      <c r="S1065" s="504"/>
      <c r="T1065" s="504"/>
      <c r="U1065" s="504"/>
      <c r="V1065" s="504"/>
      <c r="W1065" s="504"/>
      <c r="X1065" s="504"/>
      <c r="Y1065" s="504"/>
      <c r="Z1065" s="504"/>
      <c r="AA1065" s="504"/>
      <c r="AB1065" s="504"/>
      <c r="AC1065" s="322"/>
      <c r="AD1065" s="322"/>
      <c r="AE1065" s="322"/>
    </row>
    <row r="1066" spans="1:31" x14ac:dyDescent="0.25">
      <c r="A1066" s="1138">
        <v>1057</v>
      </c>
      <c r="B1066" s="1138" t="s">
        <v>52</v>
      </c>
      <c r="C1066" s="1037" t="s">
        <v>176</v>
      </c>
      <c r="D1066" s="1168" t="s">
        <v>1524</v>
      </c>
      <c r="E1066" s="1334" t="str">
        <f>IF(G1046&gt;0,AIS_Yes,AIS_No)</f>
        <v>No</v>
      </c>
      <c r="F1066" s="994" t="str">
        <f>IF(OR(E1066=AIS_No,E1066=AIS_PS),"Pre-requisite: Please select yes","")</f>
        <v>Pre-requisite: Please select yes</v>
      </c>
      <c r="I1066" s="910"/>
      <c r="J1066" s="910"/>
      <c r="K1066" s="1174"/>
      <c r="L1066" s="1022"/>
      <c r="M1066" s="1175"/>
      <c r="S1066" s="504"/>
      <c r="T1066" s="504"/>
      <c r="U1066" s="504"/>
      <c r="V1066" s="504"/>
      <c r="W1066" s="504"/>
      <c r="X1066" s="504"/>
      <c r="Y1066" s="504"/>
      <c r="Z1066" s="504"/>
      <c r="AA1066" s="504"/>
      <c r="AB1066" s="504"/>
      <c r="AC1066" s="322"/>
      <c r="AD1066" s="322"/>
      <c r="AE1066" s="322"/>
    </row>
    <row r="1067" spans="1:31" ht="15.75" thickBot="1" x14ac:dyDescent="0.3">
      <c r="A1067" s="1138">
        <v>1058</v>
      </c>
      <c r="B1067" s="1138" t="s">
        <v>52</v>
      </c>
      <c r="C1067" s="1037" t="s">
        <v>176</v>
      </c>
      <c r="D1067" s="1170" t="s">
        <v>1525</v>
      </c>
      <c r="E1067" s="1325" t="s">
        <v>316</v>
      </c>
      <c r="I1067" s="910"/>
      <c r="J1067" s="910"/>
      <c r="K1067" s="1174"/>
      <c r="L1067" s="1022"/>
      <c r="M1067" s="1175"/>
      <c r="S1067" s="504"/>
      <c r="T1067" s="504"/>
      <c r="U1067" s="504"/>
      <c r="V1067" s="504"/>
      <c r="W1067" s="504"/>
      <c r="X1067" s="504"/>
      <c r="Y1067" s="504"/>
      <c r="Z1067" s="504"/>
      <c r="AA1067" s="504"/>
      <c r="AB1067" s="504"/>
      <c r="AC1067" s="322"/>
      <c r="AD1067" s="322"/>
      <c r="AE1067" s="322"/>
    </row>
    <row r="1068" spans="1:31" x14ac:dyDescent="0.25">
      <c r="A1068" s="1138">
        <v>1059</v>
      </c>
      <c r="B1068" s="1138" t="s">
        <v>52</v>
      </c>
      <c r="C1068" s="1037" t="s">
        <v>176</v>
      </c>
      <c r="I1068" s="910"/>
      <c r="J1068" s="910"/>
      <c r="K1068" s="1230" t="s">
        <v>316</v>
      </c>
      <c r="L1068" s="1022">
        <v>0</v>
      </c>
      <c r="M1068" s="1175"/>
      <c r="S1068" s="504"/>
      <c r="T1068" s="504"/>
      <c r="U1068" s="504"/>
      <c r="V1068" s="504"/>
      <c r="W1068" s="504"/>
      <c r="X1068" s="504"/>
      <c r="Y1068" s="504"/>
      <c r="Z1068" s="504"/>
      <c r="AA1068" s="504"/>
      <c r="AB1068" s="504"/>
      <c r="AC1068" s="322"/>
      <c r="AD1068" s="322"/>
      <c r="AE1068" s="322"/>
    </row>
    <row r="1069" spans="1:31" ht="15.75" thickBot="1" x14ac:dyDescent="0.3">
      <c r="A1069" s="1138">
        <v>1060</v>
      </c>
      <c r="B1069" s="1138" t="s">
        <v>52</v>
      </c>
      <c r="C1069" s="1037" t="s">
        <v>176</v>
      </c>
      <c r="D1069" s="938" t="s">
        <v>1009</v>
      </c>
      <c r="E1069" s="937" t="s">
        <v>1008</v>
      </c>
      <c r="F1069" s="937" t="s">
        <v>1007</v>
      </c>
      <c r="G1069" s="937" t="s">
        <v>1006</v>
      </c>
      <c r="H1069" s="937" t="s">
        <v>1014</v>
      </c>
      <c r="I1069" s="910"/>
      <c r="J1069" s="910"/>
      <c r="K1069" s="1230" t="s">
        <v>1529</v>
      </c>
      <c r="L1069" s="1022">
        <v>0</v>
      </c>
      <c r="M1069" s="1175"/>
      <c r="S1069" s="504"/>
      <c r="T1069" s="504"/>
      <c r="U1069" s="504"/>
      <c r="V1069" s="504"/>
      <c r="W1069" s="504"/>
      <c r="X1069" s="504"/>
      <c r="Y1069" s="504"/>
      <c r="Z1069" s="504"/>
      <c r="AA1069" s="504"/>
      <c r="AB1069" s="504"/>
      <c r="AC1069" s="322"/>
      <c r="AD1069" s="322"/>
      <c r="AE1069" s="322"/>
    </row>
    <row r="1070" spans="1:31" x14ac:dyDescent="0.25">
      <c r="A1070" s="1138">
        <v>1061</v>
      </c>
      <c r="B1070" s="1138" t="s">
        <v>52</v>
      </c>
      <c r="C1070" s="1037" t="s">
        <v>176</v>
      </c>
      <c r="D1070" s="1168" t="s">
        <v>659</v>
      </c>
      <c r="E1070" s="1268" t="s">
        <v>316</v>
      </c>
      <c r="F1070" s="1223">
        <f>Poeng!AB181</f>
        <v>1</v>
      </c>
      <c r="G1070" s="1223">
        <f>IF(E1070=AIS_Yes,F1070,0)*(IF(AND(E1066=AIS_Yes,E1067=AIS_Yes),1,0))</f>
        <v>0</v>
      </c>
      <c r="H1070" s="1223" t="s">
        <v>14</v>
      </c>
      <c r="I1070" s="910"/>
      <c r="J1070" s="910"/>
      <c r="K1070" s="1230" t="s">
        <v>1526</v>
      </c>
      <c r="L1070" s="1022">
        <f>IF(F1071=3,1,0)</f>
        <v>1</v>
      </c>
      <c r="M1070" s="1175"/>
      <c r="S1070" s="62" t="s">
        <v>1015</v>
      </c>
      <c r="T1070" s="504"/>
      <c r="U1070" s="504"/>
      <c r="V1070" s="504"/>
      <c r="W1070" s="504"/>
      <c r="X1070" s="504"/>
      <c r="Y1070" s="504" t="str">
        <f>$X$4</f>
        <v>No</v>
      </c>
      <c r="Z1070" s="504"/>
      <c r="AA1070" s="504"/>
      <c r="AB1070" s="504"/>
      <c r="AC1070" s="322"/>
      <c r="AD1070" s="322"/>
      <c r="AE1070" s="322"/>
    </row>
    <row r="1071" spans="1:31" ht="15.75" thickBot="1" x14ac:dyDescent="0.3">
      <c r="A1071" s="1138">
        <v>1062</v>
      </c>
      <c r="B1071" s="1138" t="s">
        <v>52</v>
      </c>
      <c r="C1071" s="1037" t="s">
        <v>176</v>
      </c>
      <c r="D1071" s="1170" t="s">
        <v>1530</v>
      </c>
      <c r="E1071" s="1325" t="s">
        <v>316</v>
      </c>
      <c r="F1071" s="1226">
        <f>Poeng!AB182</f>
        <v>3</v>
      </c>
      <c r="G1071" s="1227">
        <f>VLOOKUP(E1071,K1068:L1072,2,FALSE)*(IF(AND(E1066=AIS_Yes,E1067=AIS_Yes),1,0))</f>
        <v>0</v>
      </c>
      <c r="H1071" s="1227" t="s">
        <v>14</v>
      </c>
      <c r="I1071" s="917"/>
      <c r="K1071" s="1230" t="s">
        <v>1527</v>
      </c>
      <c r="L1071" s="1022">
        <f>IF(F1071=3,2,0)</f>
        <v>2</v>
      </c>
      <c r="M1071" s="1175"/>
      <c r="S1071" s="504"/>
      <c r="T1071" s="504"/>
      <c r="U1071" s="504"/>
      <c r="V1071" s="504"/>
      <c r="W1071" s="504"/>
      <c r="X1071" s="504"/>
      <c r="Y1071" s="504"/>
      <c r="Z1071" s="504"/>
      <c r="AA1071" s="504"/>
      <c r="AB1071" s="504"/>
      <c r="AC1071" s="322"/>
      <c r="AD1071" s="322"/>
      <c r="AE1071" s="322"/>
    </row>
    <row r="1072" spans="1:31" x14ac:dyDescent="0.25">
      <c r="A1072" s="1138">
        <v>1063</v>
      </c>
      <c r="B1072" s="1138" t="s">
        <v>52</v>
      </c>
      <c r="C1072" s="1037" t="s">
        <v>176</v>
      </c>
      <c r="D1072" s="960"/>
      <c r="E1072" s="1238"/>
      <c r="I1072" s="917"/>
      <c r="K1072" s="1230" t="s">
        <v>1528</v>
      </c>
      <c r="L1072" s="1233">
        <f>F1071</f>
        <v>3</v>
      </c>
      <c r="M1072" s="1175"/>
      <c r="S1072" s="504"/>
      <c r="T1072" s="504"/>
      <c r="U1072" s="504"/>
      <c r="V1072" s="504"/>
      <c r="W1072" s="504"/>
      <c r="X1072" s="504"/>
      <c r="Y1072" s="504"/>
      <c r="Z1072" s="504"/>
      <c r="AA1072" s="504"/>
      <c r="AB1072" s="504"/>
      <c r="AC1072" s="322"/>
      <c r="AD1072" s="322"/>
      <c r="AE1072" s="322"/>
    </row>
    <row r="1073" spans="1:31" ht="15.75" thickBot="1" x14ac:dyDescent="0.3">
      <c r="A1073" s="1138">
        <v>1064</v>
      </c>
      <c r="B1073" s="1138" t="s">
        <v>52</v>
      </c>
      <c r="C1073" s="1037" t="s">
        <v>176</v>
      </c>
      <c r="D1073" s="938" t="s">
        <v>1791</v>
      </c>
      <c r="E1073" s="937" t="s">
        <v>1008</v>
      </c>
      <c r="F1073" s="937" t="s">
        <v>1007</v>
      </c>
      <c r="G1073" s="937" t="s">
        <v>1006</v>
      </c>
      <c r="H1073" s="937" t="s">
        <v>1014</v>
      </c>
      <c r="I1073" s="917"/>
      <c r="K1073" s="1174"/>
      <c r="L1073" s="1022"/>
      <c r="M1073" s="1175"/>
      <c r="S1073" s="504"/>
      <c r="T1073" s="504"/>
      <c r="U1073" s="504"/>
      <c r="V1073" s="504"/>
      <c r="W1073" s="504"/>
      <c r="X1073" s="504"/>
      <c r="Y1073" s="504"/>
      <c r="Z1073" s="504"/>
      <c r="AA1073" s="504"/>
      <c r="AB1073" s="504"/>
      <c r="AC1073" s="322"/>
      <c r="AD1073" s="322"/>
      <c r="AE1073" s="322"/>
    </row>
    <row r="1074" spans="1:31" ht="15.75" thickBot="1" x14ac:dyDescent="0.3">
      <c r="A1074" s="1138">
        <v>1065</v>
      </c>
      <c r="B1074" s="1138" t="s">
        <v>52</v>
      </c>
      <c r="C1074" s="1037" t="s">
        <v>176</v>
      </c>
      <c r="D1074" s="1239" t="s">
        <v>1866</v>
      </c>
      <c r="E1074" s="1240" t="s">
        <v>316</v>
      </c>
      <c r="F1074" s="1228">
        <f>Inn12_credits</f>
        <v>1</v>
      </c>
      <c r="G1074" s="1228">
        <f>IF(E1074=AIS_Yes,F1074,0)*(IF(AND(E1066=AIS_Yes,E1067=AIS_Yes),1,0))</f>
        <v>0</v>
      </c>
      <c r="H1074" s="1228" t="s">
        <v>14</v>
      </c>
      <c r="I1074" s="917"/>
      <c r="K1074" s="1174"/>
      <c r="L1074" s="1022"/>
      <c r="M1074" s="1175"/>
      <c r="S1074" s="504"/>
      <c r="T1074" s="504"/>
      <c r="U1074" s="504"/>
      <c r="V1074" s="504"/>
      <c r="W1074" s="504"/>
      <c r="X1074" s="504"/>
      <c r="Y1074" s="504"/>
      <c r="Z1074" s="504"/>
      <c r="AA1074" s="504"/>
      <c r="AB1074" s="504"/>
      <c r="AC1074" s="322"/>
      <c r="AD1074" s="322"/>
      <c r="AE1074" s="322"/>
    </row>
    <row r="1075" spans="1:31" x14ac:dyDescent="0.25">
      <c r="A1075" s="1138">
        <v>1066</v>
      </c>
      <c r="B1075" s="1138" t="s">
        <v>52</v>
      </c>
      <c r="C1075" s="1037" t="s">
        <v>176</v>
      </c>
      <c r="D1075" s="960"/>
      <c r="E1075" s="1238"/>
      <c r="I1075" s="917"/>
      <c r="K1075" s="1174"/>
      <c r="L1075" s="1022"/>
      <c r="M1075" s="1175"/>
      <c r="S1075" s="504"/>
      <c r="T1075" s="504"/>
      <c r="U1075" s="504"/>
      <c r="V1075" s="504"/>
      <c r="W1075" s="504"/>
      <c r="X1075" s="504"/>
      <c r="Y1075" s="504"/>
      <c r="Z1075" s="504"/>
      <c r="AA1075" s="504"/>
      <c r="AB1075" s="504"/>
      <c r="AC1075" s="322"/>
      <c r="AD1075" s="322"/>
      <c r="AE1075" s="322"/>
    </row>
    <row r="1076" spans="1:31" ht="15.75" thickBot="1" x14ac:dyDescent="0.3">
      <c r="A1076" s="1138">
        <v>1067</v>
      </c>
      <c r="B1076" s="1138" t="s">
        <v>52</v>
      </c>
      <c r="C1076" s="1037" t="s">
        <v>176</v>
      </c>
      <c r="D1076" s="938" t="s">
        <v>1572</v>
      </c>
      <c r="E1076" s="937"/>
      <c r="I1076" s="917"/>
      <c r="K1076" s="1174"/>
      <c r="L1076" s="1022"/>
      <c r="M1076" s="1175"/>
      <c r="S1076" s="504"/>
      <c r="T1076" s="504"/>
      <c r="U1076" s="504"/>
      <c r="V1076" s="504"/>
      <c r="W1076" s="504"/>
      <c r="X1076" s="504"/>
      <c r="Y1076" s="504"/>
      <c r="Z1076" s="504"/>
      <c r="AA1076" s="504"/>
      <c r="AB1076" s="504"/>
      <c r="AC1076" s="322"/>
      <c r="AD1076" s="322"/>
      <c r="AE1076" s="322"/>
    </row>
    <row r="1077" spans="1:31" ht="15.75" thickBot="1" x14ac:dyDescent="0.3">
      <c r="A1077" s="1138">
        <v>1068</v>
      </c>
      <c r="B1077" s="1138" t="s">
        <v>52</v>
      </c>
      <c r="C1077" s="1037" t="s">
        <v>176</v>
      </c>
      <c r="D1077" s="1239" t="s">
        <v>1766</v>
      </c>
      <c r="E1077" s="1327"/>
      <c r="F1077" s="375" t="s">
        <v>1111</v>
      </c>
      <c r="I1077" s="917"/>
      <c r="K1077" s="1174"/>
      <c r="L1077" s="1022"/>
      <c r="M1077" s="1175"/>
      <c r="S1077" s="504"/>
      <c r="T1077" s="504"/>
      <c r="U1077" s="504"/>
      <c r="V1077" s="504"/>
      <c r="W1077" s="504"/>
      <c r="X1077" s="504"/>
      <c r="Y1077" s="504"/>
      <c r="Z1077" s="504"/>
      <c r="AA1077" s="504"/>
      <c r="AB1077" s="504"/>
      <c r="AC1077" s="322"/>
      <c r="AD1077" s="322"/>
      <c r="AE1077" s="322"/>
    </row>
    <row r="1078" spans="1:31" x14ac:dyDescent="0.25">
      <c r="A1078" s="1138">
        <v>1069</v>
      </c>
      <c r="B1078" s="1138" t="s">
        <v>52</v>
      </c>
      <c r="C1078" s="1037" t="s">
        <v>176</v>
      </c>
      <c r="D1078" s="960"/>
      <c r="E1078" s="1238"/>
      <c r="I1078" s="917"/>
      <c r="K1078" s="1174"/>
      <c r="L1078" s="1022"/>
      <c r="M1078" s="1175"/>
      <c r="S1078" s="504"/>
      <c r="T1078" s="504"/>
      <c r="U1078" s="504"/>
      <c r="V1078" s="504"/>
      <c r="W1078" s="504"/>
      <c r="X1078" s="504"/>
      <c r="Y1078" s="504"/>
      <c r="Z1078" s="504"/>
      <c r="AA1078" s="504"/>
      <c r="AB1078" s="504"/>
      <c r="AC1078" s="322"/>
      <c r="AD1078" s="322"/>
      <c r="AE1078" s="322"/>
    </row>
    <row r="1079" spans="1:31" x14ac:dyDescent="0.25">
      <c r="A1079" s="1138">
        <v>1070</v>
      </c>
      <c r="B1079" s="1138" t="s">
        <v>52</v>
      </c>
      <c r="C1079" s="1037" t="s">
        <v>176</v>
      </c>
      <c r="D1079" s="958" t="s">
        <v>1012</v>
      </c>
      <c r="E1079" s="1272">
        <f>G1070+G1071</f>
        <v>0</v>
      </c>
      <c r="I1079" s="917"/>
      <c r="J1079" s="910"/>
      <c r="K1079" s="1174"/>
      <c r="L1079" s="1022"/>
      <c r="M1079" s="1175"/>
      <c r="S1079" s="504"/>
      <c r="T1079" s="504"/>
      <c r="U1079" s="504"/>
      <c r="V1079" s="504"/>
      <c r="W1079" s="504"/>
      <c r="X1079" s="504"/>
      <c r="Y1079" s="504"/>
      <c r="Z1079" s="504"/>
      <c r="AA1079" s="504"/>
      <c r="AB1079" s="504"/>
      <c r="AC1079" s="322"/>
      <c r="AD1079" s="322"/>
      <c r="AE1079" s="322"/>
    </row>
    <row r="1080" spans="1:31" x14ac:dyDescent="0.25">
      <c r="A1080" s="1138">
        <v>1071</v>
      </c>
      <c r="B1080" s="1138" t="s">
        <v>52</v>
      </c>
      <c r="C1080" s="1037" t="s">
        <v>176</v>
      </c>
      <c r="D1080" s="924" t="s">
        <v>77</v>
      </c>
      <c r="E1080" s="1273">
        <f>LE04_14</f>
        <v>0</v>
      </c>
      <c r="I1080" s="910"/>
      <c r="J1080" s="910"/>
      <c r="K1080" s="1174"/>
      <c r="L1080" s="1022"/>
      <c r="M1080" s="1175"/>
      <c r="S1080" s="504"/>
      <c r="T1080" s="504"/>
      <c r="U1080" s="504"/>
      <c r="V1080" s="504"/>
      <c r="W1080" s="504"/>
      <c r="X1080" s="504"/>
      <c r="Y1080" s="504"/>
      <c r="Z1080" s="504"/>
      <c r="AA1080" s="504"/>
      <c r="AB1080" s="504"/>
      <c r="AC1080" s="322"/>
      <c r="AD1080" s="322"/>
      <c r="AE1080" s="322"/>
    </row>
    <row r="1081" spans="1:31" x14ac:dyDescent="0.25">
      <c r="A1081" s="1138">
        <v>1072</v>
      </c>
      <c r="B1081" s="1138" t="s">
        <v>52</v>
      </c>
      <c r="C1081" s="1037" t="s">
        <v>176</v>
      </c>
      <c r="D1081" s="926" t="s">
        <v>1005</v>
      </c>
      <c r="E1081" s="1272">
        <f>G1074</f>
        <v>0</v>
      </c>
      <c r="I1081" s="910"/>
      <c r="J1081" s="910"/>
      <c r="K1081" s="1174"/>
      <c r="L1081" s="1022"/>
      <c r="M1081" s="1175"/>
      <c r="S1081" s="504"/>
      <c r="T1081" s="504"/>
      <c r="U1081" s="504"/>
      <c r="V1081" s="504"/>
      <c r="W1081" s="504"/>
      <c r="X1081" s="504"/>
      <c r="Y1081" s="504"/>
      <c r="Z1081" s="504"/>
      <c r="AA1081" s="504"/>
      <c r="AB1081" s="504"/>
      <c r="AC1081" s="322"/>
      <c r="AD1081" s="322"/>
      <c r="AE1081" s="322"/>
    </row>
    <row r="1082" spans="1:31" x14ac:dyDescent="0.25">
      <c r="A1082" s="1138">
        <v>1073</v>
      </c>
      <c r="B1082" s="1138" t="s">
        <v>52</v>
      </c>
      <c r="C1082" s="1037" t="s">
        <v>176</v>
      </c>
      <c r="D1082" s="923" t="s">
        <v>46</v>
      </c>
      <c r="E1082" s="1290" t="str">
        <f>VLOOKUP(MIN(Poeng!BD179:BD182,Poeng!BD252),Poeng!$BO$285:$BP$291,2,FALSE)</f>
        <v>Very Good</v>
      </c>
      <c r="I1082" s="910"/>
      <c r="J1082" s="910"/>
      <c r="K1082" s="1174"/>
      <c r="L1082" s="1022"/>
      <c r="M1082" s="1175"/>
      <c r="S1082" s="504"/>
      <c r="T1082" s="504"/>
      <c r="U1082" s="504"/>
      <c r="V1082" s="504"/>
      <c r="W1082" s="504"/>
      <c r="X1082" s="504"/>
      <c r="Y1082" s="504"/>
      <c r="Z1082" s="504"/>
      <c r="AA1082" s="504"/>
      <c r="AB1082" s="504"/>
      <c r="AC1082" s="322"/>
      <c r="AD1082" s="322"/>
      <c r="AE1082" s="322"/>
    </row>
    <row r="1083" spans="1:31" x14ac:dyDescent="0.25">
      <c r="A1083" s="1138">
        <v>1074</v>
      </c>
      <c r="B1083" s="1138" t="s">
        <v>52</v>
      </c>
      <c r="C1083" s="1037" t="s">
        <v>176</v>
      </c>
      <c r="I1083" s="910"/>
      <c r="J1083" s="910"/>
      <c r="K1083" s="1174"/>
      <c r="L1083" s="1022"/>
      <c r="M1083" s="1175"/>
      <c r="S1083" s="504"/>
      <c r="T1083" s="504"/>
      <c r="U1083" s="504"/>
      <c r="V1083" s="504"/>
      <c r="W1083" s="504"/>
      <c r="X1083" s="504"/>
      <c r="Y1083" s="504"/>
      <c r="Z1083" s="504"/>
      <c r="AA1083" s="504"/>
      <c r="AB1083" s="504"/>
      <c r="AC1083" s="322"/>
      <c r="AD1083" s="322"/>
      <c r="AE1083" s="322"/>
    </row>
    <row r="1084" spans="1:31" x14ac:dyDescent="0.25">
      <c r="A1084" s="1138">
        <v>1075</v>
      </c>
      <c r="B1084" s="1138" t="s">
        <v>52</v>
      </c>
      <c r="C1084" s="1037" t="s">
        <v>176</v>
      </c>
      <c r="D1084" s="920" t="s">
        <v>1004</v>
      </c>
      <c r="E1084" s="920" t="s">
        <v>1003</v>
      </c>
      <c r="F1084" s="920" t="str">
        <f>HLOOKUP(C1084,'Assessment References'!$H$512:$BG$513,2,FALSE)</f>
        <v/>
      </c>
      <c r="G1084" s="919"/>
      <c r="H1084" s="918"/>
      <c r="I1084" s="430"/>
      <c r="J1084" s="430"/>
      <c r="K1084" s="1174"/>
      <c r="L1084" s="1022"/>
      <c r="M1084" s="1175"/>
      <c r="S1084" s="504"/>
      <c r="T1084" s="504"/>
      <c r="U1084" s="504"/>
      <c r="V1084" s="504"/>
      <c r="W1084" s="504"/>
      <c r="X1084" s="504"/>
      <c r="Y1084" s="504"/>
      <c r="Z1084" s="504"/>
      <c r="AA1084" s="504"/>
      <c r="AB1084" s="504"/>
      <c r="AC1084" s="322"/>
      <c r="AD1084" s="322"/>
      <c r="AE1084" s="322"/>
    </row>
    <row r="1085" spans="1:31" x14ac:dyDescent="0.25">
      <c r="A1085" s="1138">
        <v>1076</v>
      </c>
      <c r="B1085" s="1138" t="s">
        <v>52</v>
      </c>
      <c r="C1085" s="1037" t="s">
        <v>176</v>
      </c>
      <c r="D1085" s="1539"/>
      <c r="E1085" s="1540"/>
      <c r="F1085" s="1540"/>
      <c r="G1085" s="1540"/>
      <c r="H1085" s="1541"/>
      <c r="I1085" s="430"/>
      <c r="J1085" s="430"/>
      <c r="K1085" s="1174"/>
      <c r="L1085" s="1022"/>
      <c r="M1085" s="1175"/>
      <c r="S1085" s="504"/>
      <c r="T1085" s="504"/>
      <c r="U1085" s="504"/>
      <c r="V1085" s="504"/>
      <c r="W1085" s="504"/>
      <c r="X1085" s="504"/>
      <c r="Y1085" s="504"/>
      <c r="Z1085" s="504"/>
      <c r="AA1085" s="504"/>
      <c r="AB1085" s="504"/>
      <c r="AC1085" s="322"/>
      <c r="AD1085" s="322"/>
      <c r="AE1085" s="322"/>
    </row>
    <row r="1086" spans="1:31" x14ac:dyDescent="0.25">
      <c r="A1086" s="1138">
        <v>1077</v>
      </c>
      <c r="B1086" s="1138" t="s">
        <v>52</v>
      </c>
      <c r="C1086" s="1037" t="s">
        <v>176</v>
      </c>
      <c r="D1086" s="1530"/>
      <c r="E1086" s="1531"/>
      <c r="F1086" s="1531"/>
      <c r="G1086" s="1531"/>
      <c r="H1086" s="1532"/>
      <c r="I1086" s="430"/>
      <c r="J1086" s="430"/>
      <c r="K1086" s="1174"/>
      <c r="L1086" s="1022"/>
      <c r="M1086" s="1175"/>
      <c r="S1086" s="62" t="s">
        <v>1015</v>
      </c>
      <c r="T1086" s="504"/>
      <c r="U1086" s="504"/>
      <c r="V1086" s="504"/>
      <c r="W1086" s="504"/>
      <c r="X1086" s="504"/>
      <c r="Y1086" s="504"/>
      <c r="Z1086" s="504"/>
      <c r="AA1086" s="504"/>
      <c r="AB1086" s="504"/>
      <c r="AC1086" s="322"/>
      <c r="AD1086" s="322"/>
      <c r="AE1086" s="322"/>
    </row>
    <row r="1087" spans="1:31" x14ac:dyDescent="0.25">
      <c r="A1087" s="1138">
        <v>1078</v>
      </c>
      <c r="B1087" s="1138" t="s">
        <v>52</v>
      </c>
      <c r="C1087" s="1037" t="s">
        <v>176</v>
      </c>
      <c r="D1087" s="1530"/>
      <c r="E1087" s="1531"/>
      <c r="F1087" s="1531"/>
      <c r="G1087" s="1531"/>
      <c r="H1087" s="1532"/>
      <c r="I1087" s="430"/>
      <c r="J1087" s="430"/>
      <c r="K1087" s="1174"/>
      <c r="L1087" s="1022"/>
      <c r="M1087" s="1175"/>
      <c r="S1087" s="504"/>
      <c r="T1087" s="504"/>
      <c r="U1087" s="504"/>
      <c r="V1087" s="504"/>
      <c r="W1087" s="504"/>
      <c r="X1087" s="504"/>
      <c r="Y1087" s="504"/>
      <c r="Z1087" s="504"/>
      <c r="AA1087" s="504"/>
      <c r="AB1087" s="504"/>
      <c r="AC1087" s="322"/>
      <c r="AD1087" s="322"/>
      <c r="AE1087" s="322"/>
    </row>
    <row r="1088" spans="1:31" x14ac:dyDescent="0.25">
      <c r="A1088" s="1138">
        <v>1079</v>
      </c>
      <c r="B1088" s="1138" t="s">
        <v>52</v>
      </c>
      <c r="C1088" s="1037" t="s">
        <v>176</v>
      </c>
      <c r="D1088" s="1533"/>
      <c r="E1088" s="1534"/>
      <c r="F1088" s="1534"/>
      <c r="G1088" s="1534"/>
      <c r="H1088" s="1535"/>
      <c r="I1088" s="430"/>
      <c r="J1088" s="430"/>
      <c r="K1088" s="1174"/>
      <c r="L1088" s="1022"/>
      <c r="M1088" s="1175"/>
      <c r="S1088" s="504"/>
      <c r="T1088" s="504"/>
      <c r="U1088" s="504"/>
      <c r="V1088" s="504"/>
      <c r="W1088" s="504"/>
      <c r="X1088" s="504"/>
      <c r="Y1088" s="504"/>
      <c r="Z1088" s="504"/>
      <c r="AA1088" s="504"/>
      <c r="AB1088" s="504"/>
      <c r="AC1088" s="322"/>
      <c r="AD1088" s="322"/>
      <c r="AE1088" s="322"/>
    </row>
    <row r="1089" spans="1:31" x14ac:dyDescent="0.25">
      <c r="A1089" s="1138">
        <v>1080</v>
      </c>
      <c r="B1089" s="1138" t="s">
        <v>52</v>
      </c>
      <c r="C1089" s="1037" t="s">
        <v>176</v>
      </c>
      <c r="D1089" s="1533"/>
      <c r="E1089" s="1534"/>
      <c r="F1089" s="1534"/>
      <c r="G1089" s="1534"/>
      <c r="H1089" s="1535"/>
      <c r="I1089" s="430"/>
      <c r="J1089" s="430"/>
      <c r="K1089" s="1174"/>
      <c r="L1089" s="1022"/>
      <c r="M1089" s="1175"/>
      <c r="S1089" s="504"/>
      <c r="T1089" s="504"/>
      <c r="U1089" s="504"/>
      <c r="V1089" s="504"/>
      <c r="W1089" s="504"/>
      <c r="X1089" s="504"/>
      <c r="Y1089" s="504"/>
      <c r="Z1089" s="504"/>
      <c r="AA1089" s="504"/>
      <c r="AB1089" s="504"/>
      <c r="AC1089" s="322"/>
      <c r="AD1089" s="322"/>
      <c r="AE1089" s="322"/>
    </row>
    <row r="1090" spans="1:31" x14ac:dyDescent="0.25">
      <c r="A1090" s="1138">
        <v>1081</v>
      </c>
      <c r="B1090" s="1138" t="s">
        <v>52</v>
      </c>
      <c r="C1090" s="1037" t="s">
        <v>176</v>
      </c>
      <c r="D1090" s="1536"/>
      <c r="E1090" s="1537"/>
      <c r="F1090" s="1537"/>
      <c r="G1090" s="1537"/>
      <c r="H1090" s="1538"/>
      <c r="I1090" s="430"/>
      <c r="J1090" s="430"/>
      <c r="K1090" s="1174"/>
      <c r="L1090" s="1022"/>
      <c r="M1090" s="1175"/>
      <c r="S1090" s="504"/>
      <c r="T1090" s="504"/>
      <c r="U1090" s="504"/>
      <c r="V1090" s="504"/>
      <c r="W1090" s="504"/>
      <c r="X1090" s="504"/>
      <c r="Y1090" s="504"/>
      <c r="Z1090" s="504"/>
      <c r="AA1090" s="504"/>
      <c r="AB1090" s="504"/>
      <c r="AC1090" s="322"/>
      <c r="AD1090" s="322"/>
      <c r="AE1090" s="322"/>
    </row>
    <row r="1091" spans="1:31" x14ac:dyDescent="0.25">
      <c r="A1091" s="1138">
        <v>1082</v>
      </c>
      <c r="B1091" s="1138" t="s">
        <v>52</v>
      </c>
      <c r="C1091" s="1037" t="s">
        <v>176</v>
      </c>
      <c r="D1091" s="985"/>
      <c r="E1091" s="985"/>
      <c r="F1091" s="984"/>
      <c r="G1091" s="984"/>
      <c r="H1091" s="984"/>
      <c r="I1091" s="430"/>
      <c r="J1091" s="430"/>
      <c r="K1091" s="1174"/>
      <c r="L1091" s="1022"/>
      <c r="M1091" s="1175"/>
      <c r="S1091" s="504"/>
      <c r="T1091" s="504"/>
      <c r="U1091" s="504"/>
      <c r="V1091" s="504"/>
      <c r="W1091" s="504"/>
      <c r="X1091" s="504"/>
      <c r="Y1091" s="504"/>
      <c r="Z1091" s="504"/>
      <c r="AA1091" s="504"/>
      <c r="AB1091" s="504"/>
      <c r="AC1091" s="322"/>
      <c r="AD1091" s="322"/>
      <c r="AE1091" s="322"/>
    </row>
    <row r="1092" spans="1:31" x14ac:dyDescent="0.25">
      <c r="A1092" s="1138">
        <v>1083</v>
      </c>
      <c r="B1092" s="1140" t="s">
        <v>52</v>
      </c>
      <c r="C1092" s="978" t="s">
        <v>177</v>
      </c>
      <c r="D1092" s="1015" t="s">
        <v>1531</v>
      </c>
      <c r="E1092" s="1014"/>
      <c r="F1092" s="1014"/>
      <c r="G1092" s="1013"/>
      <c r="H1092" s="1013"/>
      <c r="I1092" s="983"/>
      <c r="J1092" s="983"/>
      <c r="K1092" s="1174"/>
      <c r="L1092" s="1022"/>
      <c r="M1092" s="1175"/>
      <c r="S1092" s="504"/>
      <c r="T1092" s="504"/>
      <c r="U1092" s="504"/>
      <c r="V1092" s="504"/>
      <c r="W1092" s="504"/>
      <c r="X1092" s="504"/>
      <c r="Y1092" s="504"/>
      <c r="Z1092" s="504"/>
      <c r="AA1092" s="504"/>
      <c r="AB1092" s="504"/>
      <c r="AC1092" s="322"/>
      <c r="AD1092" s="322"/>
      <c r="AE1092" s="322"/>
    </row>
    <row r="1093" spans="1:31" x14ac:dyDescent="0.25">
      <c r="A1093" s="1138">
        <v>1084</v>
      </c>
      <c r="B1093" s="1138" t="s">
        <v>52</v>
      </c>
      <c r="C1093" s="1037" t="s">
        <v>177</v>
      </c>
      <c r="D1093" s="946" t="s">
        <v>15</v>
      </c>
      <c r="E1093" s="1264">
        <f>LE05_credits</f>
        <v>2</v>
      </c>
      <c r="F1093" s="945"/>
      <c r="G1093" s="944" t="s">
        <v>76</v>
      </c>
      <c r="H1093" s="1266">
        <f>LE05_14</f>
        <v>1.5789473684210527E-2</v>
      </c>
      <c r="I1093" s="430"/>
      <c r="J1093" s="430"/>
      <c r="K1093" s="1174"/>
      <c r="L1093" s="1022"/>
      <c r="M1093" s="1175"/>
      <c r="S1093" s="504"/>
      <c r="T1093" s="504"/>
      <c r="U1093" s="504"/>
      <c r="V1093" s="504"/>
      <c r="W1093" s="504"/>
      <c r="X1093" s="504"/>
      <c r="Y1093" s="504"/>
      <c r="Z1093" s="504"/>
      <c r="AA1093" s="504"/>
      <c r="AB1093" s="504"/>
      <c r="AC1093" s="322"/>
      <c r="AD1093" s="322"/>
      <c r="AE1093" s="322"/>
    </row>
    <row r="1094" spans="1:31" x14ac:dyDescent="0.25">
      <c r="A1094" s="1138">
        <v>1085</v>
      </c>
      <c r="B1094" s="1138" t="s">
        <v>52</v>
      </c>
      <c r="C1094" s="1037" t="s">
        <v>177</v>
      </c>
      <c r="D1094" s="972" t="s">
        <v>1011</v>
      </c>
      <c r="E1094" s="1265">
        <v>0</v>
      </c>
      <c r="F1094" s="941"/>
      <c r="G1094" s="940" t="s">
        <v>1010</v>
      </c>
      <c r="H1094" s="1267" t="s">
        <v>13</v>
      </c>
      <c r="I1094" s="430"/>
      <c r="J1094" s="430"/>
      <c r="K1094" s="1174"/>
      <c r="L1094" s="1022"/>
      <c r="M1094" s="1175"/>
      <c r="S1094" s="504"/>
      <c r="T1094" s="504"/>
      <c r="U1094" s="504"/>
      <c r="V1094" s="504"/>
      <c r="W1094" s="504"/>
      <c r="X1094" s="504"/>
      <c r="Y1094" s="504"/>
      <c r="Z1094" s="504"/>
      <c r="AA1094" s="504"/>
      <c r="AB1094" s="504"/>
      <c r="AC1094" s="322"/>
      <c r="AD1094" s="322"/>
      <c r="AE1094" s="322"/>
    </row>
    <row r="1095" spans="1:31" x14ac:dyDescent="0.25">
      <c r="A1095" s="1138">
        <v>1086</v>
      </c>
      <c r="B1095" s="1138" t="s">
        <v>52</v>
      </c>
      <c r="C1095" s="1037" t="s">
        <v>177</v>
      </c>
      <c r="I1095" s="430"/>
      <c r="J1095" s="430"/>
      <c r="K1095" s="1174"/>
      <c r="L1095" s="1022"/>
      <c r="M1095" s="1175"/>
      <c r="S1095" s="504"/>
      <c r="T1095" s="504"/>
      <c r="U1095" s="504"/>
      <c r="V1095" s="504"/>
      <c r="W1095" s="504"/>
      <c r="X1095" s="504"/>
      <c r="Y1095" s="504"/>
      <c r="Z1095" s="504"/>
      <c r="AA1095" s="504"/>
      <c r="AB1095" s="504"/>
      <c r="AC1095" s="322"/>
      <c r="AD1095" s="322"/>
      <c r="AE1095" s="322"/>
    </row>
    <row r="1096" spans="1:31" ht="15.75" thickBot="1" x14ac:dyDescent="0.3">
      <c r="A1096" s="1138">
        <v>1087</v>
      </c>
      <c r="B1096" s="1138" t="s">
        <v>52</v>
      </c>
      <c r="C1096" s="1037" t="s">
        <v>177</v>
      </c>
      <c r="D1096" s="938" t="s">
        <v>1792</v>
      </c>
      <c r="E1096" s="937" t="s">
        <v>1008</v>
      </c>
      <c r="I1096" s="430"/>
      <c r="J1096" s="430"/>
      <c r="K1096" s="1174"/>
      <c r="L1096" s="1022"/>
      <c r="M1096" s="1175"/>
      <c r="S1096" s="504"/>
      <c r="T1096" s="504"/>
      <c r="U1096" s="504"/>
      <c r="V1096" s="504"/>
      <c r="W1096" s="504"/>
      <c r="X1096" s="504"/>
      <c r="Y1096" s="504"/>
      <c r="Z1096" s="504"/>
      <c r="AA1096" s="504"/>
      <c r="AB1096" s="504"/>
      <c r="AC1096" s="322"/>
      <c r="AD1096" s="322"/>
      <c r="AE1096" s="322"/>
    </row>
    <row r="1097" spans="1:31" x14ac:dyDescent="0.25">
      <c r="A1097" s="1138">
        <v>1088</v>
      </c>
      <c r="B1097" s="1138" t="s">
        <v>52</v>
      </c>
      <c r="C1097" s="1037" t="s">
        <v>177</v>
      </c>
      <c r="D1097" s="1168" t="s">
        <v>1532</v>
      </c>
      <c r="E1097" s="1334" t="str">
        <f>IF(AND(G1046&gt;0,G1070&gt;0),AIS_Yes,AIS_No)</f>
        <v>No</v>
      </c>
      <c r="F1097" s="994" t="str">
        <f>IF(OR(E1097=AIS_No,E1097=AIS_PS),"Pre-requisite: Please select yes","")</f>
        <v>Pre-requisite: Please select yes</v>
      </c>
      <c r="I1097" s="430"/>
      <c r="J1097" s="430"/>
      <c r="K1097" s="1174"/>
      <c r="L1097" s="1022"/>
      <c r="M1097" s="1175"/>
      <c r="S1097" s="504"/>
      <c r="T1097" s="504"/>
      <c r="U1097" s="504"/>
      <c r="V1097" s="504"/>
      <c r="W1097" s="504"/>
      <c r="X1097" s="504"/>
      <c r="Y1097" s="504"/>
      <c r="Z1097" s="504"/>
      <c r="AA1097" s="504"/>
      <c r="AB1097" s="504"/>
      <c r="AC1097" s="322"/>
      <c r="AD1097" s="322"/>
      <c r="AE1097" s="322"/>
    </row>
    <row r="1098" spans="1:31" ht="30.75" customHeight="1" thickBot="1" x14ac:dyDescent="0.3">
      <c r="A1098" s="1138">
        <v>1089</v>
      </c>
      <c r="B1098" s="1138" t="s">
        <v>52</v>
      </c>
      <c r="C1098" s="1037" t="s">
        <v>177</v>
      </c>
      <c r="D1098" s="1419" t="s">
        <v>1533</v>
      </c>
      <c r="E1098" s="1325" t="s">
        <v>316</v>
      </c>
      <c r="I1098" s="430"/>
      <c r="J1098" s="430"/>
      <c r="K1098" s="1174"/>
      <c r="L1098" s="1022"/>
      <c r="M1098" s="1175"/>
      <c r="S1098" s="504"/>
      <c r="T1098" s="504"/>
      <c r="U1098" s="504"/>
      <c r="V1098" s="504"/>
      <c r="W1098" s="504"/>
      <c r="X1098" s="504"/>
      <c r="Y1098" s="504"/>
      <c r="Z1098" s="504"/>
      <c r="AA1098" s="504"/>
      <c r="AB1098" s="504"/>
      <c r="AC1098" s="322"/>
      <c r="AD1098" s="322"/>
      <c r="AE1098" s="322"/>
    </row>
    <row r="1099" spans="1:31" x14ac:dyDescent="0.25">
      <c r="A1099" s="1138">
        <v>1090</v>
      </c>
      <c r="B1099" s="1138" t="s">
        <v>52</v>
      </c>
      <c r="C1099" s="1037" t="s">
        <v>177</v>
      </c>
      <c r="I1099" s="430"/>
      <c r="J1099" s="430"/>
      <c r="K1099" s="1174"/>
      <c r="L1099" s="1022"/>
      <c r="M1099" s="1175"/>
      <c r="S1099" s="504"/>
      <c r="T1099" s="504"/>
      <c r="U1099" s="504"/>
      <c r="V1099" s="504"/>
      <c r="W1099" s="504"/>
      <c r="X1099" s="504"/>
      <c r="Y1099" s="504"/>
      <c r="Z1099" s="504"/>
      <c r="AA1099" s="504"/>
      <c r="AB1099" s="504"/>
      <c r="AC1099" s="322"/>
      <c r="AD1099" s="322"/>
      <c r="AE1099" s="322"/>
    </row>
    <row r="1100" spans="1:31" ht="15.75" thickBot="1" x14ac:dyDescent="0.3">
      <c r="A1100" s="1138">
        <v>1091</v>
      </c>
      <c r="B1100" s="1138" t="s">
        <v>52</v>
      </c>
      <c r="C1100" s="1037" t="s">
        <v>177</v>
      </c>
      <c r="D1100" s="938" t="s">
        <v>1793</v>
      </c>
      <c r="E1100" s="937" t="s">
        <v>1008</v>
      </c>
      <c r="F1100" s="937" t="s">
        <v>1007</v>
      </c>
      <c r="G1100" s="937" t="s">
        <v>1006</v>
      </c>
      <c r="H1100" s="937" t="s">
        <v>1014</v>
      </c>
      <c r="I1100" s="430"/>
      <c r="J1100" s="430"/>
      <c r="K1100" s="1174"/>
      <c r="L1100" s="1022"/>
      <c r="M1100" s="1175"/>
      <c r="S1100" s="504"/>
      <c r="T1100" s="504"/>
      <c r="U1100" s="504"/>
      <c r="V1100" s="504"/>
      <c r="W1100" s="504"/>
      <c r="X1100" s="504"/>
      <c r="Y1100" s="504"/>
      <c r="Z1100" s="504"/>
      <c r="AA1100" s="504"/>
      <c r="AB1100" s="504"/>
      <c r="AC1100" s="322"/>
      <c r="AD1100" s="322"/>
      <c r="AE1100" s="322"/>
    </row>
    <row r="1101" spans="1:31" x14ac:dyDescent="0.25">
      <c r="A1101" s="1138">
        <v>1092</v>
      </c>
      <c r="B1101" s="1138" t="s">
        <v>52</v>
      </c>
      <c r="C1101" s="1037" t="s">
        <v>177</v>
      </c>
      <c r="D1101" s="1168" t="s">
        <v>1535</v>
      </c>
      <c r="E1101" s="1268" t="s">
        <v>316</v>
      </c>
      <c r="F1101" s="1232">
        <f>Poeng!AB185</f>
        <v>1</v>
      </c>
      <c r="G1101" s="1232">
        <f>IF(AND(E1101=AIS_Yes,E1102=AIS_Yes),F1101,0)*(IF(AND(E1097=AIS_Yes,E1098=AIS_Yes),1,0))</f>
        <v>0</v>
      </c>
      <c r="H1101" s="1232" t="s">
        <v>14</v>
      </c>
      <c r="I1101" s="1017"/>
      <c r="J1101" s="430"/>
      <c r="K1101" s="1174"/>
      <c r="L1101" s="1022"/>
      <c r="M1101" s="1175"/>
      <c r="S1101" s="504"/>
      <c r="T1101" s="504"/>
      <c r="U1101" s="504"/>
      <c r="V1101" s="504"/>
      <c r="W1101" s="504"/>
      <c r="X1101" s="504"/>
      <c r="Y1101" s="504" t="str">
        <f>$X$4</f>
        <v>No</v>
      </c>
      <c r="Z1101" s="504"/>
      <c r="AA1101" s="504"/>
      <c r="AB1101" s="504"/>
      <c r="AC1101" s="322"/>
      <c r="AD1101" s="322"/>
      <c r="AE1101" s="322"/>
    </row>
    <row r="1102" spans="1:31" ht="15.75" thickBot="1" x14ac:dyDescent="0.3">
      <c r="A1102" s="1138">
        <v>1093</v>
      </c>
      <c r="B1102" s="1138" t="s">
        <v>52</v>
      </c>
      <c r="C1102" s="1037" t="s">
        <v>177</v>
      </c>
      <c r="D1102" s="1170" t="s">
        <v>1534</v>
      </c>
      <c r="E1102" s="1275" t="s">
        <v>316</v>
      </c>
      <c r="F1102" s="1226"/>
      <c r="G1102" s="1226"/>
      <c r="H1102" s="1226"/>
      <c r="I1102" s="430"/>
      <c r="J1102" s="430"/>
      <c r="K1102" s="1174"/>
      <c r="L1102" s="1022"/>
      <c r="M1102" s="1175"/>
      <c r="S1102" s="504"/>
      <c r="T1102" s="504"/>
      <c r="U1102" s="504"/>
      <c r="V1102" s="504"/>
      <c r="W1102" s="504"/>
      <c r="X1102" s="504"/>
      <c r="Y1102" s="504"/>
      <c r="Z1102" s="504"/>
      <c r="AA1102" s="504"/>
      <c r="AB1102" s="504"/>
      <c r="AC1102" s="322"/>
      <c r="AD1102" s="322"/>
      <c r="AE1102" s="322"/>
    </row>
    <row r="1103" spans="1:31" x14ac:dyDescent="0.25">
      <c r="A1103" s="1138">
        <v>1094</v>
      </c>
      <c r="B1103" s="1138" t="s">
        <v>52</v>
      </c>
      <c r="C1103" s="1037" t="s">
        <v>177</v>
      </c>
      <c r="I1103" s="430"/>
      <c r="J1103" s="430"/>
      <c r="K1103" s="1174"/>
      <c r="L1103" s="1022"/>
      <c r="M1103" s="1175"/>
      <c r="T1103" s="504"/>
      <c r="U1103" s="504"/>
      <c r="V1103" s="504"/>
      <c r="W1103" s="504"/>
      <c r="X1103" s="504"/>
      <c r="Y1103" s="504"/>
      <c r="Z1103" s="504"/>
      <c r="AA1103" s="504"/>
      <c r="AB1103" s="504"/>
      <c r="AC1103" s="322"/>
      <c r="AD1103" s="322"/>
      <c r="AE1103" s="322"/>
    </row>
    <row r="1104" spans="1:31" ht="15.75" thickBot="1" x14ac:dyDescent="0.3">
      <c r="A1104" s="1138">
        <v>1095</v>
      </c>
      <c r="B1104" s="1138" t="s">
        <v>52</v>
      </c>
      <c r="C1104" s="1037" t="s">
        <v>177</v>
      </c>
      <c r="D1104" s="938" t="s">
        <v>1794</v>
      </c>
      <c r="E1104" s="937" t="s">
        <v>1008</v>
      </c>
      <c r="F1104" s="937" t="s">
        <v>1007</v>
      </c>
      <c r="G1104" s="937" t="s">
        <v>1006</v>
      </c>
      <c r="H1104" s="937" t="s">
        <v>1014</v>
      </c>
      <c r="I1104" s="430"/>
      <c r="J1104" s="430"/>
      <c r="K1104" s="1174"/>
      <c r="L1104" s="1022"/>
      <c r="M1104" s="1175"/>
      <c r="T1104" s="504"/>
      <c r="U1104" s="504"/>
      <c r="V1104" s="504"/>
      <c r="W1104" s="504"/>
      <c r="X1104" s="504"/>
      <c r="Y1104" s="504"/>
      <c r="Z1104" s="504"/>
      <c r="AA1104" s="504"/>
      <c r="AB1104" s="504"/>
      <c r="AC1104" s="322"/>
      <c r="AD1104" s="322"/>
      <c r="AE1104" s="322"/>
    </row>
    <row r="1105" spans="1:31" x14ac:dyDescent="0.25">
      <c r="A1105" s="1138">
        <v>1096</v>
      </c>
      <c r="B1105" s="1138" t="s">
        <v>52</v>
      </c>
      <c r="C1105" s="1037" t="s">
        <v>177</v>
      </c>
      <c r="D1105" s="1168" t="s">
        <v>1536</v>
      </c>
      <c r="E1105" s="1268" t="s">
        <v>316</v>
      </c>
      <c r="F1105" s="1232">
        <f>Poeng!AB186</f>
        <v>1</v>
      </c>
      <c r="G1105" s="1232">
        <f>IF(AND(E1105=AIS_Yes,E1106=AIS_Yes),F1105,0)*(IF(AND(E1097=AIS_Yes,E1098=AIS_Yes),1,0))</f>
        <v>0</v>
      </c>
      <c r="H1105" s="1232" t="s">
        <v>14</v>
      </c>
      <c r="I1105" s="430"/>
      <c r="J1105" s="430"/>
      <c r="K1105" s="1174"/>
      <c r="L1105" s="1022"/>
      <c r="M1105" s="1175"/>
      <c r="T1105" s="504"/>
      <c r="U1105" s="504"/>
      <c r="V1105" s="504"/>
      <c r="W1105" s="504"/>
      <c r="X1105" s="504"/>
      <c r="Y1105" s="504"/>
      <c r="Z1105" s="504"/>
      <c r="AA1105" s="504"/>
      <c r="AB1105" s="504"/>
      <c r="AC1105" s="322"/>
      <c r="AD1105" s="322"/>
      <c r="AE1105" s="322"/>
    </row>
    <row r="1106" spans="1:31" ht="15.75" thickBot="1" x14ac:dyDescent="0.3">
      <c r="A1106" s="1138">
        <v>1097</v>
      </c>
      <c r="B1106" s="1138" t="s">
        <v>52</v>
      </c>
      <c r="C1106" s="1037" t="s">
        <v>177</v>
      </c>
      <c r="D1106" s="1170" t="s">
        <v>1537</v>
      </c>
      <c r="E1106" s="1275" t="s">
        <v>316</v>
      </c>
      <c r="F1106" s="1226"/>
      <c r="G1106" s="1226"/>
      <c r="H1106" s="1226"/>
      <c r="I1106" s="430"/>
      <c r="J1106" s="430"/>
      <c r="K1106" s="1174"/>
      <c r="L1106" s="1022"/>
      <c r="M1106" s="1175"/>
      <c r="T1106" s="504"/>
      <c r="U1106" s="504"/>
      <c r="V1106" s="504"/>
      <c r="W1106" s="504"/>
      <c r="X1106" s="504"/>
      <c r="Y1106" s="504"/>
      <c r="Z1106" s="504"/>
      <c r="AA1106" s="504"/>
      <c r="AB1106" s="504"/>
      <c r="AC1106" s="322"/>
      <c r="AD1106" s="322"/>
      <c r="AE1106" s="322"/>
    </row>
    <row r="1107" spans="1:31" x14ac:dyDescent="0.25">
      <c r="A1107" s="1138">
        <v>1098</v>
      </c>
      <c r="B1107" s="1138" t="s">
        <v>52</v>
      </c>
      <c r="C1107" s="1037" t="s">
        <v>177</v>
      </c>
      <c r="I1107" s="430"/>
      <c r="J1107" s="430"/>
      <c r="K1107" s="1174"/>
      <c r="L1107" s="1022"/>
      <c r="M1107" s="1175"/>
      <c r="T1107" s="504"/>
      <c r="U1107" s="504"/>
      <c r="V1107" s="504"/>
      <c r="W1107" s="504"/>
      <c r="X1107" s="504"/>
      <c r="Y1107" s="504"/>
      <c r="Z1107" s="504"/>
      <c r="AA1107" s="504"/>
      <c r="AB1107" s="504"/>
      <c r="AC1107" s="322"/>
      <c r="AD1107" s="322"/>
      <c r="AE1107" s="322"/>
    </row>
    <row r="1108" spans="1:31" x14ac:dyDescent="0.25">
      <c r="A1108" s="1138">
        <v>1099</v>
      </c>
      <c r="B1108" s="1138" t="s">
        <v>52</v>
      </c>
      <c r="C1108" s="1037" t="s">
        <v>177</v>
      </c>
      <c r="D1108" s="958" t="s">
        <v>1012</v>
      </c>
      <c r="E1108" s="1272">
        <f>G1101+G1105</f>
        <v>0</v>
      </c>
      <c r="I1108" s="917"/>
      <c r="J1108" s="430"/>
      <c r="K1108" s="1174"/>
      <c r="L1108" s="1022"/>
      <c r="M1108" s="1175"/>
      <c r="T1108" s="504"/>
      <c r="U1108" s="504"/>
      <c r="V1108" s="504"/>
      <c r="W1108" s="504"/>
      <c r="X1108" s="504"/>
      <c r="Y1108" s="504"/>
      <c r="Z1108" s="504"/>
      <c r="AA1108" s="504"/>
      <c r="AB1108" s="504"/>
      <c r="AC1108" s="322"/>
      <c r="AD1108" s="322"/>
      <c r="AE1108" s="322"/>
    </row>
    <row r="1109" spans="1:31" x14ac:dyDescent="0.25">
      <c r="A1109" s="1138">
        <v>1100</v>
      </c>
      <c r="B1109" s="1138" t="s">
        <v>52</v>
      </c>
      <c r="C1109" s="1037" t="s">
        <v>177</v>
      </c>
      <c r="D1109" s="924" t="s">
        <v>77</v>
      </c>
      <c r="E1109" s="1273">
        <f>LE05_15</f>
        <v>0</v>
      </c>
      <c r="I1109" s="430"/>
      <c r="J1109" s="430"/>
      <c r="K1109" s="1174"/>
      <c r="L1109" s="1022"/>
      <c r="M1109" s="1175"/>
      <c r="V1109" s="504"/>
      <c r="W1109" s="504"/>
      <c r="X1109" s="504"/>
      <c r="Y1109" s="504"/>
      <c r="Z1109" s="504"/>
      <c r="AA1109" s="504"/>
      <c r="AB1109" s="504"/>
      <c r="AC1109" s="322"/>
      <c r="AD1109" s="322"/>
      <c r="AE1109" s="322"/>
    </row>
    <row r="1110" spans="1:31" x14ac:dyDescent="0.25">
      <c r="A1110" s="1138">
        <v>1101</v>
      </c>
      <c r="B1110" s="1138" t="s">
        <v>52</v>
      </c>
      <c r="C1110" s="1037" t="s">
        <v>177</v>
      </c>
      <c r="D1110" s="926" t="s">
        <v>1005</v>
      </c>
      <c r="E1110" s="1272" t="s">
        <v>14</v>
      </c>
      <c r="I1110" s="430"/>
      <c r="J1110" s="430"/>
      <c r="K1110" s="1174"/>
      <c r="L1110" s="1022"/>
      <c r="M1110" s="1175"/>
      <c r="V1110" s="504"/>
      <c r="W1110" s="504"/>
      <c r="X1110" s="504"/>
      <c r="Y1110" s="504"/>
      <c r="Z1110" s="504"/>
      <c r="AA1110" s="504"/>
      <c r="AB1110" s="504"/>
      <c r="AC1110" s="322"/>
      <c r="AD1110" s="322"/>
      <c r="AE1110" s="322"/>
    </row>
    <row r="1111" spans="1:31" x14ac:dyDescent="0.25">
      <c r="A1111" s="1138">
        <v>1102</v>
      </c>
      <c r="B1111" s="1138" t="s">
        <v>52</v>
      </c>
      <c r="C1111" s="1037" t="s">
        <v>177</v>
      </c>
      <c r="D1111" s="923" t="s">
        <v>46</v>
      </c>
      <c r="E1111" s="1290" t="s">
        <v>14</v>
      </c>
      <c r="I1111" s="430"/>
      <c r="J1111" s="430"/>
      <c r="K1111" s="1174"/>
      <c r="L1111" s="1022"/>
      <c r="M1111" s="1175"/>
      <c r="V1111" s="504"/>
      <c r="W1111" s="504"/>
      <c r="X1111" s="504"/>
      <c r="Y1111" s="504"/>
      <c r="Z1111" s="504"/>
      <c r="AA1111" s="504"/>
      <c r="AB1111" s="504"/>
      <c r="AC1111" s="322"/>
      <c r="AD1111" s="322"/>
      <c r="AE1111" s="322"/>
    </row>
    <row r="1112" spans="1:31" x14ac:dyDescent="0.25">
      <c r="A1112" s="1138">
        <v>1103</v>
      </c>
      <c r="B1112" s="1138" t="s">
        <v>52</v>
      </c>
      <c r="C1112" s="1037" t="s">
        <v>177</v>
      </c>
      <c r="I1112" s="430"/>
      <c r="J1112" s="430"/>
      <c r="K1112" s="1174"/>
      <c r="L1112" s="1022"/>
      <c r="M1112" s="1175"/>
      <c r="V1112" s="504"/>
      <c r="W1112" s="504"/>
      <c r="X1112" s="504"/>
      <c r="Y1112" s="504"/>
      <c r="Z1112" s="504"/>
      <c r="AA1112" s="504"/>
      <c r="AB1112" s="504"/>
      <c r="AC1112" s="322"/>
      <c r="AD1112" s="322"/>
      <c r="AE1112" s="322"/>
    </row>
    <row r="1113" spans="1:31" x14ac:dyDescent="0.25">
      <c r="A1113" s="1138">
        <v>1104</v>
      </c>
      <c r="B1113" s="1138" t="s">
        <v>52</v>
      </c>
      <c r="C1113" s="1037" t="s">
        <v>177</v>
      </c>
      <c r="D1113" s="920" t="s">
        <v>1004</v>
      </c>
      <c r="E1113" s="920" t="s">
        <v>1003</v>
      </c>
      <c r="F1113" s="920" t="str">
        <f>HLOOKUP(C1113,'Assessment References'!$H$512:$BG$513,2,FALSE)</f>
        <v/>
      </c>
      <c r="G1113" s="919"/>
      <c r="H1113" s="918"/>
      <c r="I1113" s="430"/>
      <c r="J1113" s="430"/>
      <c r="K1113" s="1174"/>
      <c r="L1113" s="1022"/>
      <c r="M1113" s="1175"/>
      <c r="S1113" s="504"/>
      <c r="V1113" s="504"/>
      <c r="W1113" s="504"/>
      <c r="X1113" s="504"/>
      <c r="Y1113" s="504"/>
      <c r="Z1113" s="504"/>
      <c r="AA1113" s="504"/>
      <c r="AB1113" s="504"/>
      <c r="AC1113" s="322"/>
      <c r="AD1113" s="322"/>
      <c r="AE1113" s="322"/>
    </row>
    <row r="1114" spans="1:31" x14ac:dyDescent="0.25">
      <c r="A1114" s="1138">
        <v>1105</v>
      </c>
      <c r="B1114" s="1138" t="s">
        <v>52</v>
      </c>
      <c r="C1114" s="1037" t="s">
        <v>177</v>
      </c>
      <c r="D1114" s="1539"/>
      <c r="E1114" s="1540"/>
      <c r="F1114" s="1540"/>
      <c r="G1114" s="1540"/>
      <c r="H1114" s="1541"/>
      <c r="I1114" s="430"/>
      <c r="J1114" s="430"/>
      <c r="K1114" s="1174"/>
      <c r="L1114" s="1022"/>
      <c r="M1114" s="1175"/>
      <c r="S1114" s="504"/>
      <c r="V1114" s="504"/>
      <c r="W1114" s="504"/>
      <c r="X1114" s="504"/>
      <c r="Y1114" s="504"/>
      <c r="Z1114" s="504"/>
      <c r="AA1114" s="504"/>
      <c r="AB1114" s="504"/>
      <c r="AC1114" s="322"/>
      <c r="AD1114" s="322"/>
      <c r="AE1114" s="322"/>
    </row>
    <row r="1115" spans="1:31" x14ac:dyDescent="0.25">
      <c r="A1115" s="1138">
        <v>1106</v>
      </c>
      <c r="B1115" s="1138" t="s">
        <v>52</v>
      </c>
      <c r="C1115" s="1037" t="s">
        <v>177</v>
      </c>
      <c r="D1115" s="1530"/>
      <c r="E1115" s="1531"/>
      <c r="F1115" s="1531"/>
      <c r="G1115" s="1531"/>
      <c r="H1115" s="1532"/>
      <c r="I1115" s="430"/>
      <c r="J1115" s="430"/>
      <c r="K1115" s="1174"/>
      <c r="L1115" s="1022"/>
      <c r="M1115" s="1175"/>
      <c r="S1115" s="504"/>
      <c r="V1115" s="504"/>
      <c r="W1115" s="504"/>
      <c r="X1115" s="504"/>
      <c r="Y1115" s="504"/>
      <c r="Z1115" s="504"/>
      <c r="AA1115" s="504"/>
      <c r="AB1115" s="504"/>
      <c r="AC1115" s="322"/>
      <c r="AD1115" s="322"/>
      <c r="AE1115" s="322"/>
    </row>
    <row r="1116" spans="1:31" x14ac:dyDescent="0.25">
      <c r="A1116" s="1138">
        <v>1107</v>
      </c>
      <c r="B1116" s="1138" t="s">
        <v>52</v>
      </c>
      <c r="C1116" s="1037" t="s">
        <v>177</v>
      </c>
      <c r="D1116" s="1530"/>
      <c r="E1116" s="1531"/>
      <c r="F1116" s="1531"/>
      <c r="G1116" s="1531"/>
      <c r="H1116" s="1532"/>
      <c r="I1116" s="430"/>
      <c r="J1116" s="430"/>
      <c r="K1116" s="1174"/>
      <c r="L1116" s="1022"/>
      <c r="M1116" s="1175"/>
      <c r="S1116" s="504"/>
      <c r="V1116" s="504"/>
      <c r="W1116" s="504"/>
      <c r="X1116" s="504"/>
      <c r="Y1116" s="504"/>
      <c r="Z1116" s="504"/>
      <c r="AA1116" s="504"/>
      <c r="AB1116" s="504"/>
      <c r="AC1116" s="322"/>
      <c r="AD1116" s="322"/>
      <c r="AE1116" s="322"/>
    </row>
    <row r="1117" spans="1:31" x14ac:dyDescent="0.25">
      <c r="A1117" s="1138">
        <v>1108</v>
      </c>
      <c r="B1117" s="1138" t="s">
        <v>52</v>
      </c>
      <c r="C1117" s="1037" t="s">
        <v>177</v>
      </c>
      <c r="D1117" s="1533"/>
      <c r="E1117" s="1534"/>
      <c r="F1117" s="1534"/>
      <c r="G1117" s="1534"/>
      <c r="H1117" s="1535"/>
      <c r="I1117" s="430"/>
      <c r="J1117" s="430"/>
      <c r="K1117" s="1174"/>
      <c r="L1117" s="1022"/>
      <c r="M1117" s="1175"/>
      <c r="S1117" s="504"/>
      <c r="V1117" s="504"/>
      <c r="W1117" s="504"/>
      <c r="X1117" s="504"/>
      <c r="Y1117" s="504"/>
      <c r="Z1117" s="504"/>
      <c r="AA1117" s="504"/>
      <c r="AB1117" s="504"/>
      <c r="AC1117" s="322"/>
      <c r="AD1117" s="322"/>
      <c r="AE1117" s="322"/>
    </row>
    <row r="1118" spans="1:31" x14ac:dyDescent="0.25">
      <c r="A1118" s="1138">
        <v>1109</v>
      </c>
      <c r="B1118" s="1138" t="s">
        <v>52</v>
      </c>
      <c r="C1118" s="1037" t="s">
        <v>177</v>
      </c>
      <c r="D1118" s="1533"/>
      <c r="E1118" s="1534"/>
      <c r="F1118" s="1534"/>
      <c r="G1118" s="1534"/>
      <c r="H1118" s="1535"/>
      <c r="I1118" s="430"/>
      <c r="J1118" s="430"/>
      <c r="K1118" s="1174"/>
      <c r="L1118" s="1022"/>
      <c r="M1118" s="1175"/>
      <c r="S1118" s="504"/>
      <c r="T1118" s="504"/>
      <c r="U1118" s="504"/>
      <c r="V1118" s="504"/>
      <c r="W1118" s="504"/>
      <c r="X1118" s="504"/>
      <c r="Y1118" s="504"/>
      <c r="Z1118" s="504"/>
      <c r="AA1118" s="504"/>
      <c r="AB1118" s="504"/>
      <c r="AC1118" s="322"/>
      <c r="AD1118" s="322"/>
      <c r="AE1118" s="322"/>
    </row>
    <row r="1119" spans="1:31" x14ac:dyDescent="0.25">
      <c r="A1119" s="1138">
        <v>1110</v>
      </c>
      <c r="B1119" s="1138" t="s">
        <v>52</v>
      </c>
      <c r="C1119" s="1037" t="s">
        <v>177</v>
      </c>
      <c r="D1119" s="1536"/>
      <c r="E1119" s="1537"/>
      <c r="F1119" s="1537"/>
      <c r="G1119" s="1537"/>
      <c r="H1119" s="1538"/>
      <c r="I1119" s="430"/>
      <c r="J1119" s="430"/>
      <c r="K1119" s="1174"/>
      <c r="L1119" s="1022"/>
      <c r="M1119" s="1175"/>
      <c r="S1119" s="504"/>
      <c r="T1119" s="504"/>
      <c r="U1119" s="504"/>
      <c r="V1119" s="504"/>
      <c r="W1119" s="504"/>
      <c r="X1119" s="504"/>
      <c r="Y1119" s="504"/>
      <c r="Z1119" s="504"/>
      <c r="AA1119" s="504"/>
      <c r="AB1119" s="504"/>
      <c r="AC1119" s="322"/>
      <c r="AD1119" s="322"/>
      <c r="AE1119" s="322"/>
    </row>
    <row r="1120" spans="1:31" x14ac:dyDescent="0.25">
      <c r="A1120" s="1138">
        <v>1111</v>
      </c>
      <c r="B1120" s="1138" t="s">
        <v>52</v>
      </c>
      <c r="C1120" s="1037" t="s">
        <v>177</v>
      </c>
      <c r="D1120" s="985"/>
      <c r="E1120" s="985"/>
      <c r="F1120" s="984"/>
      <c r="G1120" s="984"/>
      <c r="H1120" s="984"/>
      <c r="I1120" s="430"/>
      <c r="J1120" s="430"/>
      <c r="K1120" s="1174"/>
      <c r="L1120" s="1022"/>
      <c r="M1120" s="1175"/>
      <c r="S1120" s="504"/>
      <c r="T1120" s="504"/>
      <c r="U1120" s="504"/>
      <c r="V1120" s="504"/>
      <c r="W1120" s="504"/>
      <c r="X1120" s="504"/>
      <c r="Y1120" s="504"/>
      <c r="Z1120" s="504"/>
      <c r="AA1120" s="504"/>
      <c r="AB1120" s="504"/>
      <c r="AC1120" s="322"/>
      <c r="AD1120" s="322"/>
      <c r="AE1120" s="322"/>
    </row>
    <row r="1121" spans="1:31" x14ac:dyDescent="0.25">
      <c r="A1121" s="1138">
        <v>1112</v>
      </c>
      <c r="B1121" s="1140" t="s">
        <v>52</v>
      </c>
      <c r="C1121" s="978" t="s">
        <v>178</v>
      </c>
      <c r="D1121" s="1015" t="s">
        <v>833</v>
      </c>
      <c r="E1121" s="1014"/>
      <c r="F1121" s="1014"/>
      <c r="G1121" s="1013"/>
      <c r="H1121" s="974" t="str" cm="1">
        <f t="array" ref="H1121">IF(LE06_credits=AIS_credit00,AIS_statement32,"")</f>
        <v/>
      </c>
      <c r="I1121" s="430"/>
      <c r="J1121" s="430"/>
      <c r="K1121" s="1174"/>
      <c r="L1121" s="1022"/>
      <c r="M1121" s="1175"/>
      <c r="S1121" s="504"/>
      <c r="T1121" s="504"/>
      <c r="U1121" s="504"/>
      <c r="V1121" s="504"/>
      <c r="W1121" s="504"/>
      <c r="X1121" s="504"/>
      <c r="Y1121" s="504"/>
      <c r="Z1121" s="504"/>
      <c r="AA1121" s="504"/>
      <c r="AB1121" s="504"/>
      <c r="AC1121" s="322"/>
      <c r="AD1121" s="322"/>
      <c r="AE1121" s="322"/>
    </row>
    <row r="1122" spans="1:31" ht="15.75" thickBot="1" x14ac:dyDescent="0.3">
      <c r="A1122" s="1138">
        <v>1113</v>
      </c>
      <c r="B1122" s="1138" t="s">
        <v>52</v>
      </c>
      <c r="C1122" s="1037" t="s">
        <v>178</v>
      </c>
      <c r="D1122" s="946" t="s">
        <v>15</v>
      </c>
      <c r="E1122" s="1264">
        <f>LE06_credits</f>
        <v>1</v>
      </c>
      <c r="F1122" s="945"/>
      <c r="G1122" s="944" t="s">
        <v>76</v>
      </c>
      <c r="H1122" s="1266">
        <f>LE06_07</f>
        <v>7.8947368421052634E-3</v>
      </c>
      <c r="I1122" s="430"/>
      <c r="J1122" s="430"/>
      <c r="K1122" s="1206"/>
      <c r="L1122" s="1440"/>
      <c r="M1122" s="1441"/>
      <c r="S1122" s="504"/>
      <c r="T1122" s="504"/>
      <c r="U1122" s="504"/>
      <c r="V1122" s="504"/>
      <c r="W1122" s="504"/>
      <c r="X1122" s="504"/>
      <c r="Y1122" s="504"/>
      <c r="Z1122" s="504"/>
      <c r="AA1122" s="504"/>
      <c r="AB1122" s="504"/>
      <c r="AC1122" s="322"/>
      <c r="AD1122" s="322"/>
      <c r="AE1122" s="322"/>
    </row>
    <row r="1123" spans="1:31" x14ac:dyDescent="0.25">
      <c r="A1123" s="1138">
        <v>1114</v>
      </c>
      <c r="B1123" s="1138" t="s">
        <v>52</v>
      </c>
      <c r="C1123" s="1037" t="s">
        <v>178</v>
      </c>
      <c r="D1123" s="972" t="s">
        <v>1011</v>
      </c>
      <c r="E1123" s="1265">
        <f>Inn13_credits</f>
        <v>1</v>
      </c>
      <c r="F1123" s="941"/>
      <c r="G1123" s="940" t="s">
        <v>1010</v>
      </c>
      <c r="H1123" s="1267" t="s">
        <v>12</v>
      </c>
      <c r="I1123" s="430"/>
      <c r="J1123" s="430"/>
      <c r="K1123" s="1442" t="s">
        <v>1129</v>
      </c>
      <c r="L1123" s="1208"/>
      <c r="M1123" s="942"/>
      <c r="S1123" s="504"/>
      <c r="T1123" s="504"/>
      <c r="U1123" s="504"/>
      <c r="V1123" s="504"/>
      <c r="W1123" s="504"/>
      <c r="X1123" s="504"/>
      <c r="Y1123" s="504"/>
      <c r="Z1123" s="504"/>
      <c r="AA1123" s="504"/>
      <c r="AB1123" s="504"/>
      <c r="AC1123" s="322"/>
      <c r="AD1123" s="322"/>
      <c r="AE1123" s="322"/>
    </row>
    <row r="1124" spans="1:31" x14ac:dyDescent="0.25">
      <c r="A1124" s="1138">
        <v>1115</v>
      </c>
      <c r="B1124" s="1138" t="s">
        <v>52</v>
      </c>
      <c r="C1124" s="1037" t="s">
        <v>178</v>
      </c>
      <c r="I1124" s="430"/>
      <c r="J1124" s="430"/>
      <c r="K1124" s="1184" t="s">
        <v>107</v>
      </c>
      <c r="L1124" s="1183" t="s">
        <v>1910</v>
      </c>
      <c r="M1124" s="1439">
        <f>G249</f>
        <v>0</v>
      </c>
      <c r="S1124" s="504"/>
      <c r="T1124" s="504"/>
      <c r="U1124" s="504"/>
      <c r="V1124" s="504"/>
      <c r="W1124" s="504"/>
      <c r="X1124" s="504"/>
      <c r="Y1124" s="504"/>
      <c r="Z1124" s="504"/>
      <c r="AA1124" s="504"/>
      <c r="AB1124" s="504"/>
      <c r="AC1124" s="322"/>
      <c r="AD1124" s="322"/>
      <c r="AE1124" s="322"/>
    </row>
    <row r="1125" spans="1:31" ht="15.75" thickBot="1" x14ac:dyDescent="0.3">
      <c r="A1125" s="1138">
        <v>1116</v>
      </c>
      <c r="B1125" s="1138" t="s">
        <v>52</v>
      </c>
      <c r="C1125" s="1037" t="s">
        <v>178</v>
      </c>
      <c r="D1125" s="938" t="s">
        <v>1795</v>
      </c>
      <c r="E1125" s="937" t="s">
        <v>1008</v>
      </c>
      <c r="F1125" s="937" t="s">
        <v>1007</v>
      </c>
      <c r="G1125" s="937" t="s">
        <v>1006</v>
      </c>
      <c r="H1125" s="937" t="s">
        <v>1014</v>
      </c>
      <c r="I1125" s="430"/>
      <c r="J1125" s="430"/>
      <c r="K1125" s="1184" t="s">
        <v>129</v>
      </c>
      <c r="L1125" s="1183" t="s">
        <v>1875</v>
      </c>
      <c r="M1125" s="934">
        <f>IF(AND(E370&gt;5,G345=2),1,0)</f>
        <v>0</v>
      </c>
      <c r="S1125" s="504"/>
      <c r="T1125" s="504"/>
      <c r="U1125" s="504"/>
      <c r="V1125" s="504"/>
      <c r="W1125" s="504"/>
      <c r="X1125" s="504"/>
      <c r="Y1125" s="504"/>
      <c r="Z1125" s="504"/>
      <c r="AA1125" s="504"/>
      <c r="AB1125" s="504"/>
      <c r="AC1125" s="322"/>
      <c r="AD1125" s="322"/>
      <c r="AE1125" s="322"/>
    </row>
    <row r="1126" spans="1:31" ht="15.75" thickBot="1" x14ac:dyDescent="0.3">
      <c r="A1126" s="1138">
        <v>1117</v>
      </c>
      <c r="B1126" s="1138" t="s">
        <v>52</v>
      </c>
      <c r="C1126" s="1037" t="s">
        <v>178</v>
      </c>
      <c r="D1126" s="982" t="s">
        <v>1873</v>
      </c>
      <c r="E1126" s="1240" t="s">
        <v>316</v>
      </c>
      <c r="F1126" s="1228">
        <f>Poeng!AB188</f>
        <v>1</v>
      </c>
      <c r="G1126" s="1228">
        <f>IF(E1126=AIS_Yes,F1126,0)</f>
        <v>0</v>
      </c>
      <c r="H1126" s="969" t="s">
        <v>14</v>
      </c>
      <c r="I1126" s="430"/>
      <c r="J1126" s="430"/>
      <c r="K1126" s="1184" t="s">
        <v>163</v>
      </c>
      <c r="L1126" s="1183" t="s">
        <v>1876</v>
      </c>
      <c r="M1126" s="934">
        <f>IF(E630&gt;2,1,0)</f>
        <v>0</v>
      </c>
      <c r="S1126" s="62" t="s">
        <v>1015</v>
      </c>
      <c r="T1126" s="504"/>
      <c r="U1126" s="504"/>
      <c r="V1126" s="504"/>
      <c r="W1126" s="504"/>
      <c r="X1126" s="504"/>
      <c r="Y1126" s="504" t="str">
        <f>$X$4</f>
        <v>No</v>
      </c>
      <c r="Z1126" s="504"/>
      <c r="AA1126" s="504"/>
      <c r="AB1126" s="504"/>
      <c r="AC1126" s="322"/>
      <c r="AD1126" s="322"/>
      <c r="AE1126" s="322"/>
    </row>
    <row r="1127" spans="1:31" x14ac:dyDescent="0.25">
      <c r="A1127" s="1138">
        <v>1118</v>
      </c>
      <c r="B1127" s="1138" t="s">
        <v>52</v>
      </c>
      <c r="C1127" s="1037" t="s">
        <v>178</v>
      </c>
      <c r="I1127" s="430"/>
      <c r="J1127" s="430"/>
      <c r="K1127" s="1184" t="s">
        <v>169</v>
      </c>
      <c r="L1127" s="1183" t="s">
        <v>1877</v>
      </c>
      <c r="M1127" s="934">
        <f>G824</f>
        <v>0</v>
      </c>
      <c r="S1127" s="504"/>
      <c r="T1127" s="504"/>
      <c r="U1127" s="504"/>
      <c r="V1127" s="504"/>
      <c r="W1127" s="504"/>
      <c r="X1127" s="504"/>
      <c r="Y1127" s="504"/>
      <c r="Z1127" s="504"/>
      <c r="AA1127" s="504"/>
      <c r="AB1127" s="504"/>
      <c r="AC1127" s="322"/>
      <c r="AD1127" s="322"/>
      <c r="AE1127" s="322"/>
    </row>
    <row r="1128" spans="1:31" ht="15.75" thickBot="1" x14ac:dyDescent="0.3">
      <c r="A1128" s="1138">
        <v>1119</v>
      </c>
      <c r="B1128" s="1138" t="s">
        <v>52</v>
      </c>
      <c r="C1128" s="1037" t="s">
        <v>178</v>
      </c>
      <c r="D1128" s="938" t="s">
        <v>1796</v>
      </c>
      <c r="E1128" s="937" t="s">
        <v>1008</v>
      </c>
      <c r="F1128" s="937" t="s">
        <v>1007</v>
      </c>
      <c r="G1128" s="937" t="s">
        <v>1006</v>
      </c>
      <c r="H1128" s="937" t="s">
        <v>1014</v>
      </c>
      <c r="I1128" s="430"/>
      <c r="J1128" s="430"/>
      <c r="K1128" s="1184" t="s">
        <v>460</v>
      </c>
      <c r="L1128" s="1183" t="s">
        <v>1878</v>
      </c>
      <c r="M1128" s="934">
        <f>IF(E1170&gt;0,1,0)</f>
        <v>1</v>
      </c>
      <c r="S1128" s="504"/>
      <c r="T1128" s="504"/>
      <c r="U1128" s="504"/>
      <c r="V1128" s="504"/>
      <c r="W1128" s="504"/>
      <c r="X1128" s="504"/>
      <c r="Y1128" s="504"/>
      <c r="Z1128" s="504"/>
      <c r="AA1128" s="504"/>
      <c r="AB1128" s="504"/>
      <c r="AC1128" s="322"/>
      <c r="AD1128" s="322"/>
      <c r="AE1128" s="322"/>
    </row>
    <row r="1129" spans="1:31" ht="15.75" thickBot="1" x14ac:dyDescent="0.3">
      <c r="A1129" s="1138">
        <v>1120</v>
      </c>
      <c r="B1129" s="1138" t="s">
        <v>52</v>
      </c>
      <c r="C1129" s="1037" t="s">
        <v>178</v>
      </c>
      <c r="D1129" s="982" t="s">
        <v>1538</v>
      </c>
      <c r="E1129" s="1319" t="str">
        <f>IF(AND(G1126&gt;0,M1130=L1130),AD_Yes,AD_no)</f>
        <v>No</v>
      </c>
      <c r="F1129" s="1228">
        <f>Inn13_credits</f>
        <v>1</v>
      </c>
      <c r="G1129" s="1228">
        <f>IF(E1129=AIS_Yes,F1129,0)</f>
        <v>0</v>
      </c>
      <c r="H1129" s="969" t="s">
        <v>14</v>
      </c>
      <c r="J1129" s="430"/>
      <c r="K1129" s="1184" t="s">
        <v>461</v>
      </c>
      <c r="L1129" s="1183" t="s">
        <v>1879</v>
      </c>
      <c r="M1129" s="934">
        <f>IF(E1194&gt;1,1,0)</f>
        <v>0</v>
      </c>
      <c r="S1129" s="504"/>
      <c r="T1129" s="504"/>
      <c r="U1129" s="504"/>
      <c r="V1129" s="504"/>
      <c r="W1129" s="504"/>
      <c r="X1129" s="504"/>
      <c r="Y1129" s="504"/>
      <c r="Z1129" s="504"/>
      <c r="AA1129" s="504"/>
      <c r="AB1129" s="504"/>
      <c r="AC1129" s="322"/>
      <c r="AD1129" s="322"/>
      <c r="AE1129" s="322"/>
    </row>
    <row r="1130" spans="1:31" ht="15.75" thickBot="1" x14ac:dyDescent="0.3">
      <c r="A1130" s="1138">
        <v>1121</v>
      </c>
      <c r="B1130" s="1138" t="s">
        <v>52</v>
      </c>
      <c r="C1130" s="1037" t="s">
        <v>178</v>
      </c>
      <c r="I1130" s="430"/>
      <c r="J1130" s="430"/>
      <c r="K1130" s="1209"/>
      <c r="L1130" s="1443">
        <v>6</v>
      </c>
      <c r="M1130" s="1444">
        <f>SUM(M1124:M1129)</f>
        <v>1</v>
      </c>
      <c r="S1130" s="504"/>
      <c r="T1130" s="504"/>
      <c r="U1130" s="504"/>
      <c r="V1130" s="504"/>
      <c r="W1130" s="504"/>
      <c r="X1130" s="504"/>
      <c r="Y1130" s="504"/>
      <c r="Z1130" s="504"/>
      <c r="AA1130" s="504"/>
      <c r="AB1130" s="504"/>
      <c r="AC1130" s="322"/>
      <c r="AD1130" s="322"/>
      <c r="AE1130" s="322"/>
    </row>
    <row r="1131" spans="1:31" x14ac:dyDescent="0.25">
      <c r="A1131" s="1138">
        <v>1122</v>
      </c>
      <c r="B1131" s="1138" t="s">
        <v>52</v>
      </c>
      <c r="C1131" s="1037" t="s">
        <v>178</v>
      </c>
      <c r="I1131" s="430"/>
      <c r="J1131" s="430"/>
      <c r="K1131" s="1182"/>
      <c r="L1131" s="484"/>
      <c r="M1131" s="1205"/>
      <c r="S1131" s="504"/>
      <c r="T1131" s="504"/>
      <c r="U1131" s="504"/>
      <c r="V1131" s="504"/>
      <c r="W1131" s="504"/>
      <c r="X1131" s="504"/>
      <c r="Y1131" s="504"/>
      <c r="Z1131" s="504"/>
      <c r="AA1131" s="504"/>
      <c r="AB1131" s="504"/>
      <c r="AC1131" s="322"/>
      <c r="AD1131" s="322"/>
      <c r="AE1131" s="322"/>
    </row>
    <row r="1132" spans="1:31" x14ac:dyDescent="0.25">
      <c r="A1132" s="1138">
        <v>1123</v>
      </c>
      <c r="B1132" s="1138" t="s">
        <v>52</v>
      </c>
      <c r="C1132" s="1037" t="s">
        <v>178</v>
      </c>
      <c r="D1132" s="958" t="s">
        <v>1012</v>
      </c>
      <c r="E1132" s="1272">
        <f>G1126</f>
        <v>0</v>
      </c>
      <c r="I1132" s="917"/>
      <c r="J1132" s="430"/>
      <c r="K1132" s="1174"/>
      <c r="L1132" s="1022"/>
      <c r="M1132" s="1175"/>
      <c r="S1132" s="504"/>
      <c r="T1132" s="504"/>
      <c r="U1132" s="504"/>
      <c r="V1132" s="504"/>
      <c r="W1132" s="504"/>
      <c r="X1132" s="504"/>
      <c r="Y1132" s="504"/>
      <c r="Z1132" s="504"/>
      <c r="AA1132" s="504"/>
      <c r="AB1132" s="504"/>
      <c r="AC1132" s="322"/>
      <c r="AD1132" s="322"/>
      <c r="AE1132" s="322"/>
    </row>
    <row r="1133" spans="1:31" x14ac:dyDescent="0.25">
      <c r="A1133" s="1138">
        <v>1124</v>
      </c>
      <c r="B1133" s="1138" t="s">
        <v>52</v>
      </c>
      <c r="C1133" s="1037" t="s">
        <v>178</v>
      </c>
      <c r="D1133" s="924" t="s">
        <v>77</v>
      </c>
      <c r="E1133" s="1273">
        <f>LE06_contr</f>
        <v>0</v>
      </c>
      <c r="I1133" s="430"/>
      <c r="J1133" s="430"/>
      <c r="K1133" s="1174"/>
      <c r="L1133" s="1022"/>
      <c r="M1133" s="1175"/>
      <c r="S1133" s="504"/>
      <c r="T1133" s="504"/>
      <c r="U1133" s="504"/>
      <c r="V1133" s="504"/>
      <c r="W1133" s="504"/>
      <c r="X1133" s="504"/>
      <c r="Y1133" s="504"/>
      <c r="Z1133" s="504"/>
      <c r="AA1133" s="504"/>
      <c r="AB1133" s="504"/>
      <c r="AC1133" s="322"/>
      <c r="AD1133" s="322"/>
      <c r="AE1133" s="322"/>
    </row>
    <row r="1134" spans="1:31" x14ac:dyDescent="0.25">
      <c r="A1134" s="1138">
        <v>1125</v>
      </c>
      <c r="B1134" s="1138" t="s">
        <v>52</v>
      </c>
      <c r="C1134" s="1037" t="s">
        <v>178</v>
      </c>
      <c r="D1134" s="926" t="s">
        <v>1005</v>
      </c>
      <c r="E1134" s="1272">
        <f>G1129</f>
        <v>0</v>
      </c>
      <c r="I1134" s="430"/>
      <c r="J1134" s="430"/>
      <c r="K1134" s="1174"/>
      <c r="L1134" s="1022"/>
      <c r="M1134" s="1175"/>
      <c r="S1134" s="504"/>
      <c r="T1134" s="504"/>
      <c r="U1134" s="504"/>
      <c r="V1134" s="504"/>
      <c r="W1134" s="504"/>
      <c r="X1134" s="504"/>
      <c r="Y1134" s="504"/>
      <c r="Z1134" s="504"/>
      <c r="AA1134" s="504"/>
      <c r="AB1134" s="504"/>
      <c r="AC1134" s="322"/>
      <c r="AD1134" s="322"/>
      <c r="AE1134" s="322"/>
    </row>
    <row r="1135" spans="1:31" x14ac:dyDescent="0.25">
      <c r="A1135" s="1138">
        <v>1126</v>
      </c>
      <c r="B1135" s="1138" t="s">
        <v>52</v>
      </c>
      <c r="C1135" s="1037" t="s">
        <v>178</v>
      </c>
      <c r="D1135" s="923" t="s">
        <v>46</v>
      </c>
      <c r="E1135" s="1290" t="str">
        <f>VLOOKUP(MIN(Poeng!BD187:BD188,Poeng!BD252),Poeng!$BO$285:$BP$291,2,FALSE)</f>
        <v>Very Good</v>
      </c>
      <c r="I1135" s="430"/>
      <c r="J1135" s="430"/>
      <c r="K1135" s="1174"/>
      <c r="L1135" s="1022"/>
      <c r="M1135" s="1175"/>
      <c r="S1135" s="504"/>
      <c r="T1135" s="504"/>
      <c r="U1135" s="504"/>
      <c r="V1135" s="504"/>
      <c r="W1135" s="504"/>
      <c r="X1135" s="504"/>
      <c r="Y1135" s="504"/>
      <c r="Z1135" s="504"/>
      <c r="AA1135" s="504"/>
      <c r="AB1135" s="504"/>
      <c r="AC1135" s="322"/>
      <c r="AD1135" s="322"/>
      <c r="AE1135" s="322"/>
    </row>
    <row r="1136" spans="1:31" x14ac:dyDescent="0.25">
      <c r="A1136" s="1138">
        <v>1127</v>
      </c>
      <c r="B1136" s="1138" t="s">
        <v>52</v>
      </c>
      <c r="C1136" s="1037" t="s">
        <v>178</v>
      </c>
      <c r="I1136" s="430"/>
      <c r="J1136" s="430"/>
      <c r="K1136" s="1174"/>
      <c r="L1136" s="1022"/>
      <c r="M1136" s="1175"/>
      <c r="S1136" s="504"/>
      <c r="T1136" s="504"/>
      <c r="U1136" s="504"/>
      <c r="V1136" s="504"/>
      <c r="W1136" s="504"/>
      <c r="X1136" s="504"/>
      <c r="Y1136" s="504"/>
      <c r="Z1136" s="504"/>
      <c r="AA1136" s="504"/>
      <c r="AB1136" s="504"/>
      <c r="AC1136" s="322"/>
      <c r="AD1136" s="322"/>
      <c r="AE1136" s="322"/>
    </row>
    <row r="1137" spans="1:31" x14ac:dyDescent="0.25">
      <c r="A1137" s="1138">
        <v>1128</v>
      </c>
      <c r="B1137" s="1138" t="s">
        <v>52</v>
      </c>
      <c r="C1137" s="1037" t="s">
        <v>178</v>
      </c>
      <c r="D1137" s="920" t="s">
        <v>1004</v>
      </c>
      <c r="E1137" s="920" t="s">
        <v>1003</v>
      </c>
      <c r="F1137" s="920" t="str">
        <f>HLOOKUP(C1137,'Assessment References'!$H$512:$BG$513,2,FALSE)</f>
        <v/>
      </c>
      <c r="G1137" s="919"/>
      <c r="H1137" s="918"/>
      <c r="I1137" s="430"/>
      <c r="J1137" s="430"/>
      <c r="K1137" s="1174"/>
      <c r="L1137" s="1022"/>
      <c r="M1137" s="1175"/>
      <c r="S1137" s="504"/>
      <c r="T1137" s="504"/>
      <c r="U1137" s="504"/>
      <c r="V1137" s="504"/>
      <c r="W1137" s="504"/>
      <c r="X1137" s="504"/>
      <c r="Y1137" s="504"/>
      <c r="Z1137" s="504"/>
      <c r="AA1137" s="504"/>
      <c r="AB1137" s="504"/>
      <c r="AC1137" s="322"/>
      <c r="AD1137" s="322"/>
      <c r="AE1137" s="322"/>
    </row>
    <row r="1138" spans="1:31" x14ac:dyDescent="0.25">
      <c r="A1138" s="1138">
        <v>1129</v>
      </c>
      <c r="B1138" s="1138" t="s">
        <v>52</v>
      </c>
      <c r="C1138" s="1037" t="s">
        <v>178</v>
      </c>
      <c r="D1138" s="1539"/>
      <c r="E1138" s="1540"/>
      <c r="F1138" s="1540"/>
      <c r="G1138" s="1540"/>
      <c r="H1138" s="1541"/>
      <c r="I1138" s="430"/>
      <c r="J1138" s="430"/>
      <c r="K1138" s="1174"/>
      <c r="L1138" s="1022"/>
      <c r="M1138" s="1175"/>
      <c r="S1138" s="504"/>
      <c r="T1138" s="504"/>
      <c r="U1138" s="504"/>
      <c r="V1138" s="504"/>
      <c r="W1138" s="504"/>
      <c r="X1138" s="504"/>
      <c r="Y1138" s="504"/>
      <c r="Z1138" s="504"/>
      <c r="AA1138" s="504"/>
      <c r="AB1138" s="504"/>
      <c r="AC1138" s="322"/>
      <c r="AD1138" s="322"/>
      <c r="AE1138" s="322"/>
    </row>
    <row r="1139" spans="1:31" x14ac:dyDescent="0.25">
      <c r="A1139" s="1138">
        <v>1130</v>
      </c>
      <c r="B1139" s="1138" t="s">
        <v>52</v>
      </c>
      <c r="C1139" s="1037" t="s">
        <v>178</v>
      </c>
      <c r="D1139" s="1530"/>
      <c r="E1139" s="1531"/>
      <c r="F1139" s="1531"/>
      <c r="G1139" s="1531"/>
      <c r="H1139" s="1532"/>
      <c r="I1139" s="430"/>
      <c r="J1139" s="430"/>
      <c r="K1139" s="1174"/>
      <c r="L1139" s="1022"/>
      <c r="M1139" s="1175"/>
      <c r="S1139" s="504"/>
      <c r="T1139" s="504"/>
      <c r="U1139" s="504"/>
      <c r="V1139" s="504"/>
      <c r="W1139" s="504"/>
      <c r="X1139" s="504"/>
      <c r="Y1139" s="504"/>
      <c r="Z1139" s="504"/>
      <c r="AA1139" s="504"/>
      <c r="AB1139" s="504"/>
      <c r="AC1139" s="322"/>
      <c r="AD1139" s="322"/>
      <c r="AE1139" s="322"/>
    </row>
    <row r="1140" spans="1:31" x14ac:dyDescent="0.25">
      <c r="A1140" s="1138">
        <v>1131</v>
      </c>
      <c r="B1140" s="1138" t="s">
        <v>52</v>
      </c>
      <c r="C1140" s="1037" t="s">
        <v>178</v>
      </c>
      <c r="D1140" s="1530"/>
      <c r="E1140" s="1531"/>
      <c r="F1140" s="1531"/>
      <c r="G1140" s="1531"/>
      <c r="H1140" s="1532"/>
      <c r="I1140" s="430"/>
      <c r="J1140" s="430"/>
      <c r="K1140" s="1174"/>
      <c r="L1140" s="1022"/>
      <c r="M1140" s="1175"/>
      <c r="S1140" s="504"/>
      <c r="T1140" s="504"/>
      <c r="U1140" s="504"/>
      <c r="V1140" s="504"/>
      <c r="W1140" s="504"/>
      <c r="X1140" s="504"/>
      <c r="Y1140" s="504"/>
      <c r="Z1140" s="504"/>
      <c r="AA1140" s="504"/>
      <c r="AB1140" s="504"/>
      <c r="AC1140" s="322"/>
      <c r="AD1140" s="322"/>
      <c r="AE1140" s="322"/>
    </row>
    <row r="1141" spans="1:31" x14ac:dyDescent="0.25">
      <c r="A1141" s="1138">
        <v>1132</v>
      </c>
      <c r="B1141" s="1138" t="s">
        <v>52</v>
      </c>
      <c r="C1141" s="1037" t="s">
        <v>178</v>
      </c>
      <c r="D1141" s="1533"/>
      <c r="E1141" s="1534"/>
      <c r="F1141" s="1534"/>
      <c r="G1141" s="1534"/>
      <c r="H1141" s="1535"/>
      <c r="I1141" s="430"/>
      <c r="J1141" s="430"/>
      <c r="K1141" s="1174"/>
      <c r="L1141" s="1022"/>
      <c r="M1141" s="1175"/>
      <c r="S1141" s="504"/>
      <c r="T1141" s="504"/>
      <c r="U1141" s="504"/>
      <c r="V1141" s="504"/>
      <c r="W1141" s="504"/>
      <c r="X1141" s="504"/>
      <c r="Y1141" s="504"/>
      <c r="Z1141" s="504"/>
      <c r="AA1141" s="504"/>
      <c r="AB1141" s="504"/>
      <c r="AC1141" s="322"/>
      <c r="AD1141" s="322"/>
      <c r="AE1141" s="322"/>
    </row>
    <row r="1142" spans="1:31" x14ac:dyDescent="0.25">
      <c r="A1142" s="1138">
        <v>1133</v>
      </c>
      <c r="B1142" s="1138" t="s">
        <v>52</v>
      </c>
      <c r="C1142" s="1037" t="s">
        <v>178</v>
      </c>
      <c r="D1142" s="1533"/>
      <c r="E1142" s="1534"/>
      <c r="F1142" s="1534"/>
      <c r="G1142" s="1534"/>
      <c r="H1142" s="1535"/>
      <c r="I1142" s="430"/>
      <c r="J1142" s="430"/>
      <c r="K1142" s="1174"/>
      <c r="L1142" s="1022"/>
      <c r="M1142" s="1175"/>
      <c r="S1142" s="504"/>
      <c r="T1142" s="504"/>
      <c r="U1142" s="504"/>
      <c r="V1142" s="504"/>
      <c r="W1142" s="504"/>
      <c r="X1142" s="504"/>
      <c r="Y1142" s="504"/>
      <c r="Z1142" s="504"/>
      <c r="AA1142" s="504"/>
      <c r="AB1142" s="504"/>
      <c r="AC1142" s="322"/>
      <c r="AD1142" s="322"/>
      <c r="AE1142" s="322"/>
    </row>
    <row r="1143" spans="1:31" x14ac:dyDescent="0.25">
      <c r="A1143" s="1138">
        <v>1134</v>
      </c>
      <c r="B1143" s="1138" t="s">
        <v>52</v>
      </c>
      <c r="C1143" s="1037" t="s">
        <v>178</v>
      </c>
      <c r="D1143" s="1536"/>
      <c r="E1143" s="1537"/>
      <c r="F1143" s="1537"/>
      <c r="G1143" s="1537"/>
      <c r="H1143" s="1538"/>
      <c r="I1143" s="430"/>
      <c r="J1143" s="430"/>
      <c r="K1143" s="1174"/>
      <c r="L1143" s="1022"/>
      <c r="M1143" s="1175"/>
      <c r="S1143" s="504"/>
      <c r="T1143" s="504"/>
      <c r="U1143" s="504"/>
      <c r="V1143" s="504"/>
      <c r="W1143" s="504"/>
      <c r="X1143" s="504"/>
      <c r="Y1143" s="504"/>
      <c r="Z1143" s="504"/>
      <c r="AA1143" s="504"/>
      <c r="AB1143" s="504"/>
      <c r="AC1143" s="322"/>
      <c r="AD1143" s="322"/>
      <c r="AE1143" s="322"/>
    </row>
    <row r="1144" spans="1:31" x14ac:dyDescent="0.25">
      <c r="A1144" s="1138">
        <v>1135</v>
      </c>
      <c r="B1144" s="1138" t="s">
        <v>52</v>
      </c>
      <c r="C1144" s="1037" t="s">
        <v>178</v>
      </c>
      <c r="D1144" s="985"/>
      <c r="E1144" s="985"/>
      <c r="F1144" s="984"/>
      <c r="G1144" s="984"/>
      <c r="H1144" s="984"/>
      <c r="I1144" s="430"/>
      <c r="J1144" s="430"/>
      <c r="K1144" s="1174"/>
      <c r="L1144" s="1022"/>
      <c r="M1144" s="1175"/>
      <c r="S1144" s="504"/>
      <c r="T1144" s="504"/>
      <c r="U1144" s="504"/>
      <c r="V1144" s="504"/>
      <c r="W1144" s="504"/>
      <c r="X1144" s="504"/>
      <c r="Y1144" s="504"/>
      <c r="Z1144" s="504"/>
      <c r="AA1144" s="504"/>
      <c r="AB1144" s="504"/>
      <c r="AC1144" s="322"/>
      <c r="AD1144" s="322"/>
      <c r="AE1144" s="322"/>
    </row>
    <row r="1145" spans="1:31" x14ac:dyDescent="0.25">
      <c r="A1145" s="1138">
        <v>1136</v>
      </c>
      <c r="B1145" s="1140" t="s">
        <v>52</v>
      </c>
      <c r="C1145" s="978" t="s">
        <v>460</v>
      </c>
      <c r="D1145" s="1015" t="s">
        <v>835</v>
      </c>
      <c r="E1145" s="1014"/>
      <c r="F1145" s="1014"/>
      <c r="G1145" s="1013"/>
      <c r="H1145" s="1013"/>
      <c r="I1145" s="430"/>
      <c r="J1145" s="430"/>
      <c r="K1145" s="1174"/>
      <c r="L1145" s="1022"/>
      <c r="M1145" s="1175"/>
      <c r="S1145" s="504"/>
      <c r="T1145" s="504"/>
      <c r="U1145" s="504"/>
      <c r="V1145" s="504"/>
      <c r="W1145" s="504"/>
      <c r="X1145" s="504"/>
      <c r="Y1145" s="504"/>
      <c r="Z1145" s="504"/>
      <c r="AA1145" s="504"/>
      <c r="AB1145" s="504"/>
      <c r="AC1145" s="322"/>
      <c r="AD1145" s="322"/>
      <c r="AE1145" s="322"/>
    </row>
    <row r="1146" spans="1:31" x14ac:dyDescent="0.25">
      <c r="A1146" s="1138">
        <v>1137</v>
      </c>
      <c r="B1146" s="1138" t="s">
        <v>52</v>
      </c>
      <c r="C1146" s="1037" t="s">
        <v>460</v>
      </c>
      <c r="D1146" s="946" t="s">
        <v>15</v>
      </c>
      <c r="E1146" s="1264">
        <f>LE07_credits</f>
        <v>2</v>
      </c>
      <c r="F1146" s="945"/>
      <c r="G1146" s="944" t="s">
        <v>76</v>
      </c>
      <c r="H1146" s="1266">
        <f>LE07_07</f>
        <v>1.5789473684210527E-2</v>
      </c>
      <c r="I1146" s="430"/>
      <c r="J1146" s="430"/>
      <c r="K1146" s="1174"/>
      <c r="L1146" s="1022"/>
      <c r="M1146" s="1175"/>
      <c r="S1146" s="504"/>
      <c r="T1146" s="504"/>
      <c r="U1146" s="504"/>
      <c r="V1146" s="504"/>
      <c r="W1146" s="504"/>
      <c r="X1146" s="504"/>
      <c r="Y1146" s="504"/>
      <c r="Z1146" s="504"/>
      <c r="AA1146" s="504"/>
      <c r="AB1146" s="504"/>
      <c r="AC1146" s="322"/>
      <c r="AD1146" s="322"/>
      <c r="AE1146" s="322"/>
    </row>
    <row r="1147" spans="1:31" x14ac:dyDescent="0.25">
      <c r="A1147" s="1138">
        <v>1138</v>
      </c>
      <c r="B1147" s="1138" t="s">
        <v>52</v>
      </c>
      <c r="C1147" s="1037" t="s">
        <v>460</v>
      </c>
      <c r="D1147" s="972" t="s">
        <v>1011</v>
      </c>
      <c r="E1147" s="1265">
        <v>0</v>
      </c>
      <c r="F1147" s="941"/>
      <c r="G1147" s="940" t="s">
        <v>1010</v>
      </c>
      <c r="H1147" s="1267" t="s">
        <v>13</v>
      </c>
      <c r="I1147" s="430"/>
      <c r="J1147" s="430"/>
      <c r="K1147" s="1174"/>
      <c r="L1147" s="1022"/>
      <c r="M1147" s="1175"/>
      <c r="S1147" s="504"/>
      <c r="T1147" s="504"/>
      <c r="U1147" s="504"/>
      <c r="V1147" s="504"/>
      <c r="W1147" s="504"/>
      <c r="X1147" s="504"/>
      <c r="Y1147" s="504"/>
      <c r="Z1147" s="504"/>
      <c r="AA1147" s="504"/>
      <c r="AB1147" s="504"/>
      <c r="AC1147" s="322"/>
      <c r="AD1147" s="322"/>
      <c r="AE1147" s="322"/>
    </row>
    <row r="1148" spans="1:31" x14ac:dyDescent="0.25">
      <c r="A1148" s="1138">
        <v>1139</v>
      </c>
      <c r="B1148" s="1138" t="s">
        <v>52</v>
      </c>
      <c r="C1148" s="1037" t="s">
        <v>460</v>
      </c>
      <c r="I1148" s="430"/>
      <c r="J1148" s="430"/>
      <c r="K1148" s="1174"/>
      <c r="L1148" s="1022"/>
      <c r="M1148" s="1175"/>
      <c r="S1148" s="504"/>
      <c r="T1148" s="504"/>
      <c r="U1148" s="504"/>
      <c r="V1148" s="504"/>
      <c r="W1148" s="504"/>
      <c r="X1148" s="504"/>
      <c r="Y1148" s="504"/>
      <c r="Z1148" s="504"/>
      <c r="AA1148" s="504"/>
      <c r="AB1148" s="504"/>
      <c r="AC1148" s="322"/>
      <c r="AD1148" s="322"/>
      <c r="AE1148" s="322"/>
    </row>
    <row r="1149" spans="1:31" ht="15.75" thickBot="1" x14ac:dyDescent="0.3">
      <c r="A1149" s="1138">
        <v>1140</v>
      </c>
      <c r="B1149" s="1138" t="s">
        <v>52</v>
      </c>
      <c r="C1149" s="1037" t="s">
        <v>460</v>
      </c>
      <c r="D1149" s="938" t="s">
        <v>1797</v>
      </c>
      <c r="E1149" s="937" t="s">
        <v>1008</v>
      </c>
      <c r="I1149" s="430"/>
      <c r="J1149" s="430"/>
      <c r="K1149" s="1174"/>
      <c r="L1149" s="1022"/>
      <c r="M1149" s="1175"/>
      <c r="S1149" s="504"/>
      <c r="T1149" s="504"/>
      <c r="U1149" s="504"/>
      <c r="V1149" s="504"/>
      <c r="W1149" s="504"/>
      <c r="X1149" s="504"/>
      <c r="Y1149" s="504"/>
      <c r="Z1149" s="504"/>
      <c r="AA1149" s="504"/>
      <c r="AB1149" s="504"/>
      <c r="AC1149" s="322"/>
      <c r="AD1149" s="322"/>
      <c r="AE1149" s="322"/>
    </row>
    <row r="1150" spans="1:31" ht="15.75" thickBot="1" x14ac:dyDescent="0.3">
      <c r="A1150" s="1138">
        <v>1141</v>
      </c>
      <c r="B1150" s="1138" t="s">
        <v>52</v>
      </c>
      <c r="C1150" s="1037" t="s">
        <v>460</v>
      </c>
      <c r="D1150" s="1239" t="s">
        <v>665</v>
      </c>
      <c r="E1150" s="1240" t="s">
        <v>316</v>
      </c>
      <c r="F1150" s="994" t="str">
        <f>IF(OR(E1150=AIS_No,E1150=AIS_PS),"Pre-requisite: Please select yes","")</f>
        <v>Pre-requisite: Please select yes</v>
      </c>
      <c r="I1150" s="430"/>
      <c r="J1150" s="430"/>
      <c r="K1150" s="1174"/>
      <c r="L1150" s="1022"/>
      <c r="M1150" s="1175"/>
      <c r="S1150" s="504"/>
      <c r="T1150" s="504"/>
      <c r="U1150" s="504"/>
      <c r="V1150" s="504"/>
      <c r="W1150" s="504"/>
      <c r="X1150" s="504"/>
      <c r="Y1150" s="504"/>
      <c r="Z1150" s="504"/>
      <c r="AA1150" s="504"/>
      <c r="AB1150" s="504"/>
      <c r="AC1150" s="322"/>
      <c r="AD1150" s="322"/>
      <c r="AE1150" s="322"/>
    </row>
    <row r="1151" spans="1:31" x14ac:dyDescent="0.25">
      <c r="A1151" s="1138">
        <v>1142</v>
      </c>
      <c r="B1151" s="1138" t="s">
        <v>52</v>
      </c>
      <c r="C1151" s="1037" t="s">
        <v>460</v>
      </c>
      <c r="I1151" s="430"/>
      <c r="J1151" s="430"/>
      <c r="K1151" s="1230" t="s">
        <v>316</v>
      </c>
      <c r="L1151" s="1022">
        <v>0</v>
      </c>
      <c r="M1151" s="1175"/>
      <c r="S1151" s="504"/>
      <c r="T1151" s="504"/>
      <c r="U1151" s="504"/>
      <c r="V1151" s="504"/>
      <c r="W1151" s="504"/>
      <c r="X1151" s="504"/>
      <c r="Y1151" s="504"/>
      <c r="Z1151" s="504"/>
      <c r="AA1151" s="504"/>
      <c r="AB1151" s="504"/>
      <c r="AC1151" s="322"/>
      <c r="AD1151" s="322"/>
      <c r="AE1151" s="322"/>
    </row>
    <row r="1152" spans="1:31" ht="15.75" thickBot="1" x14ac:dyDescent="0.3">
      <c r="A1152" s="1138">
        <v>1143</v>
      </c>
      <c r="B1152" s="1138" t="s">
        <v>52</v>
      </c>
      <c r="C1152" s="1037" t="s">
        <v>460</v>
      </c>
      <c r="D1152" s="938" t="s">
        <v>1798</v>
      </c>
      <c r="E1152" s="937" t="s">
        <v>1008</v>
      </c>
      <c r="F1152" s="937" t="s">
        <v>1007</v>
      </c>
      <c r="G1152" s="937" t="s">
        <v>1006</v>
      </c>
      <c r="H1152" s="937" t="s">
        <v>1014</v>
      </c>
      <c r="I1152" s="430"/>
      <c r="J1152" s="430"/>
      <c r="K1152" s="1230" t="s">
        <v>1540</v>
      </c>
      <c r="L1152" s="1233">
        <f>F1153</f>
        <v>2</v>
      </c>
      <c r="M1152" s="1175"/>
      <c r="S1152" s="504"/>
      <c r="T1152" s="504"/>
      <c r="U1152" s="504"/>
      <c r="V1152" s="504"/>
      <c r="W1152" s="504"/>
      <c r="X1152" s="504"/>
      <c r="Y1152" s="504"/>
      <c r="Z1152" s="504"/>
      <c r="AA1152" s="504"/>
      <c r="AB1152" s="504"/>
      <c r="AC1152" s="322"/>
      <c r="AD1152" s="322"/>
      <c r="AE1152" s="322"/>
    </row>
    <row r="1153" spans="1:31" x14ac:dyDescent="0.25">
      <c r="A1153" s="1138">
        <v>1144</v>
      </c>
      <c r="B1153" s="1138" t="s">
        <v>52</v>
      </c>
      <c r="C1153" s="1037" t="s">
        <v>460</v>
      </c>
      <c r="D1153" s="1168" t="s">
        <v>1539</v>
      </c>
      <c r="E1153" s="1268" t="s">
        <v>316</v>
      </c>
      <c r="F1153" s="1232">
        <f>Poeng!AB191</f>
        <v>2</v>
      </c>
      <c r="G1153" s="1232">
        <f>VLOOKUP(E1153,K1151:L1153,2,FALSE)*IF(E1150=AIS_Yes,1,0)*IF(OR(E1154=AIS_Yes,E1154=AIS_NA),1,0)</f>
        <v>0</v>
      </c>
      <c r="H1153" s="1232" t="s">
        <v>14</v>
      </c>
      <c r="I1153" s="430"/>
      <c r="J1153" s="430"/>
      <c r="K1153" s="1230" t="s">
        <v>1541</v>
      </c>
      <c r="L1153" s="1022">
        <f>L1152/2</f>
        <v>1</v>
      </c>
      <c r="M1153" s="1175"/>
      <c r="S1153" s="504"/>
      <c r="T1153" s="504"/>
      <c r="U1153" s="504"/>
      <c r="V1153" s="504"/>
      <c r="W1153" s="504"/>
      <c r="X1153" s="504"/>
      <c r="Y1153" s="504"/>
      <c r="Z1153" s="504"/>
      <c r="AA1153" s="504"/>
      <c r="AB1153" s="504"/>
      <c r="AC1153" s="322"/>
      <c r="AD1153" s="322"/>
      <c r="AE1153" s="322"/>
    </row>
    <row r="1154" spans="1:31" ht="15.75" thickBot="1" x14ac:dyDescent="0.3">
      <c r="A1154" s="1138">
        <v>1145</v>
      </c>
      <c r="B1154" s="1138" t="s">
        <v>52</v>
      </c>
      <c r="C1154" s="1037" t="s">
        <v>460</v>
      </c>
      <c r="D1154" s="1170" t="s">
        <v>1542</v>
      </c>
      <c r="E1154" s="1275" t="s">
        <v>316</v>
      </c>
      <c r="F1154" s="1226"/>
      <c r="G1154" s="1226"/>
      <c r="H1154" s="1226"/>
      <c r="I1154" s="430"/>
      <c r="J1154" s="430"/>
      <c r="K1154" s="1174"/>
      <c r="L1154" s="1022"/>
      <c r="M1154" s="1175"/>
      <c r="S1154" s="504"/>
      <c r="T1154" s="504"/>
      <c r="U1154" s="504"/>
      <c r="V1154" s="504"/>
      <c r="W1154" s="504"/>
      <c r="X1154" s="504"/>
      <c r="Y1154" s="504"/>
      <c r="Z1154" s="504"/>
      <c r="AA1154" s="504"/>
      <c r="AB1154" s="504"/>
      <c r="AC1154" s="322"/>
      <c r="AD1154" s="322"/>
      <c r="AE1154" s="322"/>
    </row>
    <row r="1155" spans="1:31" x14ac:dyDescent="0.25">
      <c r="A1155" s="1138">
        <v>1146</v>
      </c>
      <c r="B1155" s="1138" t="s">
        <v>52</v>
      </c>
      <c r="C1155" s="1037" t="s">
        <v>460</v>
      </c>
      <c r="D1155" s="960"/>
      <c r="E1155" s="1238"/>
      <c r="I1155" s="430"/>
      <c r="J1155" s="430"/>
      <c r="K1155" s="1174"/>
      <c r="L1155" s="1022"/>
      <c r="M1155" s="1175"/>
      <c r="S1155" s="504"/>
      <c r="T1155" s="504"/>
      <c r="U1155" s="504"/>
      <c r="V1155" s="504"/>
      <c r="W1155" s="504"/>
      <c r="X1155" s="504"/>
      <c r="Y1155" s="504"/>
      <c r="Z1155" s="504"/>
      <c r="AA1155" s="504"/>
      <c r="AB1155" s="504"/>
      <c r="AC1155" s="322"/>
      <c r="AD1155" s="322"/>
      <c r="AE1155" s="322"/>
    </row>
    <row r="1156" spans="1:31" x14ac:dyDescent="0.25">
      <c r="A1156" s="1138">
        <v>1147</v>
      </c>
      <c r="B1156" s="1138" t="s">
        <v>52</v>
      </c>
      <c r="C1156" s="1037" t="s">
        <v>460</v>
      </c>
      <c r="D1156" s="958" t="s">
        <v>1012</v>
      </c>
      <c r="E1156" s="1272">
        <f>G1153</f>
        <v>0</v>
      </c>
      <c r="I1156" s="430"/>
      <c r="J1156" s="430"/>
      <c r="K1156" s="1174"/>
      <c r="L1156" s="1022"/>
      <c r="M1156" s="1175"/>
      <c r="S1156" s="504"/>
      <c r="T1156" s="504"/>
      <c r="U1156" s="504"/>
      <c r="V1156" s="504"/>
      <c r="W1156" s="504"/>
      <c r="X1156" s="504"/>
      <c r="Y1156" s="504"/>
      <c r="Z1156" s="504"/>
      <c r="AA1156" s="504"/>
      <c r="AB1156" s="504"/>
      <c r="AC1156" s="322"/>
      <c r="AD1156" s="322"/>
      <c r="AE1156" s="322"/>
    </row>
    <row r="1157" spans="1:31" x14ac:dyDescent="0.25">
      <c r="A1157" s="1138">
        <v>1148</v>
      </c>
      <c r="B1157" s="1138" t="s">
        <v>52</v>
      </c>
      <c r="C1157" s="1037" t="s">
        <v>460</v>
      </c>
      <c r="D1157" s="924" t="s">
        <v>77</v>
      </c>
      <c r="E1157" s="1273">
        <f>LE04_14</f>
        <v>0</v>
      </c>
      <c r="I1157" s="430"/>
      <c r="J1157" s="430"/>
      <c r="K1157" s="1174"/>
      <c r="L1157" s="1022"/>
      <c r="M1157" s="1175"/>
      <c r="S1157" s="504"/>
      <c r="T1157" s="504"/>
      <c r="U1157" s="504"/>
      <c r="V1157" s="504"/>
      <c r="W1157" s="504"/>
      <c r="X1157" s="504"/>
      <c r="Y1157" s="504"/>
      <c r="Z1157" s="504"/>
      <c r="AA1157" s="504"/>
      <c r="AB1157" s="504"/>
      <c r="AC1157" s="322"/>
      <c r="AD1157" s="322"/>
      <c r="AE1157" s="322"/>
    </row>
    <row r="1158" spans="1:31" x14ac:dyDescent="0.25">
      <c r="A1158" s="1138">
        <v>1149</v>
      </c>
      <c r="B1158" s="1138" t="s">
        <v>52</v>
      </c>
      <c r="C1158" s="1037" t="s">
        <v>460</v>
      </c>
      <c r="D1158" s="926" t="s">
        <v>1005</v>
      </c>
      <c r="E1158" s="1272" t="s">
        <v>14</v>
      </c>
      <c r="I1158" s="430"/>
      <c r="J1158" s="430"/>
      <c r="K1158" s="1174"/>
      <c r="L1158" s="1022"/>
      <c r="M1158" s="1175"/>
      <c r="S1158" s="504"/>
      <c r="T1158" s="504"/>
      <c r="U1158" s="504"/>
      <c r="V1158" s="504"/>
      <c r="W1158" s="504"/>
      <c r="X1158" s="504"/>
      <c r="Y1158" s="504"/>
      <c r="Z1158" s="504"/>
      <c r="AA1158" s="504"/>
      <c r="AB1158" s="504"/>
      <c r="AC1158" s="322"/>
      <c r="AD1158" s="322"/>
      <c r="AE1158" s="322"/>
    </row>
    <row r="1159" spans="1:31" x14ac:dyDescent="0.25">
      <c r="A1159" s="1138">
        <v>1150</v>
      </c>
      <c r="B1159" s="1138" t="s">
        <v>52</v>
      </c>
      <c r="C1159" s="1037" t="s">
        <v>460</v>
      </c>
      <c r="D1159" s="923" t="s">
        <v>46</v>
      </c>
      <c r="E1159" s="1290" t="s">
        <v>14</v>
      </c>
      <c r="I1159" s="430"/>
      <c r="J1159" s="430"/>
      <c r="K1159" s="1174"/>
      <c r="L1159" s="1022"/>
      <c r="M1159" s="1175"/>
      <c r="S1159" s="504"/>
      <c r="T1159" s="504"/>
      <c r="U1159" s="504"/>
      <c r="V1159" s="504"/>
      <c r="W1159" s="504"/>
      <c r="X1159" s="504"/>
      <c r="Y1159" s="504"/>
      <c r="Z1159" s="504"/>
      <c r="AA1159" s="504"/>
      <c r="AB1159" s="504"/>
      <c r="AC1159" s="322"/>
      <c r="AD1159" s="322"/>
      <c r="AE1159" s="322"/>
    </row>
    <row r="1160" spans="1:31" x14ac:dyDescent="0.25">
      <c r="A1160" s="1138">
        <v>1151</v>
      </c>
      <c r="B1160" s="1138" t="s">
        <v>52</v>
      </c>
      <c r="C1160" s="1037" t="s">
        <v>460</v>
      </c>
      <c r="I1160" s="430"/>
      <c r="J1160" s="430"/>
      <c r="K1160" s="1174"/>
      <c r="L1160" s="1022"/>
      <c r="M1160" s="1175"/>
      <c r="S1160" s="504"/>
      <c r="T1160" s="504"/>
      <c r="U1160" s="504"/>
      <c r="V1160" s="504"/>
      <c r="W1160" s="504"/>
      <c r="X1160" s="504"/>
      <c r="Y1160" s="504"/>
      <c r="Z1160" s="504"/>
      <c r="AA1160" s="504"/>
      <c r="AB1160" s="504"/>
      <c r="AC1160" s="322"/>
      <c r="AD1160" s="322"/>
      <c r="AE1160" s="322"/>
    </row>
    <row r="1161" spans="1:31" x14ac:dyDescent="0.25">
      <c r="A1161" s="1138">
        <v>1152</v>
      </c>
      <c r="B1161" s="1138" t="s">
        <v>52</v>
      </c>
      <c r="C1161" s="1037" t="s">
        <v>460</v>
      </c>
      <c r="D1161" s="920" t="s">
        <v>1004</v>
      </c>
      <c r="E1161" s="920" t="s">
        <v>1003</v>
      </c>
      <c r="F1161" s="920" t="str">
        <f>HLOOKUP(C1161,'Assessment References'!$H$512:$BG$513,2,FALSE)</f>
        <v/>
      </c>
      <c r="G1161" s="919"/>
      <c r="H1161" s="918"/>
      <c r="I1161" s="430"/>
      <c r="J1161" s="430"/>
      <c r="K1161" s="1174"/>
      <c r="L1161" s="1022"/>
      <c r="M1161" s="1175"/>
      <c r="S1161" s="504"/>
      <c r="T1161" s="504"/>
      <c r="U1161" s="504"/>
      <c r="V1161" s="504"/>
      <c r="W1161" s="504"/>
      <c r="X1161" s="504"/>
      <c r="Y1161" s="504"/>
      <c r="Z1161" s="504"/>
      <c r="AA1161" s="504"/>
      <c r="AB1161" s="504"/>
      <c r="AC1161" s="322"/>
      <c r="AD1161" s="322"/>
      <c r="AE1161" s="322"/>
    </row>
    <row r="1162" spans="1:31" x14ac:dyDescent="0.25">
      <c r="A1162" s="1138">
        <v>1153</v>
      </c>
      <c r="B1162" s="1138" t="s">
        <v>52</v>
      </c>
      <c r="C1162" s="1037" t="s">
        <v>460</v>
      </c>
      <c r="D1162" s="1539"/>
      <c r="E1162" s="1540"/>
      <c r="F1162" s="1540"/>
      <c r="G1162" s="1540"/>
      <c r="H1162" s="1541"/>
      <c r="I1162" s="430"/>
      <c r="J1162" s="430"/>
      <c r="K1162" s="1174"/>
      <c r="L1162" s="1022"/>
      <c r="M1162" s="1175"/>
      <c r="S1162" s="504"/>
      <c r="T1162" s="504"/>
      <c r="U1162" s="504"/>
      <c r="V1162" s="504"/>
      <c r="W1162" s="504"/>
      <c r="X1162" s="504"/>
      <c r="Y1162" s="504"/>
      <c r="Z1162" s="504"/>
      <c r="AA1162" s="504"/>
      <c r="AB1162" s="504"/>
      <c r="AC1162" s="322"/>
      <c r="AD1162" s="322"/>
      <c r="AE1162" s="322"/>
    </row>
    <row r="1163" spans="1:31" x14ac:dyDescent="0.25">
      <c r="A1163" s="1138">
        <v>1154</v>
      </c>
      <c r="B1163" s="1138" t="s">
        <v>52</v>
      </c>
      <c r="C1163" s="1037" t="s">
        <v>460</v>
      </c>
      <c r="D1163" s="1530"/>
      <c r="E1163" s="1531"/>
      <c r="F1163" s="1531"/>
      <c r="G1163" s="1531"/>
      <c r="H1163" s="1532"/>
      <c r="I1163" s="430"/>
      <c r="J1163" s="430"/>
      <c r="K1163" s="1174"/>
      <c r="L1163" s="1022"/>
      <c r="M1163" s="1175"/>
      <c r="S1163" s="504"/>
      <c r="T1163" s="504"/>
      <c r="U1163" s="504"/>
      <c r="V1163" s="504"/>
      <c r="W1163" s="504"/>
      <c r="X1163" s="504"/>
      <c r="Y1163" s="504"/>
      <c r="Z1163" s="504"/>
      <c r="AA1163" s="504"/>
      <c r="AB1163" s="504"/>
      <c r="AC1163" s="322"/>
      <c r="AD1163" s="322"/>
      <c r="AE1163" s="322"/>
    </row>
    <row r="1164" spans="1:31" x14ac:dyDescent="0.25">
      <c r="A1164" s="1138">
        <v>1155</v>
      </c>
      <c r="B1164" s="1138" t="s">
        <v>52</v>
      </c>
      <c r="C1164" s="1037" t="s">
        <v>460</v>
      </c>
      <c r="D1164" s="1530"/>
      <c r="E1164" s="1531"/>
      <c r="F1164" s="1531"/>
      <c r="G1164" s="1531"/>
      <c r="H1164" s="1532"/>
      <c r="I1164" s="430"/>
      <c r="J1164" s="430"/>
      <c r="K1164" s="1174"/>
      <c r="L1164" s="1022"/>
      <c r="M1164" s="1175"/>
      <c r="S1164" s="504"/>
      <c r="T1164" s="504"/>
      <c r="U1164" s="504"/>
      <c r="V1164" s="504"/>
      <c r="W1164" s="504"/>
      <c r="X1164" s="504"/>
      <c r="Y1164" s="504"/>
      <c r="Z1164" s="504"/>
      <c r="AA1164" s="504"/>
      <c r="AB1164" s="504"/>
      <c r="AC1164" s="322"/>
      <c r="AD1164" s="322"/>
      <c r="AE1164" s="322"/>
    </row>
    <row r="1165" spans="1:31" x14ac:dyDescent="0.25">
      <c r="A1165" s="1138">
        <v>1156</v>
      </c>
      <c r="B1165" s="1138" t="s">
        <v>52</v>
      </c>
      <c r="C1165" s="1037" t="s">
        <v>460</v>
      </c>
      <c r="D1165" s="1533"/>
      <c r="E1165" s="1534"/>
      <c r="F1165" s="1534"/>
      <c r="G1165" s="1534"/>
      <c r="H1165" s="1535"/>
      <c r="I1165" s="430"/>
      <c r="J1165" s="430"/>
      <c r="K1165" s="1174"/>
      <c r="L1165" s="1022"/>
      <c r="M1165" s="1175"/>
      <c r="S1165" s="504"/>
      <c r="T1165" s="504"/>
      <c r="U1165" s="504"/>
      <c r="V1165" s="504"/>
      <c r="W1165" s="504"/>
      <c r="X1165" s="504"/>
      <c r="Y1165" s="504"/>
      <c r="Z1165" s="504"/>
      <c r="AA1165" s="504"/>
      <c r="AB1165" s="504"/>
      <c r="AC1165" s="322"/>
      <c r="AD1165" s="322"/>
      <c r="AE1165" s="322"/>
    </row>
    <row r="1166" spans="1:31" x14ac:dyDescent="0.25">
      <c r="A1166" s="1138">
        <v>1157</v>
      </c>
      <c r="B1166" s="1138" t="s">
        <v>52</v>
      </c>
      <c r="C1166" s="1037" t="s">
        <v>460</v>
      </c>
      <c r="D1166" s="1533"/>
      <c r="E1166" s="1534"/>
      <c r="F1166" s="1534"/>
      <c r="G1166" s="1534"/>
      <c r="H1166" s="1535"/>
      <c r="I1166" s="430"/>
      <c r="J1166" s="430"/>
      <c r="K1166" s="1174"/>
      <c r="L1166" s="1022"/>
      <c r="M1166" s="1175"/>
      <c r="S1166" s="504"/>
      <c r="T1166" s="504"/>
      <c r="U1166" s="504"/>
      <c r="V1166" s="504"/>
      <c r="W1166" s="504"/>
      <c r="X1166" s="504"/>
      <c r="Y1166" s="504"/>
      <c r="Z1166" s="504"/>
      <c r="AA1166" s="504"/>
      <c r="AB1166" s="504"/>
      <c r="AC1166" s="322"/>
      <c r="AD1166" s="322"/>
      <c r="AE1166" s="322"/>
    </row>
    <row r="1167" spans="1:31" x14ac:dyDescent="0.25">
      <c r="A1167" s="1138">
        <v>1158</v>
      </c>
      <c r="B1167" s="1138" t="s">
        <v>52</v>
      </c>
      <c r="C1167" s="1037" t="s">
        <v>460</v>
      </c>
      <c r="D1167" s="1536"/>
      <c r="E1167" s="1537"/>
      <c r="F1167" s="1537"/>
      <c r="G1167" s="1537"/>
      <c r="H1167" s="1538"/>
      <c r="I1167" s="430"/>
      <c r="J1167" s="430"/>
      <c r="K1167" s="1174"/>
      <c r="L1167" s="1022"/>
      <c r="M1167" s="1175"/>
      <c r="S1167" s="504"/>
      <c r="T1167" s="504"/>
      <c r="U1167" s="504"/>
      <c r="V1167" s="504"/>
      <c r="W1167" s="504"/>
      <c r="X1167" s="504"/>
      <c r="Y1167" s="504"/>
      <c r="Z1167" s="504"/>
      <c r="AA1167" s="504"/>
      <c r="AB1167" s="504"/>
      <c r="AC1167" s="322"/>
      <c r="AD1167" s="322"/>
      <c r="AE1167" s="322"/>
    </row>
    <row r="1168" spans="1:31" x14ac:dyDescent="0.25">
      <c r="A1168" s="1138">
        <v>1159</v>
      </c>
      <c r="B1168" s="1138" t="s">
        <v>52</v>
      </c>
      <c r="C1168" s="1037" t="s">
        <v>460</v>
      </c>
      <c r="D1168" s="985"/>
      <c r="E1168" s="985"/>
      <c r="F1168" s="984"/>
      <c r="G1168" s="984"/>
      <c r="H1168" s="984"/>
      <c r="I1168" s="430"/>
      <c r="J1168" s="430"/>
      <c r="K1168" s="1174"/>
      <c r="L1168" s="1022"/>
      <c r="M1168" s="1175"/>
      <c r="S1168" s="504"/>
      <c r="T1168" s="504"/>
      <c r="U1168" s="504"/>
      <c r="V1168" s="504"/>
      <c r="W1168" s="504"/>
      <c r="X1168" s="504"/>
      <c r="Y1168" s="504"/>
      <c r="Z1168" s="504"/>
      <c r="AA1168" s="504"/>
      <c r="AB1168" s="504"/>
      <c r="AC1168" s="322"/>
      <c r="AD1168" s="322"/>
      <c r="AE1168" s="322"/>
    </row>
    <row r="1169" spans="1:46" x14ac:dyDescent="0.25">
      <c r="A1169" s="1138">
        <v>1160</v>
      </c>
      <c r="B1169" s="1140" t="s">
        <v>52</v>
      </c>
      <c r="C1169" s="978" t="s">
        <v>461</v>
      </c>
      <c r="D1169" s="1015" t="s">
        <v>837</v>
      </c>
      <c r="E1169" s="1014"/>
      <c r="F1169" s="1014"/>
      <c r="G1169" s="1013"/>
      <c r="H1169" s="1013"/>
      <c r="I1169" s="430"/>
      <c r="J1169" s="430"/>
      <c r="K1169" s="1174"/>
      <c r="L1169" s="1022"/>
      <c r="M1169" s="1175"/>
      <c r="S1169" s="504"/>
      <c r="T1169" s="504"/>
      <c r="U1169" s="504"/>
      <c r="V1169" s="504"/>
      <c r="W1169" s="504"/>
      <c r="X1169" s="504"/>
      <c r="Y1169" s="504"/>
      <c r="Z1169" s="504"/>
      <c r="AA1169" s="504"/>
      <c r="AB1169" s="504"/>
      <c r="AC1169" s="322"/>
      <c r="AD1169" s="322"/>
      <c r="AE1169" s="322"/>
    </row>
    <row r="1170" spans="1:46" x14ac:dyDescent="0.25">
      <c r="A1170" s="1138">
        <v>1161</v>
      </c>
      <c r="B1170" s="1138" t="s">
        <v>52</v>
      </c>
      <c r="C1170" s="1037" t="s">
        <v>461</v>
      </c>
      <c r="D1170" s="946" t="s">
        <v>15</v>
      </c>
      <c r="E1170" s="1264">
        <f>LE08_credits</f>
        <v>3</v>
      </c>
      <c r="F1170" s="945"/>
      <c r="G1170" s="944" t="s">
        <v>76</v>
      </c>
      <c r="H1170" s="1266">
        <f>LE08_07</f>
        <v>2.368421052631579E-2</v>
      </c>
      <c r="I1170" s="430"/>
      <c r="J1170" s="430"/>
      <c r="K1170" s="1174"/>
      <c r="L1170" s="1022"/>
      <c r="M1170" s="1175"/>
      <c r="S1170" s="504"/>
      <c r="T1170" s="504"/>
      <c r="U1170" s="504"/>
      <c r="V1170" s="504"/>
      <c r="W1170" s="504"/>
      <c r="X1170" s="504"/>
      <c r="Y1170" s="504"/>
      <c r="Z1170" s="504"/>
      <c r="AA1170" s="504"/>
      <c r="AB1170" s="504"/>
      <c r="AC1170" s="322"/>
      <c r="AD1170" s="322"/>
      <c r="AE1170" s="322"/>
    </row>
    <row r="1171" spans="1:46" x14ac:dyDescent="0.25">
      <c r="A1171" s="1138">
        <v>1162</v>
      </c>
      <c r="B1171" s="1138" t="s">
        <v>52</v>
      </c>
      <c r="C1171" s="1037" t="s">
        <v>461</v>
      </c>
      <c r="D1171" s="972" t="s">
        <v>1011</v>
      </c>
      <c r="E1171" s="1265">
        <f>Inn14_credits</f>
        <v>1</v>
      </c>
      <c r="F1171" s="941"/>
      <c r="G1171" s="940" t="s">
        <v>1010</v>
      </c>
      <c r="H1171" s="1267" t="s">
        <v>13</v>
      </c>
      <c r="I1171" s="430"/>
      <c r="J1171" s="430"/>
      <c r="K1171" s="1174"/>
      <c r="L1171" s="1022"/>
      <c r="M1171" s="1175"/>
      <c r="S1171" s="504"/>
      <c r="T1171" s="504"/>
      <c r="U1171" s="504"/>
      <c r="V1171" s="504"/>
      <c r="W1171" s="504"/>
      <c r="X1171" s="504"/>
      <c r="Y1171" s="504"/>
      <c r="Z1171" s="504"/>
      <c r="AA1171" s="504"/>
      <c r="AB1171" s="504"/>
      <c r="AC1171" s="322"/>
      <c r="AD1171" s="322"/>
      <c r="AE1171" s="322"/>
    </row>
    <row r="1172" spans="1:46" x14ac:dyDescent="0.25">
      <c r="A1172" s="1138">
        <v>1163</v>
      </c>
      <c r="B1172" s="1138" t="s">
        <v>52</v>
      </c>
      <c r="C1172" s="1037" t="s">
        <v>461</v>
      </c>
      <c r="I1172" s="430"/>
      <c r="J1172" s="430"/>
      <c r="K1172" s="1174"/>
      <c r="L1172" s="1022"/>
      <c r="M1172" s="1175"/>
      <c r="S1172" s="504"/>
      <c r="T1172" s="504"/>
      <c r="U1172" s="504"/>
      <c r="V1172" s="504"/>
      <c r="W1172" s="504"/>
      <c r="X1172" s="504"/>
      <c r="Y1172" s="504"/>
      <c r="Z1172" s="504"/>
      <c r="AA1172" s="504"/>
      <c r="AB1172" s="504"/>
      <c r="AC1172" s="322"/>
      <c r="AD1172" s="322"/>
      <c r="AE1172" s="322"/>
    </row>
    <row r="1173" spans="1:46" ht="15.75" thickBot="1" x14ac:dyDescent="0.3">
      <c r="A1173" s="1138">
        <v>1164</v>
      </c>
      <c r="B1173" s="1138" t="s">
        <v>52</v>
      </c>
      <c r="C1173" s="1037" t="s">
        <v>461</v>
      </c>
      <c r="D1173" s="938" t="s">
        <v>1799</v>
      </c>
      <c r="E1173" s="937" t="s">
        <v>1008</v>
      </c>
      <c r="I1173" s="430"/>
      <c r="J1173" s="430"/>
      <c r="K1173" s="1174"/>
      <c r="L1173" s="1022"/>
      <c r="M1173" s="1175"/>
      <c r="S1173" s="504"/>
      <c r="T1173" s="504"/>
      <c r="U1173" s="504"/>
      <c r="V1173" s="504"/>
      <c r="W1173" s="504"/>
      <c r="X1173" s="504"/>
      <c r="Y1173" s="504"/>
      <c r="Z1173" s="504"/>
      <c r="AA1173" s="504"/>
      <c r="AB1173" s="504"/>
      <c r="AC1173" s="322"/>
      <c r="AD1173" s="322"/>
      <c r="AE1173" s="322"/>
    </row>
    <row r="1174" spans="1:46" x14ac:dyDescent="0.25">
      <c r="A1174" s="1138">
        <v>1165</v>
      </c>
      <c r="B1174" s="1138" t="s">
        <v>52</v>
      </c>
      <c r="C1174" s="1037" t="s">
        <v>461</v>
      </c>
      <c r="D1174" s="1168" t="s">
        <v>1543</v>
      </c>
      <c r="E1174" s="1268" t="s">
        <v>316</v>
      </c>
      <c r="F1174" s="994" t="str">
        <f>IF(OR(E1174=AIS_No,E1174=AIS_PS),"Pre-requisite: Please select yes","")</f>
        <v>Pre-requisite: Please select yes</v>
      </c>
      <c r="I1174" s="430"/>
      <c r="J1174" s="430"/>
      <c r="K1174" s="1174"/>
      <c r="L1174" s="1022"/>
      <c r="M1174" s="1175"/>
      <c r="S1174" s="504"/>
      <c r="T1174" s="504"/>
      <c r="U1174" s="504"/>
      <c r="V1174" s="504"/>
      <c r="W1174" s="504"/>
      <c r="X1174" s="504"/>
      <c r="Y1174" s="504"/>
      <c r="Z1174" s="504"/>
      <c r="AA1174" s="504"/>
      <c r="AB1174" s="504"/>
      <c r="AC1174" s="322"/>
      <c r="AD1174" s="322"/>
      <c r="AE1174" s="322"/>
      <c r="AT1174" s="1137" t="str">
        <f>IF(AND(F1174="",F1175=""),AD_Yes,AD_no)</f>
        <v>No</v>
      </c>
    </row>
    <row r="1175" spans="1:46" x14ac:dyDescent="0.25">
      <c r="A1175" s="1138">
        <v>1166</v>
      </c>
      <c r="B1175" s="1138" t="s">
        <v>52</v>
      </c>
      <c r="C1175" s="1037" t="s">
        <v>461</v>
      </c>
      <c r="D1175" s="1296" t="s">
        <v>1545</v>
      </c>
      <c r="E1175" s="1303" t="s">
        <v>316</v>
      </c>
      <c r="F1175" s="994" t="str">
        <f>IF(OR(E1175=AIS_No,E1175=AIS_PS),"Pre-requisite: Please select yes","")</f>
        <v>Pre-requisite: Please select yes</v>
      </c>
      <c r="I1175" s="430"/>
      <c r="J1175" s="430"/>
      <c r="K1175" s="1174"/>
      <c r="L1175" s="1022"/>
      <c r="M1175" s="1175"/>
      <c r="S1175" s="504"/>
      <c r="T1175" s="504"/>
      <c r="U1175" s="504"/>
      <c r="V1175" s="504"/>
      <c r="W1175" s="504"/>
      <c r="X1175" s="504"/>
      <c r="Y1175" s="504"/>
      <c r="Z1175" s="504"/>
      <c r="AA1175" s="504"/>
      <c r="AB1175" s="504"/>
      <c r="AC1175" s="322"/>
      <c r="AD1175" s="322"/>
      <c r="AE1175" s="322"/>
    </row>
    <row r="1176" spans="1:46" ht="32.25" customHeight="1" thickBot="1" x14ac:dyDescent="0.3">
      <c r="A1176" s="1138">
        <v>1167</v>
      </c>
      <c r="B1176" s="1138" t="s">
        <v>52</v>
      </c>
      <c r="C1176" s="1037" t="s">
        <v>461</v>
      </c>
      <c r="D1176" s="1419" t="s">
        <v>1544</v>
      </c>
      <c r="E1176" s="1325" t="s">
        <v>316</v>
      </c>
      <c r="I1176" s="430"/>
      <c r="J1176" s="430"/>
      <c r="K1176" s="1174" t="str">
        <f>IF(AND(E1174=AIS_Yes,E1175=AIS_Yes,E1176=AIS_Yes),AIS_Yes,AIS_No)</f>
        <v>No</v>
      </c>
      <c r="L1176" s="1022"/>
      <c r="M1176" s="1175"/>
      <c r="S1176" s="504"/>
      <c r="T1176" s="504"/>
      <c r="U1176" s="504"/>
      <c r="V1176" s="504"/>
      <c r="W1176" s="504"/>
      <c r="X1176" s="504"/>
      <c r="Y1176" s="504"/>
      <c r="Z1176" s="504"/>
      <c r="AA1176" s="504"/>
      <c r="AB1176" s="504"/>
      <c r="AC1176" s="322"/>
      <c r="AD1176" s="322"/>
      <c r="AE1176" s="322"/>
    </row>
    <row r="1177" spans="1:46" x14ac:dyDescent="0.25">
      <c r="A1177" s="1138">
        <v>1168</v>
      </c>
      <c r="B1177" s="1138" t="s">
        <v>52</v>
      </c>
      <c r="C1177" s="1037" t="s">
        <v>461</v>
      </c>
      <c r="I1177" s="430"/>
      <c r="J1177" s="430"/>
      <c r="K1177" s="1174"/>
      <c r="L1177" s="1022"/>
      <c r="M1177" s="1175"/>
      <c r="S1177" s="504"/>
      <c r="T1177" s="504"/>
      <c r="U1177" s="504"/>
      <c r="V1177" s="504"/>
      <c r="W1177" s="504"/>
      <c r="X1177" s="504"/>
      <c r="Y1177" s="504"/>
      <c r="Z1177" s="504"/>
      <c r="AA1177" s="504"/>
      <c r="AB1177" s="504"/>
      <c r="AC1177" s="322"/>
      <c r="AD1177" s="322"/>
      <c r="AE1177" s="322"/>
    </row>
    <row r="1178" spans="1:46" ht="15.75" thickBot="1" x14ac:dyDescent="0.3">
      <c r="A1178" s="1138">
        <v>1169</v>
      </c>
      <c r="B1178" s="1138" t="s">
        <v>52</v>
      </c>
      <c r="C1178" s="1037" t="s">
        <v>461</v>
      </c>
      <c r="D1178" s="938" t="s">
        <v>1009</v>
      </c>
      <c r="E1178" s="937" t="s">
        <v>1008</v>
      </c>
      <c r="F1178" s="937" t="s">
        <v>1007</v>
      </c>
      <c r="G1178" s="937" t="s">
        <v>1006</v>
      </c>
      <c r="H1178" s="937" t="s">
        <v>1014</v>
      </c>
      <c r="I1178" s="430"/>
      <c r="J1178" s="430"/>
      <c r="K1178" s="1174"/>
      <c r="L1178" s="1022"/>
      <c r="M1178" s="1175"/>
      <c r="S1178" s="504"/>
      <c r="T1178" s="504"/>
      <c r="U1178" s="504"/>
      <c r="V1178" s="504"/>
      <c r="W1178" s="504"/>
      <c r="X1178" s="504"/>
      <c r="Y1178" s="504"/>
      <c r="Z1178" s="504"/>
      <c r="AA1178" s="504"/>
      <c r="AB1178" s="504"/>
      <c r="AC1178" s="322"/>
      <c r="AD1178" s="322"/>
      <c r="AE1178" s="322"/>
    </row>
    <row r="1179" spans="1:46" x14ac:dyDescent="0.25">
      <c r="A1179" s="1138">
        <v>1170</v>
      </c>
      <c r="B1179" s="1138" t="s">
        <v>52</v>
      </c>
      <c r="C1179" s="1037" t="s">
        <v>461</v>
      </c>
      <c r="D1179" s="1168" t="s">
        <v>1546</v>
      </c>
      <c r="E1179" s="1268" t="s">
        <v>316</v>
      </c>
      <c r="F1179" s="1223">
        <f>Poeng!AB194</f>
        <v>1</v>
      </c>
      <c r="G1179" s="1223">
        <f>IF(E1179=AIS_Yes,F1179,0)*(IF(AND(E1174=AIS_Yes,E1175=AIS_Yes,E1176=AIS_Yes),1,0))</f>
        <v>0</v>
      </c>
      <c r="H1179" s="1223" t="s">
        <v>14</v>
      </c>
      <c r="I1179" s="430"/>
      <c r="J1179" s="430"/>
      <c r="K1179" s="1174"/>
      <c r="L1179" s="1022"/>
      <c r="M1179" s="1175"/>
      <c r="S1179" s="504"/>
      <c r="T1179" s="504"/>
      <c r="U1179" s="504"/>
      <c r="V1179" s="504"/>
      <c r="W1179" s="504"/>
      <c r="X1179" s="504"/>
      <c r="Y1179" s="504"/>
      <c r="Z1179" s="504"/>
      <c r="AA1179" s="504"/>
      <c r="AB1179" s="504"/>
      <c r="AC1179" s="322"/>
      <c r="AD1179" s="322"/>
      <c r="AE1179" s="322"/>
    </row>
    <row r="1180" spans="1:46" x14ac:dyDescent="0.25">
      <c r="A1180" s="1138">
        <v>1171</v>
      </c>
      <c r="B1180" s="1138" t="s">
        <v>52</v>
      </c>
      <c r="C1180" s="1037" t="s">
        <v>461</v>
      </c>
      <c r="D1180" s="1296" t="s">
        <v>668</v>
      </c>
      <c r="E1180" s="1303" t="s">
        <v>316</v>
      </c>
      <c r="F1180" s="1270">
        <f>Poeng!AB195</f>
        <v>1</v>
      </c>
      <c r="G1180" s="1225">
        <f>IF(E1180=AIS_Yes,F1180,0)*(IF(AND(E1174=AIS_Yes,E1175=AIS_Yes,E1176=AIS_Yes),1,0))</f>
        <v>0</v>
      </c>
      <c r="H1180" s="1224" t="s">
        <v>14</v>
      </c>
      <c r="I1180" s="430"/>
      <c r="J1180" s="430"/>
      <c r="K1180" s="1174"/>
      <c r="L1180" s="1022"/>
      <c r="M1180" s="1175"/>
      <c r="S1180" s="504"/>
      <c r="T1180" s="504"/>
      <c r="U1180" s="504"/>
      <c r="V1180" s="504"/>
      <c r="W1180" s="504"/>
      <c r="X1180" s="504"/>
      <c r="Y1180" s="504"/>
      <c r="Z1180" s="504"/>
      <c r="AA1180" s="504"/>
      <c r="AB1180" s="504"/>
      <c r="AC1180" s="322"/>
      <c r="AD1180" s="322"/>
      <c r="AE1180" s="322"/>
    </row>
    <row r="1181" spans="1:46" ht="15.75" thickBot="1" x14ac:dyDescent="0.3">
      <c r="A1181" s="1138">
        <v>1172</v>
      </c>
      <c r="B1181" s="1138" t="s">
        <v>52</v>
      </c>
      <c r="C1181" s="1037" t="s">
        <v>461</v>
      </c>
      <c r="D1181" s="1170" t="s">
        <v>669</v>
      </c>
      <c r="E1181" s="1325" t="s">
        <v>316</v>
      </c>
      <c r="F1181" s="1226">
        <f>Poeng!AB196</f>
        <v>1</v>
      </c>
      <c r="G1181" s="1227">
        <f>IF(E1181=AIS_Yes,F1181,0)*(IF(AND(E1174=AIS_Yes,E1175=AIS_Yes,E1176=AIS_Yes),1,0))</f>
        <v>0</v>
      </c>
      <c r="H1181" s="1227" t="s">
        <v>14</v>
      </c>
      <c r="J1181" s="430"/>
      <c r="K1181" s="1174"/>
      <c r="L1181" s="1022"/>
      <c r="M1181" s="1175"/>
      <c r="S1181" s="504"/>
      <c r="T1181" s="504"/>
      <c r="U1181" s="504"/>
      <c r="V1181" s="504"/>
      <c r="W1181" s="504"/>
      <c r="X1181" s="504"/>
      <c r="Y1181" s="504"/>
      <c r="Z1181" s="504"/>
      <c r="AA1181" s="504"/>
      <c r="AB1181" s="504"/>
      <c r="AC1181" s="322"/>
      <c r="AD1181" s="322"/>
      <c r="AE1181" s="322"/>
    </row>
    <row r="1182" spans="1:46" x14ac:dyDescent="0.25">
      <c r="A1182" s="1138">
        <v>1173</v>
      </c>
      <c r="B1182" s="1138" t="s">
        <v>52</v>
      </c>
      <c r="C1182" s="1037" t="s">
        <v>461</v>
      </c>
      <c r="D1182" s="960"/>
      <c r="E1182" s="1238"/>
      <c r="J1182" s="430"/>
      <c r="K1182" s="1174"/>
      <c r="L1182" s="1022"/>
      <c r="M1182" s="1175"/>
      <c r="S1182" s="504"/>
      <c r="T1182" s="504"/>
      <c r="U1182" s="504"/>
      <c r="V1182" s="504"/>
      <c r="W1182" s="504"/>
      <c r="X1182" s="504"/>
      <c r="Y1182" s="504"/>
      <c r="Z1182" s="504"/>
      <c r="AA1182" s="504"/>
      <c r="AB1182" s="504"/>
      <c r="AC1182" s="322"/>
      <c r="AD1182" s="322"/>
      <c r="AE1182" s="322"/>
    </row>
    <row r="1183" spans="1:46" ht="15.75" thickBot="1" x14ac:dyDescent="0.3">
      <c r="A1183" s="1138">
        <v>1174</v>
      </c>
      <c r="B1183" s="1138" t="s">
        <v>52</v>
      </c>
      <c r="C1183" s="1037" t="s">
        <v>461</v>
      </c>
      <c r="D1183" s="938" t="s">
        <v>1800</v>
      </c>
      <c r="E1183" s="937" t="s">
        <v>1008</v>
      </c>
      <c r="F1183" s="937" t="s">
        <v>1007</v>
      </c>
      <c r="G1183" s="937" t="s">
        <v>1006</v>
      </c>
      <c r="H1183" s="937" t="s">
        <v>1014</v>
      </c>
      <c r="J1183" s="430"/>
      <c r="K1183" s="1174"/>
      <c r="L1183" s="1022"/>
      <c r="M1183" s="1175"/>
      <c r="S1183" s="504"/>
      <c r="T1183" s="504"/>
      <c r="U1183" s="504"/>
      <c r="V1183" s="504"/>
      <c r="W1183" s="504"/>
      <c r="X1183" s="504"/>
      <c r="Y1183" s="504"/>
      <c r="Z1183" s="504"/>
      <c r="AA1183" s="504"/>
      <c r="AB1183" s="504"/>
      <c r="AC1183" s="322"/>
      <c r="AD1183" s="322"/>
      <c r="AE1183" s="322"/>
    </row>
    <row r="1184" spans="1:46" ht="15.75" thickBot="1" x14ac:dyDescent="0.3">
      <c r="A1184" s="1138">
        <v>1175</v>
      </c>
      <c r="B1184" s="1138" t="s">
        <v>52</v>
      </c>
      <c r="C1184" s="1037" t="s">
        <v>461</v>
      </c>
      <c r="D1184" s="1239" t="s">
        <v>1547</v>
      </c>
      <c r="E1184" s="1240" t="s">
        <v>316</v>
      </c>
      <c r="F1184" s="1228">
        <f>Inn14_credits</f>
        <v>1</v>
      </c>
      <c r="G1184" s="1228">
        <f>IF(E1184=AIS_Yes,F1184,0)*(IF(AND(G1179&gt;0,G1180&gt;0),1,0))</f>
        <v>0</v>
      </c>
      <c r="H1184" s="1228" t="s">
        <v>14</v>
      </c>
      <c r="J1184" s="430"/>
      <c r="K1184" s="1174"/>
      <c r="L1184" s="1022"/>
      <c r="M1184" s="1175"/>
      <c r="S1184" s="504"/>
      <c r="T1184" s="504"/>
      <c r="U1184" s="504"/>
      <c r="V1184" s="504"/>
      <c r="W1184" s="504"/>
      <c r="X1184" s="504"/>
      <c r="Y1184" s="504"/>
      <c r="Z1184" s="504"/>
      <c r="AA1184" s="504"/>
      <c r="AB1184" s="504"/>
      <c r="AC1184" s="322"/>
      <c r="AD1184" s="322"/>
      <c r="AE1184" s="322"/>
    </row>
    <row r="1185" spans="1:31" x14ac:dyDescent="0.25">
      <c r="A1185" s="1138">
        <v>1176</v>
      </c>
      <c r="B1185" s="1138" t="s">
        <v>52</v>
      </c>
      <c r="C1185" s="1037" t="s">
        <v>461</v>
      </c>
      <c r="D1185" s="960"/>
      <c r="E1185" s="1238"/>
      <c r="I1185" s="430"/>
      <c r="J1185" s="430"/>
      <c r="K1185" s="1174"/>
      <c r="L1185" s="1022"/>
      <c r="M1185" s="1175"/>
      <c r="S1185" s="504"/>
      <c r="T1185" s="504"/>
      <c r="U1185" s="504"/>
      <c r="V1185" s="504"/>
      <c r="W1185" s="504"/>
      <c r="X1185" s="504"/>
      <c r="Y1185" s="504"/>
      <c r="Z1185" s="504"/>
      <c r="AA1185" s="504"/>
      <c r="AB1185" s="504"/>
      <c r="AC1185" s="322"/>
      <c r="AD1185" s="322"/>
      <c r="AE1185" s="322"/>
    </row>
    <row r="1186" spans="1:31" ht="15.75" thickBot="1" x14ac:dyDescent="0.3">
      <c r="A1186" s="1138">
        <v>1177</v>
      </c>
      <c r="B1186" s="1138" t="s">
        <v>52</v>
      </c>
      <c r="C1186" s="1037" t="s">
        <v>461</v>
      </c>
      <c r="D1186" s="938" t="s">
        <v>1572</v>
      </c>
      <c r="E1186" s="937"/>
      <c r="F1186" s="1332"/>
      <c r="I1186" s="430"/>
      <c r="J1186" s="430"/>
      <c r="K1186" s="1174"/>
      <c r="L1186" s="1022"/>
      <c r="M1186" s="1175"/>
      <c r="S1186" s="504"/>
      <c r="T1186" s="504"/>
      <c r="U1186" s="504"/>
      <c r="V1186" s="504"/>
      <c r="W1186" s="504"/>
      <c r="X1186" s="504"/>
      <c r="Y1186" s="504"/>
      <c r="Z1186" s="504"/>
      <c r="AA1186" s="504"/>
      <c r="AB1186" s="504"/>
      <c r="AC1186" s="322"/>
      <c r="AD1186" s="322"/>
      <c r="AE1186" s="322"/>
    </row>
    <row r="1187" spans="1:31" x14ac:dyDescent="0.25">
      <c r="A1187" s="1138">
        <v>1178</v>
      </c>
      <c r="B1187" s="1138" t="s">
        <v>52</v>
      </c>
      <c r="C1187" s="1037" t="s">
        <v>461</v>
      </c>
      <c r="D1187" s="1168" t="s">
        <v>1839</v>
      </c>
      <c r="E1187" s="1323"/>
      <c r="F1187" s="1332" t="s">
        <v>1694</v>
      </c>
      <c r="I1187" s="430"/>
      <c r="J1187" s="430"/>
      <c r="K1187" s="1174"/>
      <c r="L1187" s="1022"/>
      <c r="M1187" s="1175"/>
      <c r="S1187" s="504"/>
      <c r="T1187" s="504"/>
      <c r="U1187" s="504"/>
      <c r="V1187" s="504"/>
      <c r="W1187" s="504"/>
      <c r="X1187" s="504"/>
      <c r="Y1187" s="504"/>
      <c r="Z1187" s="504"/>
      <c r="AA1187" s="504"/>
      <c r="AB1187" s="504"/>
      <c r="AC1187" s="322"/>
      <c r="AD1187" s="322"/>
      <c r="AE1187" s="322"/>
    </row>
    <row r="1188" spans="1:31" x14ac:dyDescent="0.25">
      <c r="A1188" s="1138">
        <v>1179</v>
      </c>
      <c r="B1188" s="1138" t="s">
        <v>52</v>
      </c>
      <c r="C1188" s="1037" t="s">
        <v>461</v>
      </c>
      <c r="D1188" s="1293" t="s">
        <v>1840</v>
      </c>
      <c r="E1188" s="1324"/>
      <c r="F1188" s="1332" t="s">
        <v>1694</v>
      </c>
      <c r="I1188" s="430"/>
      <c r="J1188" s="430"/>
      <c r="K1188" s="1174"/>
      <c r="L1188" s="1022"/>
      <c r="M1188" s="1175"/>
      <c r="S1188" s="504"/>
      <c r="T1188" s="504"/>
      <c r="U1188" s="504"/>
      <c r="V1188" s="504"/>
      <c r="W1188" s="504"/>
      <c r="X1188" s="504"/>
      <c r="Y1188" s="504"/>
      <c r="Z1188" s="504"/>
      <c r="AA1188" s="504"/>
      <c r="AB1188" s="504"/>
      <c r="AC1188" s="322"/>
      <c r="AD1188" s="322"/>
      <c r="AE1188" s="322"/>
    </row>
    <row r="1189" spans="1:31" x14ac:dyDescent="0.25">
      <c r="A1189" s="1138">
        <v>1180</v>
      </c>
      <c r="B1189" s="1138" t="s">
        <v>52</v>
      </c>
      <c r="C1189" s="1037" t="s">
        <v>461</v>
      </c>
      <c r="D1189" s="1293" t="s">
        <v>1841</v>
      </c>
      <c r="E1189" s="1324"/>
      <c r="F1189" s="1332" t="s">
        <v>1694</v>
      </c>
      <c r="I1189" s="430"/>
      <c r="J1189" s="430"/>
      <c r="K1189" s="1174"/>
      <c r="L1189" s="1022"/>
      <c r="M1189" s="1175"/>
      <c r="S1189" s="504"/>
      <c r="T1189" s="504"/>
      <c r="U1189" s="504"/>
      <c r="V1189" s="504"/>
      <c r="W1189" s="504"/>
      <c r="X1189" s="504"/>
      <c r="Y1189" s="504"/>
      <c r="Z1189" s="504"/>
      <c r="AA1189" s="504"/>
      <c r="AB1189" s="504"/>
      <c r="AC1189" s="322"/>
      <c r="AD1189" s="322"/>
      <c r="AE1189" s="322"/>
    </row>
    <row r="1190" spans="1:31" x14ac:dyDescent="0.25">
      <c r="A1190" s="1138">
        <v>1181</v>
      </c>
      <c r="B1190" s="1138" t="s">
        <v>52</v>
      </c>
      <c r="C1190" s="1037" t="s">
        <v>461</v>
      </c>
      <c r="D1190" s="1293" t="s">
        <v>1911</v>
      </c>
      <c r="E1190" s="1335" t="s">
        <v>316</v>
      </c>
      <c r="F1190" s="1332"/>
      <c r="I1190" s="430"/>
      <c r="J1190" s="430"/>
      <c r="K1190" s="1174"/>
      <c r="L1190" s="1022"/>
      <c r="M1190" s="1175"/>
      <c r="S1190" s="504"/>
      <c r="T1190" s="504"/>
      <c r="U1190" s="504"/>
      <c r="V1190" s="504"/>
      <c r="W1190" s="504"/>
      <c r="X1190" s="504"/>
      <c r="Y1190" s="504"/>
      <c r="Z1190" s="504"/>
      <c r="AA1190" s="504"/>
      <c r="AB1190" s="504"/>
      <c r="AC1190" s="322"/>
      <c r="AD1190" s="322"/>
      <c r="AE1190" s="322"/>
    </row>
    <row r="1191" spans="1:31" x14ac:dyDescent="0.25">
      <c r="A1191" s="1138">
        <v>1182</v>
      </c>
      <c r="B1191" s="1138" t="s">
        <v>52</v>
      </c>
      <c r="C1191" s="1037" t="s">
        <v>461</v>
      </c>
      <c r="D1191" s="1293" t="s">
        <v>1912</v>
      </c>
      <c r="E1191" s="1335" t="s">
        <v>316</v>
      </c>
      <c r="F1191" s="1332"/>
      <c r="I1191" s="430"/>
      <c r="J1191" s="430"/>
      <c r="K1191" s="1174"/>
      <c r="L1191" s="1022"/>
      <c r="M1191" s="1175"/>
      <c r="S1191" s="504"/>
      <c r="T1191" s="504"/>
      <c r="U1191" s="504"/>
      <c r="V1191" s="504"/>
      <c r="W1191" s="504"/>
      <c r="X1191" s="504"/>
      <c r="Y1191" s="504"/>
      <c r="Z1191" s="504"/>
      <c r="AA1191" s="504"/>
      <c r="AB1191" s="504"/>
      <c r="AC1191" s="322"/>
      <c r="AD1191" s="322"/>
      <c r="AE1191" s="322"/>
    </row>
    <row r="1192" spans="1:31" ht="15.75" thickBot="1" x14ac:dyDescent="0.3">
      <c r="A1192" s="1138">
        <v>1183</v>
      </c>
      <c r="B1192" s="1138" t="s">
        <v>52</v>
      </c>
      <c r="C1192" s="1037" t="s">
        <v>461</v>
      </c>
      <c r="D1192" s="1305" t="s">
        <v>1699</v>
      </c>
      <c r="E1192" s="1336" t="s">
        <v>316</v>
      </c>
      <c r="F1192" s="1332"/>
      <c r="I1192" s="430"/>
      <c r="J1192" s="430"/>
      <c r="K1192" s="1174"/>
      <c r="L1192" s="1022"/>
      <c r="M1192" s="1175"/>
      <c r="S1192" s="504"/>
      <c r="T1192" s="504"/>
      <c r="U1192" s="504"/>
      <c r="V1192" s="504"/>
      <c r="W1192" s="504"/>
      <c r="X1192" s="504"/>
      <c r="Y1192" s="504"/>
      <c r="Z1192" s="504"/>
      <c r="AA1192" s="504"/>
      <c r="AB1192" s="504"/>
      <c r="AC1192" s="322"/>
      <c r="AD1192" s="322"/>
      <c r="AE1192" s="322"/>
    </row>
    <row r="1193" spans="1:31" x14ac:dyDescent="0.25">
      <c r="A1193" s="1138">
        <v>1184</v>
      </c>
      <c r="B1193" s="1138" t="s">
        <v>52</v>
      </c>
      <c r="C1193" s="1037" t="s">
        <v>461</v>
      </c>
      <c r="D1193" s="1037"/>
      <c r="E1193" s="1037"/>
      <c r="F1193" s="1037"/>
      <c r="I1193" s="430"/>
      <c r="J1193" s="430"/>
      <c r="K1193" s="1184" t="s">
        <v>316</v>
      </c>
      <c r="L1193" s="1184" t="s">
        <v>316</v>
      </c>
      <c r="M1193" s="1175"/>
      <c r="O1193"/>
      <c r="S1193" s="504"/>
      <c r="T1193" s="504"/>
      <c r="U1193" s="504"/>
      <c r="V1193" s="504"/>
      <c r="W1193" s="504"/>
      <c r="X1193" s="504"/>
      <c r="Y1193" s="504"/>
      <c r="Z1193" s="504"/>
      <c r="AA1193" s="504"/>
      <c r="AB1193" s="504"/>
      <c r="AC1193" s="322"/>
      <c r="AD1193" s="322"/>
      <c r="AE1193" s="322"/>
    </row>
    <row r="1194" spans="1:31" x14ac:dyDescent="0.25">
      <c r="A1194" s="1138">
        <v>1185</v>
      </c>
      <c r="B1194" s="1138" t="s">
        <v>52</v>
      </c>
      <c r="C1194" s="1037" t="s">
        <v>461</v>
      </c>
      <c r="D1194" s="958" t="s">
        <v>1012</v>
      </c>
      <c r="E1194" s="1272">
        <f>G1179+G1180+G1181</f>
        <v>0</v>
      </c>
      <c r="I1194" s="430"/>
      <c r="J1194" s="430"/>
      <c r="K1194" s="1184" t="s">
        <v>1696</v>
      </c>
      <c r="L1194" s="1183" t="s">
        <v>1703</v>
      </c>
      <c r="M1194" s="1175"/>
      <c r="S1194" s="504"/>
      <c r="T1194" s="504"/>
      <c r="U1194" s="504"/>
      <c r="V1194" s="504"/>
      <c r="W1194" s="504"/>
      <c r="X1194" s="504"/>
      <c r="Y1194" s="504"/>
      <c r="Z1194" s="504"/>
      <c r="AA1194" s="504"/>
      <c r="AB1194" s="504"/>
      <c r="AC1194" s="322"/>
      <c r="AD1194" s="322"/>
      <c r="AE1194" s="322"/>
    </row>
    <row r="1195" spans="1:31" x14ac:dyDescent="0.25">
      <c r="A1195" s="1138">
        <v>1186</v>
      </c>
      <c r="B1195" s="1138" t="s">
        <v>52</v>
      </c>
      <c r="C1195" s="1037" t="s">
        <v>461</v>
      </c>
      <c r="D1195" s="924" t="s">
        <v>77</v>
      </c>
      <c r="E1195" s="1273">
        <f>LE08_cont</f>
        <v>0</v>
      </c>
      <c r="I1195" s="430"/>
      <c r="J1195" s="430"/>
      <c r="K1195" s="1184" t="s">
        <v>1697</v>
      </c>
      <c r="L1195" s="1183" t="s">
        <v>1702</v>
      </c>
      <c r="M1195" s="1175"/>
      <c r="S1195" s="504"/>
      <c r="T1195" s="504"/>
      <c r="U1195" s="504"/>
      <c r="V1195" s="504"/>
      <c r="W1195" s="504"/>
      <c r="X1195" s="504"/>
      <c r="Y1195" s="504"/>
      <c r="Z1195" s="504"/>
      <c r="AA1195" s="504"/>
      <c r="AB1195" s="504"/>
      <c r="AC1195" s="322"/>
      <c r="AD1195" s="322"/>
      <c r="AE1195" s="322"/>
    </row>
    <row r="1196" spans="1:31" x14ac:dyDescent="0.25">
      <c r="A1196" s="1138">
        <v>1187</v>
      </c>
      <c r="B1196" s="1138" t="s">
        <v>52</v>
      </c>
      <c r="C1196" s="1037" t="s">
        <v>461</v>
      </c>
      <c r="D1196" s="926" t="s">
        <v>1005</v>
      </c>
      <c r="E1196" s="1272">
        <f>G1184</f>
        <v>0</v>
      </c>
      <c r="I1196" s="430"/>
      <c r="J1196" s="430"/>
      <c r="K1196" s="1184" t="s">
        <v>1698</v>
      </c>
      <c r="L1196" s="1183" t="s">
        <v>1701</v>
      </c>
      <c r="M1196" s="1175"/>
      <c r="S1196" s="504"/>
      <c r="T1196" s="504"/>
      <c r="U1196" s="504"/>
      <c r="V1196" s="504"/>
      <c r="W1196" s="504"/>
      <c r="X1196" s="504"/>
      <c r="Y1196" s="504"/>
      <c r="Z1196" s="504"/>
      <c r="AA1196" s="504"/>
      <c r="AB1196" s="504"/>
      <c r="AC1196" s="322"/>
      <c r="AD1196" s="322"/>
      <c r="AE1196" s="322"/>
    </row>
    <row r="1197" spans="1:31" x14ac:dyDescent="0.25">
      <c r="A1197" s="1138">
        <v>1188</v>
      </c>
      <c r="B1197" s="1138" t="s">
        <v>52</v>
      </c>
      <c r="C1197" s="1037" t="s">
        <v>461</v>
      </c>
      <c r="D1197" s="923" t="s">
        <v>46</v>
      </c>
      <c r="E1197" s="1290" t="s">
        <v>14</v>
      </c>
      <c r="I1197" s="430"/>
      <c r="J1197" s="430"/>
      <c r="K1197" s="1184" t="s">
        <v>1695</v>
      </c>
      <c r="L1197" s="1183" t="s">
        <v>1700</v>
      </c>
      <c r="M1197" s="1175"/>
      <c r="S1197" s="504"/>
      <c r="T1197" s="504"/>
      <c r="U1197" s="504"/>
      <c r="V1197" s="504"/>
      <c r="W1197" s="504"/>
      <c r="X1197" s="504"/>
      <c r="Y1197" s="504"/>
      <c r="Z1197" s="504"/>
      <c r="AA1197" s="504"/>
      <c r="AB1197" s="504"/>
      <c r="AC1197" s="322"/>
      <c r="AD1197" s="322"/>
      <c r="AE1197" s="322"/>
    </row>
    <row r="1198" spans="1:31" x14ac:dyDescent="0.25">
      <c r="A1198" s="1138">
        <v>1189</v>
      </c>
      <c r="B1198" s="1138" t="s">
        <v>52</v>
      </c>
      <c r="C1198" s="1037" t="s">
        <v>461</v>
      </c>
      <c r="I1198" s="430"/>
      <c r="J1198" s="430"/>
      <c r="K1198" s="1184" t="s">
        <v>14</v>
      </c>
      <c r="L1198" s="1184" t="s">
        <v>14</v>
      </c>
      <c r="M1198" s="1175"/>
      <c r="S1198" s="504"/>
      <c r="T1198" s="504"/>
      <c r="U1198" s="504"/>
      <c r="V1198" s="504"/>
      <c r="W1198" s="504"/>
      <c r="X1198" s="504"/>
      <c r="Y1198" s="504"/>
      <c r="Z1198" s="504"/>
      <c r="AA1198" s="504"/>
      <c r="AB1198" s="504"/>
      <c r="AC1198" s="322"/>
      <c r="AD1198" s="322"/>
      <c r="AE1198" s="322"/>
    </row>
    <row r="1199" spans="1:31" x14ac:dyDescent="0.25">
      <c r="A1199" s="1138">
        <v>1190</v>
      </c>
      <c r="B1199" s="1138" t="s">
        <v>52</v>
      </c>
      <c r="C1199" s="1037" t="s">
        <v>461</v>
      </c>
      <c r="D1199" s="920" t="s">
        <v>1004</v>
      </c>
      <c r="E1199" s="920" t="s">
        <v>1003</v>
      </c>
      <c r="F1199" s="920" t="str">
        <f>HLOOKUP(C1199,'Assessment References'!$H$512:$BG$513,2,FALSE)</f>
        <v/>
      </c>
      <c r="G1199" s="919"/>
      <c r="H1199" s="918"/>
      <c r="I1199" s="430"/>
      <c r="J1199" s="430"/>
      <c r="K1199" s="1174"/>
      <c r="L1199" s="1022"/>
      <c r="M1199" s="1175"/>
      <c r="S1199" s="504"/>
      <c r="T1199" s="504"/>
      <c r="U1199" s="504"/>
      <c r="V1199" s="504"/>
      <c r="W1199" s="504"/>
      <c r="X1199" s="504"/>
      <c r="Y1199" s="504"/>
      <c r="Z1199" s="504"/>
      <c r="AA1199" s="504"/>
      <c r="AB1199" s="504"/>
      <c r="AC1199" s="322"/>
      <c r="AD1199" s="322"/>
      <c r="AE1199" s="322"/>
    </row>
    <row r="1200" spans="1:31" x14ac:dyDescent="0.25">
      <c r="A1200" s="1138">
        <v>1191</v>
      </c>
      <c r="B1200" s="1138" t="s">
        <v>52</v>
      </c>
      <c r="C1200" s="1037" t="s">
        <v>461</v>
      </c>
      <c r="D1200" s="1539"/>
      <c r="E1200" s="1540"/>
      <c r="F1200" s="1540"/>
      <c r="G1200" s="1540"/>
      <c r="H1200" s="1541"/>
      <c r="I1200" s="430"/>
      <c r="J1200" s="430"/>
      <c r="K1200" s="1174"/>
      <c r="L1200" s="1022"/>
      <c r="M1200" s="1175"/>
      <c r="S1200" s="504"/>
      <c r="T1200" s="504"/>
      <c r="U1200" s="504"/>
      <c r="V1200" s="504"/>
      <c r="W1200" s="504"/>
      <c r="X1200" s="504"/>
      <c r="Y1200" s="504"/>
      <c r="Z1200" s="504"/>
      <c r="AA1200" s="504"/>
      <c r="AB1200" s="504"/>
      <c r="AC1200" s="322"/>
      <c r="AD1200" s="322"/>
      <c r="AE1200" s="322"/>
    </row>
    <row r="1201" spans="1:38" x14ac:dyDescent="0.25">
      <c r="A1201" s="1138">
        <v>1192</v>
      </c>
      <c r="B1201" s="1138" t="s">
        <v>52</v>
      </c>
      <c r="C1201" s="1037" t="s">
        <v>461</v>
      </c>
      <c r="D1201" s="1530"/>
      <c r="E1201" s="1531"/>
      <c r="F1201" s="1531"/>
      <c r="G1201" s="1531"/>
      <c r="H1201" s="1532"/>
      <c r="I1201" s="430"/>
      <c r="J1201" s="430"/>
      <c r="K1201" s="1174"/>
      <c r="L1201" s="1022"/>
      <c r="M1201" s="1175"/>
      <c r="S1201" s="504"/>
      <c r="T1201" s="504"/>
      <c r="U1201" s="504"/>
      <c r="V1201" s="504"/>
      <c r="W1201" s="504"/>
      <c r="X1201" s="504"/>
      <c r="Y1201" s="504"/>
      <c r="Z1201" s="504"/>
      <c r="AA1201" s="504"/>
      <c r="AB1201" s="504"/>
      <c r="AC1201" s="322"/>
      <c r="AD1201" s="322"/>
      <c r="AE1201" s="322"/>
    </row>
    <row r="1202" spans="1:38" x14ac:dyDescent="0.25">
      <c r="A1202" s="1138">
        <v>1193</v>
      </c>
      <c r="B1202" s="1138" t="s">
        <v>52</v>
      </c>
      <c r="C1202" s="1037" t="s">
        <v>461</v>
      </c>
      <c r="D1202" s="1530"/>
      <c r="E1202" s="1531"/>
      <c r="F1202" s="1531"/>
      <c r="G1202" s="1531"/>
      <c r="H1202" s="1532"/>
      <c r="I1202" s="430"/>
      <c r="J1202" s="430"/>
      <c r="K1202" s="1174"/>
      <c r="L1202" s="1022"/>
      <c r="M1202" s="1175"/>
      <c r="S1202" s="504"/>
      <c r="T1202" s="504"/>
      <c r="U1202" s="504"/>
      <c r="V1202" s="504"/>
      <c r="W1202" s="504"/>
      <c r="X1202" s="504"/>
      <c r="Y1202" s="504"/>
      <c r="Z1202" s="504"/>
      <c r="AA1202" s="504"/>
      <c r="AB1202" s="504"/>
      <c r="AC1202" s="322"/>
      <c r="AD1202" s="322"/>
      <c r="AE1202" s="322"/>
    </row>
    <row r="1203" spans="1:38" x14ac:dyDescent="0.25">
      <c r="A1203" s="1138">
        <v>1194</v>
      </c>
      <c r="B1203" s="1138" t="s">
        <v>52</v>
      </c>
      <c r="C1203" s="1037" t="s">
        <v>461</v>
      </c>
      <c r="D1203" s="1533"/>
      <c r="E1203" s="1534"/>
      <c r="F1203" s="1534"/>
      <c r="G1203" s="1534"/>
      <c r="H1203" s="1535"/>
      <c r="I1203" s="430"/>
      <c r="J1203" s="430"/>
      <c r="K1203" s="1174"/>
      <c r="L1203" s="1022"/>
      <c r="M1203" s="1175"/>
      <c r="S1203" s="504"/>
      <c r="T1203" s="504"/>
      <c r="U1203" s="504"/>
      <c r="V1203" s="504"/>
      <c r="W1203" s="504"/>
      <c r="X1203" s="504"/>
      <c r="Y1203" s="504"/>
      <c r="Z1203" s="504"/>
      <c r="AA1203" s="504"/>
      <c r="AB1203" s="504"/>
      <c r="AC1203" s="322"/>
      <c r="AD1203" s="322"/>
      <c r="AE1203" s="322"/>
    </row>
    <row r="1204" spans="1:38" x14ac:dyDescent="0.25">
      <c r="A1204" s="1138">
        <v>1195</v>
      </c>
      <c r="B1204" s="1138" t="s">
        <v>52</v>
      </c>
      <c r="C1204" s="1037" t="s">
        <v>461</v>
      </c>
      <c r="D1204" s="1533"/>
      <c r="E1204" s="1534"/>
      <c r="F1204" s="1534"/>
      <c r="G1204" s="1534"/>
      <c r="H1204" s="1535"/>
      <c r="I1204" s="430"/>
      <c r="J1204" s="430"/>
      <c r="K1204" s="1174"/>
      <c r="L1204" s="1022"/>
      <c r="M1204" s="1175"/>
      <c r="S1204" s="504"/>
      <c r="T1204" s="504"/>
      <c r="U1204" s="504"/>
      <c r="V1204" s="504"/>
      <c r="W1204" s="504"/>
      <c r="X1204" s="504"/>
      <c r="Y1204" s="504"/>
      <c r="Z1204" s="504"/>
      <c r="AA1204" s="504"/>
      <c r="AB1204" s="504"/>
      <c r="AC1204" s="322"/>
      <c r="AD1204" s="322"/>
      <c r="AE1204" s="322"/>
    </row>
    <row r="1205" spans="1:38" x14ac:dyDescent="0.25">
      <c r="A1205" s="1138">
        <v>1196</v>
      </c>
      <c r="B1205" s="1138" t="s">
        <v>52</v>
      </c>
      <c r="C1205" s="1037" t="s">
        <v>461</v>
      </c>
      <c r="D1205" s="1536"/>
      <c r="E1205" s="1537"/>
      <c r="F1205" s="1537"/>
      <c r="G1205" s="1537"/>
      <c r="H1205" s="1538"/>
      <c r="I1205" s="430"/>
      <c r="J1205" s="430"/>
      <c r="K1205" s="1174"/>
      <c r="L1205" s="1022"/>
      <c r="M1205" s="1175"/>
      <c r="S1205" s="504"/>
      <c r="T1205" s="504"/>
      <c r="U1205" s="504"/>
      <c r="V1205" s="504"/>
      <c r="W1205" s="504"/>
      <c r="X1205" s="504"/>
      <c r="Y1205" s="504"/>
      <c r="Z1205" s="504"/>
      <c r="AA1205" s="504"/>
      <c r="AB1205" s="504"/>
      <c r="AC1205" s="322"/>
      <c r="AD1205" s="322"/>
      <c r="AE1205" s="322"/>
    </row>
    <row r="1206" spans="1:38" x14ac:dyDescent="0.25">
      <c r="A1206" s="1138">
        <v>1197</v>
      </c>
      <c r="B1206" s="1138" t="s">
        <v>52</v>
      </c>
      <c r="C1206" s="1037" t="s">
        <v>461</v>
      </c>
      <c r="D1206" s="985"/>
      <c r="E1206" s="985"/>
      <c r="F1206" s="984"/>
      <c r="G1206" s="984"/>
      <c r="H1206" s="984"/>
      <c r="I1206" s="430"/>
      <c r="J1206" s="430"/>
      <c r="K1206" s="1174"/>
      <c r="L1206" s="1022"/>
      <c r="M1206" s="1175"/>
      <c r="S1206" s="504"/>
      <c r="T1206" s="504"/>
      <c r="U1206" s="504"/>
      <c r="V1206" s="504"/>
      <c r="W1206" s="504"/>
      <c r="X1206" s="504"/>
      <c r="Y1206" s="504"/>
      <c r="Z1206" s="504"/>
      <c r="AA1206" s="504"/>
      <c r="AB1206" s="504"/>
      <c r="AC1206" s="322"/>
      <c r="AD1206" s="322"/>
      <c r="AE1206" s="322"/>
    </row>
    <row r="1207" spans="1:38" ht="18.75" x14ac:dyDescent="0.3">
      <c r="A1207" s="1138">
        <v>1198</v>
      </c>
      <c r="B1207" s="957" t="s">
        <v>53</v>
      </c>
      <c r="C1207" s="956"/>
      <c r="D1207" s="954"/>
      <c r="E1207" s="954"/>
      <c r="F1207" s="954"/>
      <c r="G1207" s="954"/>
      <c r="H1207" s="953"/>
      <c r="I1207" s="430"/>
      <c r="J1207" s="430"/>
      <c r="K1207" s="1174"/>
      <c r="L1207" s="1022"/>
      <c r="M1207" s="1175"/>
      <c r="S1207" s="504"/>
      <c r="T1207" s="504"/>
      <c r="U1207" s="504"/>
      <c r="V1207" s="504"/>
      <c r="W1207" s="504"/>
      <c r="X1207" s="504"/>
      <c r="Y1207" s="504"/>
      <c r="Z1207" s="504"/>
      <c r="AA1207" s="504"/>
      <c r="AB1207" s="504"/>
      <c r="AC1207" s="322"/>
      <c r="AD1207" s="322"/>
      <c r="AE1207" s="322"/>
    </row>
    <row r="1208" spans="1:38" x14ac:dyDescent="0.25">
      <c r="A1208" s="1138">
        <v>1199</v>
      </c>
      <c r="B1208" s="1138" t="s">
        <v>53</v>
      </c>
      <c r="C1208" s="917"/>
      <c r="D1208" s="985"/>
      <c r="E1208" s="985"/>
      <c r="F1208" s="984"/>
      <c r="G1208" s="984"/>
      <c r="H1208" s="984"/>
      <c r="I1208" s="430"/>
      <c r="J1208" s="430"/>
      <c r="K1208" s="1174"/>
      <c r="L1208" s="1022"/>
      <c r="M1208" s="1175"/>
      <c r="S1208" s="504"/>
      <c r="T1208" s="504"/>
      <c r="U1208" s="504"/>
      <c r="V1208" s="504"/>
      <c r="W1208" s="504"/>
      <c r="X1208" s="504"/>
      <c r="Y1208" s="504"/>
      <c r="Z1208" s="504"/>
      <c r="AA1208" s="504"/>
      <c r="AB1208" s="504"/>
      <c r="AC1208" s="322"/>
      <c r="AD1208" s="322"/>
      <c r="AE1208" s="322"/>
    </row>
    <row r="1209" spans="1:38" x14ac:dyDescent="0.25">
      <c r="A1209" s="1138">
        <v>1200</v>
      </c>
      <c r="B1209" s="1140" t="s">
        <v>53</v>
      </c>
      <c r="C1209" s="1012" t="s">
        <v>179</v>
      </c>
      <c r="D1209" s="977" t="s">
        <v>1035</v>
      </c>
      <c r="E1209" s="1011"/>
      <c r="F1209" s="1011"/>
      <c r="G1209" s="1010"/>
      <c r="H1209" s="974"/>
      <c r="I1209" s="430"/>
      <c r="J1209" s="430"/>
      <c r="K1209" s="1174" t="str" cm="1">
        <f t="array" ref="K1209">IF(Pol01_credits=AIS_credit00,AIS_statement32,"")</f>
        <v/>
      </c>
      <c r="L1209" s="1022"/>
      <c r="M1209" s="1175"/>
      <c r="S1209" s="504"/>
      <c r="T1209" s="504"/>
      <c r="U1209" s="504"/>
      <c r="V1209" s="504"/>
      <c r="W1209" s="504"/>
      <c r="X1209" s="504"/>
      <c r="Y1209" s="504"/>
      <c r="Z1209" s="504"/>
      <c r="AA1209" s="504"/>
      <c r="AB1209" s="504"/>
      <c r="AC1209" s="322"/>
      <c r="AD1209" s="322"/>
      <c r="AE1209" s="322"/>
    </row>
    <row r="1210" spans="1:38" x14ac:dyDescent="0.25">
      <c r="A1210" s="1138">
        <v>1201</v>
      </c>
      <c r="B1210" s="1138" t="s">
        <v>53</v>
      </c>
      <c r="C1210" s="1037" t="s">
        <v>179</v>
      </c>
      <c r="D1210" s="946" t="s">
        <v>15</v>
      </c>
      <c r="E1210" s="1264">
        <f>Pol01_credits</f>
        <v>3</v>
      </c>
      <c r="F1210" s="945"/>
      <c r="G1210" s="944" t="s">
        <v>76</v>
      </c>
      <c r="H1210" s="1266">
        <f>Pol01_19</f>
        <v>1.7142857142857144E-2</v>
      </c>
      <c r="I1210" s="430"/>
      <c r="J1210" s="430"/>
      <c r="K1210" s="1174"/>
      <c r="L1210" s="1022"/>
      <c r="M1210" s="1175"/>
      <c r="S1210" s="504"/>
      <c r="T1210" s="504"/>
      <c r="U1210" s="504"/>
      <c r="V1210" s="504"/>
      <c r="W1210" s="504"/>
      <c r="X1210" s="504"/>
      <c r="Y1210" s="504"/>
      <c r="Z1210" s="504"/>
      <c r="AA1210" s="504"/>
      <c r="AB1210" s="504"/>
      <c r="AC1210" s="322"/>
      <c r="AD1210" s="322"/>
      <c r="AE1210" s="322"/>
    </row>
    <row r="1211" spans="1:38" x14ac:dyDescent="0.25">
      <c r="A1211" s="1138">
        <v>1202</v>
      </c>
      <c r="B1211" s="1138" t="s">
        <v>53</v>
      </c>
      <c r="C1211" s="1037" t="s">
        <v>179</v>
      </c>
      <c r="D1211" s="972" t="s">
        <v>1011</v>
      </c>
      <c r="E1211" s="1265">
        <v>0</v>
      </c>
      <c r="F1211" s="941"/>
      <c r="G1211" s="940" t="s">
        <v>1010</v>
      </c>
      <c r="H1211" s="1267" t="s">
        <v>13</v>
      </c>
      <c r="I1211" s="430"/>
      <c r="J1211" s="430"/>
      <c r="K1211" s="1174"/>
      <c r="L1211" s="1022"/>
      <c r="M1211" s="1175"/>
      <c r="S1211" s="504"/>
      <c r="T1211" s="504"/>
      <c r="U1211" s="504"/>
      <c r="V1211" s="504"/>
      <c r="W1211" s="504"/>
      <c r="X1211" s="504"/>
      <c r="Y1211" s="504"/>
      <c r="Z1211" s="504"/>
      <c r="AA1211" s="504"/>
      <c r="AB1211" s="504"/>
      <c r="AC1211" s="322"/>
      <c r="AD1211" s="322"/>
      <c r="AE1211" s="322"/>
    </row>
    <row r="1212" spans="1:38" x14ac:dyDescent="0.25">
      <c r="A1212" s="1138">
        <v>1203</v>
      </c>
      <c r="B1212" s="1138" t="s">
        <v>53</v>
      </c>
      <c r="C1212" s="1037" t="s">
        <v>179</v>
      </c>
      <c r="I1212" s="430"/>
      <c r="J1212" s="430"/>
      <c r="K1212" s="1174"/>
      <c r="L1212" s="1022"/>
      <c r="M1212" s="1175"/>
      <c r="S1212" s="504"/>
      <c r="T1212" s="504"/>
      <c r="U1212" s="504"/>
      <c r="V1212" s="504"/>
      <c r="W1212" s="504"/>
      <c r="X1212" s="504"/>
      <c r="Y1212" s="504"/>
      <c r="Z1212" s="504"/>
      <c r="AA1212" s="504"/>
      <c r="AB1212" s="504"/>
      <c r="AC1212" s="322"/>
      <c r="AD1212" s="322"/>
      <c r="AE1212" s="322"/>
    </row>
    <row r="1213" spans="1:38" ht="15.75" thickBot="1" x14ac:dyDescent="0.3">
      <c r="A1213" s="1138">
        <v>1204</v>
      </c>
      <c r="B1213" s="1138" t="s">
        <v>53</v>
      </c>
      <c r="C1213" s="1037" t="s">
        <v>179</v>
      </c>
      <c r="D1213" s="938" t="s">
        <v>1548</v>
      </c>
      <c r="E1213" s="937" t="s">
        <v>1008</v>
      </c>
      <c r="F1213" s="937" t="s">
        <v>1007</v>
      </c>
      <c r="G1213" s="937" t="s">
        <v>1006</v>
      </c>
      <c r="H1213" s="937" t="s">
        <v>1014</v>
      </c>
      <c r="I1213" s="430"/>
      <c r="J1213" s="430"/>
      <c r="K1213" s="1174"/>
      <c r="L1213" s="1022"/>
      <c r="M1213" s="1175"/>
      <c r="S1213" s="504"/>
      <c r="T1213" s="504"/>
      <c r="U1213" s="504"/>
      <c r="V1213" s="504"/>
      <c r="W1213" s="504"/>
      <c r="X1213" s="504"/>
      <c r="Y1213" s="504"/>
      <c r="Z1213" s="504"/>
      <c r="AA1213" s="504"/>
      <c r="AB1213" s="504"/>
      <c r="AC1213" s="322"/>
      <c r="AD1213" s="322"/>
      <c r="AE1213" s="322"/>
    </row>
    <row r="1214" spans="1:38" ht="15.75" thickBot="1" x14ac:dyDescent="0.3">
      <c r="A1214" s="1138">
        <v>1205</v>
      </c>
      <c r="B1214" s="1138" t="s">
        <v>53</v>
      </c>
      <c r="C1214" s="1037" t="s">
        <v>179</v>
      </c>
      <c r="D1214" s="1239" t="s">
        <v>1549</v>
      </c>
      <c r="E1214" s="1319" t="str">
        <f>IF('Assessment Details'!F24=AIS_Yes,'Assessment Issue Scoring'!K1215,IF('Assessment Details'!F24=AIS_No,'Assessment Issue Scoring'!K1214,""))</f>
        <v/>
      </c>
      <c r="F1214" s="1228">
        <f>Poeng!AB201</f>
        <v>3</v>
      </c>
      <c r="G1214" s="1319">
        <f>IF(E1214=K1214,F1214,0)</f>
        <v>0</v>
      </c>
      <c r="H1214" s="969" t="s">
        <v>14</v>
      </c>
      <c r="I1214" s="430"/>
      <c r="J1214" s="430"/>
      <c r="K1214" s="1184" t="s">
        <v>1551</v>
      </c>
      <c r="L1214" s="1022"/>
      <c r="M1214" s="1175"/>
      <c r="S1214" s="504"/>
      <c r="T1214" s="504"/>
      <c r="U1214" s="504"/>
      <c r="V1214" s="504"/>
      <c r="W1214" s="504"/>
      <c r="X1214" s="504"/>
      <c r="Y1214" s="504"/>
      <c r="Z1214" s="504"/>
      <c r="AA1214" s="504"/>
      <c r="AB1214" s="504"/>
      <c r="AC1214" s="322"/>
      <c r="AD1214" s="322"/>
      <c r="AE1214" s="322"/>
    </row>
    <row r="1215" spans="1:38" x14ac:dyDescent="0.25">
      <c r="A1215" s="1138">
        <v>1206</v>
      </c>
      <c r="B1215" s="1138" t="s">
        <v>53</v>
      </c>
      <c r="C1215" s="1037" t="s">
        <v>179</v>
      </c>
      <c r="F1215" s="430"/>
      <c r="G1215" s="430"/>
      <c r="I1215" s="430"/>
      <c r="J1215" s="430"/>
      <c r="K1215" s="1184" t="s">
        <v>1550</v>
      </c>
      <c r="L1215" s="1022"/>
      <c r="M1215" s="1175"/>
      <c r="S1215" s="504"/>
      <c r="T1215" s="504"/>
      <c r="U1215" s="504"/>
      <c r="V1215" s="504"/>
      <c r="W1215" s="504"/>
      <c r="X1215" s="504"/>
      <c r="Y1215" s="504"/>
      <c r="Z1215" s="504"/>
      <c r="AA1215" s="504"/>
      <c r="AB1215" s="504"/>
      <c r="AC1215" s="322"/>
      <c r="AD1215" s="322"/>
      <c r="AE1215" s="322"/>
    </row>
    <row r="1216" spans="1:38" ht="15.75" thickBot="1" x14ac:dyDescent="0.3">
      <c r="A1216" s="1138">
        <v>1207</v>
      </c>
      <c r="B1216" s="1138" t="s">
        <v>53</v>
      </c>
      <c r="C1216" s="1037" t="s">
        <v>179</v>
      </c>
      <c r="D1216" s="938" t="s">
        <v>1554</v>
      </c>
      <c r="E1216" s="937" t="s">
        <v>1008</v>
      </c>
      <c r="F1216" s="430"/>
      <c r="G1216" s="430"/>
      <c r="H1216" s="1009"/>
      <c r="I1216" s="430"/>
      <c r="J1216" s="430"/>
      <c r="K1216" s="1174"/>
      <c r="L1216" s="1022"/>
      <c r="M1216" s="1175"/>
      <c r="S1216"/>
      <c r="T1216"/>
      <c r="U1216"/>
      <c r="V1216"/>
      <c r="W1216"/>
      <c r="X1216"/>
      <c r="Y1216" s="192" t="s">
        <v>1034</v>
      </c>
      <c r="Z1216"/>
      <c r="AA1216"/>
      <c r="AB1216"/>
      <c r="AC1216"/>
      <c r="AD1216"/>
      <c r="AE1216"/>
      <c r="AF1216"/>
      <c r="AG1216"/>
      <c r="AH1216"/>
      <c r="AI1216"/>
      <c r="AJ1216"/>
      <c r="AK1216"/>
      <c r="AL1216"/>
    </row>
    <row r="1217" spans="1:37" ht="15.75" thickBot="1" x14ac:dyDescent="0.3">
      <c r="A1217" s="1138">
        <v>1208</v>
      </c>
      <c r="B1217" s="1138" t="s">
        <v>53</v>
      </c>
      <c r="C1217" s="1037" t="s">
        <v>179</v>
      </c>
      <c r="D1217" s="1239" t="s">
        <v>1552</v>
      </c>
      <c r="E1217" s="1240" t="s">
        <v>316</v>
      </c>
      <c r="F1217" s="994" t="str">
        <f>IF(F1214=0,IF(OR(E1217=AIS_No,E1217=AIS_PS),"Pre-requisite: Please select yes",""),"")</f>
        <v/>
      </c>
      <c r="G1217" s="430"/>
      <c r="H1217" s="430"/>
      <c r="I1217" s="430"/>
      <c r="J1217" s="430"/>
      <c r="K1217" s="1174"/>
      <c r="L1217" s="1022"/>
      <c r="M1217" s="1175"/>
      <c r="S1217" s="846">
        <v>1</v>
      </c>
      <c r="T1217" s="846">
        <v>0.5</v>
      </c>
      <c r="U1217" s="968">
        <v>1</v>
      </c>
      <c r="V1217" s="146" t="str">
        <f>IF($X$4=AIS_Yes,S1217,AIS_NA)</f>
        <v>N/A</v>
      </c>
      <c r="W1217" s="43" t="str">
        <f>IF($X$4=AIS_Yes,T1217,AIS_NA)</f>
        <v>N/A</v>
      </c>
      <c r="X1217" s="163" t="str">
        <f>IF($X$4=AIS_Yes,U1217,AIS_NA)</f>
        <v>N/A</v>
      </c>
      <c r="Y1217" s="967" t="str">
        <f>IF(G1222&lt;&gt;0,AIS_No,IF(AND($X$4=AIS_Yes,OR(V1217&lt;&gt;AIS_NA,W1217&lt;&gt;AIS_NA,X1217&lt;&gt;AIS_NA)),AIS_Yes,AIS_No))</f>
        <v>No</v>
      </c>
      <c r="Z1217" s="146" t="e">
        <f>AIS_option01</f>
        <v>#NAME?</v>
      </c>
      <c r="AA1217" s="43" t="e">
        <f>AIS_option02_50</f>
        <v>#NAME?</v>
      </c>
      <c r="AB1217" s="147" t="e">
        <f>AIS_option03</f>
        <v>#NAME?</v>
      </c>
      <c r="AC1217" s="966"/>
      <c r="AD1217" s="965"/>
      <c r="AE1217" s="962" t="str">
        <f>IF(Y1217=AIS_Yes,Z1217,AIS_NA)</f>
        <v>N/A</v>
      </c>
      <c r="AF1217" s="962" t="str">
        <f>IF(Y1217=AIS_Yes,AA1217,AIS_NA)</f>
        <v>N/A</v>
      </c>
      <c r="AG1217" s="964" t="str">
        <f>IF(Y1217=AIS_Yes,AB1217,AIS_NA)</f>
        <v>N/A</v>
      </c>
      <c r="AH1217" s="963" t="str">
        <f>C1209</f>
        <v>POL 01</v>
      </c>
      <c r="AI1217" s="962" t="s">
        <v>1033</v>
      </c>
      <c r="AJ1217" s="961">
        <f>H1217</f>
        <v>0</v>
      </c>
      <c r="AK1217" s="375">
        <f>IF(Y1217=AIS_No,1,IF(H1217=AE1217,V1217,IF(H1217=AF1217,W1217,IF(H1217=AG1217,X1217,1))))</f>
        <v>1</v>
      </c>
    </row>
    <row r="1218" spans="1:37" x14ac:dyDescent="0.25">
      <c r="A1218" s="1138">
        <v>1209</v>
      </c>
      <c r="B1218" s="1138" t="s">
        <v>53</v>
      </c>
      <c r="C1218" s="1037" t="s">
        <v>179</v>
      </c>
      <c r="D1218" s="430"/>
      <c r="E1218" s="430"/>
      <c r="F1218" s="430"/>
      <c r="G1218" s="430"/>
      <c r="H1218" s="430"/>
      <c r="I1218" s="430"/>
      <c r="J1218" s="430"/>
      <c r="K1218" s="1174"/>
      <c r="L1218" s="1022"/>
      <c r="M1218" s="1175"/>
      <c r="S1218" s="213"/>
      <c r="T1218" s="213"/>
      <c r="U1218" s="213"/>
      <c r="V1218"/>
      <c r="W1218"/>
      <c r="X1218"/>
      <c r="Y1218" s="504"/>
      <c r="Z1218"/>
      <c r="AA1218"/>
      <c r="AB1218"/>
      <c r="AC1218"/>
      <c r="AD1218"/>
      <c r="AE1218"/>
      <c r="AF1218"/>
      <c r="AG1218"/>
      <c r="AI1218"/>
    </row>
    <row r="1219" spans="1:37" ht="15.75" thickBot="1" x14ac:dyDescent="0.3">
      <c r="A1219" s="1138">
        <v>1210</v>
      </c>
      <c r="B1219" s="1138" t="s">
        <v>53</v>
      </c>
      <c r="C1219" s="1037" t="s">
        <v>179</v>
      </c>
      <c r="D1219" s="938" t="s">
        <v>1554</v>
      </c>
      <c r="E1219" s="937" t="s">
        <v>1008</v>
      </c>
      <c r="F1219" s="937" t="s">
        <v>1007</v>
      </c>
      <c r="G1219" s="937" t="s">
        <v>1006</v>
      </c>
      <c r="H1219" s="937" t="s">
        <v>1014</v>
      </c>
      <c r="I1219" s="430"/>
      <c r="J1219" s="430"/>
      <c r="K1219" s="1174"/>
      <c r="L1219" s="1022"/>
      <c r="M1219" s="1175"/>
      <c r="S1219" s="213"/>
      <c r="T1219" s="213"/>
      <c r="U1219" s="213"/>
      <c r="V1219"/>
      <c r="W1219"/>
      <c r="X1219"/>
      <c r="Y1219" s="504"/>
      <c r="Z1219"/>
      <c r="AA1219"/>
      <c r="AB1219"/>
      <c r="AC1219"/>
      <c r="AD1219"/>
      <c r="AE1219"/>
      <c r="AF1219"/>
      <c r="AG1219"/>
      <c r="AI1219"/>
    </row>
    <row r="1220" spans="1:37" x14ac:dyDescent="0.25">
      <c r="A1220" s="1138">
        <v>1211</v>
      </c>
      <c r="B1220" s="1138" t="s">
        <v>53</v>
      </c>
      <c r="C1220" s="1037" t="s">
        <v>179</v>
      </c>
      <c r="D1220" s="1168" t="s">
        <v>1555</v>
      </c>
      <c r="E1220" s="1268" t="s">
        <v>316</v>
      </c>
      <c r="F1220" s="1232"/>
      <c r="G1220" s="1223">
        <f>IF(E1220=AIS_Yes,F1221,0)*IF(E1217=AIS_Yes,1,0)</f>
        <v>0</v>
      </c>
      <c r="H1220" s="1223" t="s">
        <v>14</v>
      </c>
      <c r="I1220" s="430"/>
      <c r="J1220" s="430"/>
      <c r="K1220" s="1174"/>
      <c r="L1220" s="1022"/>
      <c r="M1220" s="1175"/>
      <c r="S1220" s="504"/>
      <c r="T1220" s="504"/>
      <c r="U1220" s="504"/>
      <c r="V1220" s="504"/>
      <c r="W1220" s="504"/>
      <c r="X1220" s="504"/>
      <c r="Y1220" s="504" t="str">
        <f>Y1217</f>
        <v>No</v>
      </c>
      <c r="Z1220" s="504"/>
      <c r="AA1220" s="504"/>
      <c r="AB1220" s="504"/>
      <c r="AC1220" s="322"/>
      <c r="AD1220" s="322"/>
      <c r="AE1220" s="322"/>
    </row>
    <row r="1221" spans="1:37" ht="15.75" thickBot="1" x14ac:dyDescent="0.3">
      <c r="A1221" s="1138">
        <v>1212</v>
      </c>
      <c r="B1221" s="1138" t="s">
        <v>53</v>
      </c>
      <c r="C1221" s="1037" t="s">
        <v>179</v>
      </c>
      <c r="D1221" s="1296" t="s">
        <v>1556</v>
      </c>
      <c r="E1221" s="1303" t="s">
        <v>316</v>
      </c>
      <c r="F1221" s="1274">
        <f>Poeng!AB202</f>
        <v>0</v>
      </c>
      <c r="G1221" s="1225">
        <f>IF(AND(E1221=AIS_Yes,G1220=0),F1221,0)*IF(E1217=AIS_Yes,1,0)</f>
        <v>0</v>
      </c>
      <c r="H1221" s="1224" t="s">
        <v>14</v>
      </c>
      <c r="I1221" s="430"/>
      <c r="J1221" s="430"/>
      <c r="K1221" s="1184">
        <f>IF((G1220+G1221+G1222)&gt;F1221,F1221,(G1220+G1221+G1222))</f>
        <v>0</v>
      </c>
      <c r="L1221" s="1022"/>
      <c r="M1221" s="1175"/>
      <c r="S1221" s="504"/>
      <c r="T1221" s="504"/>
      <c r="U1221" s="504"/>
      <c r="V1221" s="504"/>
      <c r="W1221" s="504"/>
      <c r="X1221" s="504"/>
      <c r="Y1221" s="504"/>
      <c r="Z1221" s="504"/>
      <c r="AA1221" s="504"/>
      <c r="AB1221" s="504"/>
      <c r="AC1221" s="322"/>
      <c r="AD1221" s="322"/>
      <c r="AE1221" s="322"/>
    </row>
    <row r="1222" spans="1:37" ht="15.75" thickBot="1" x14ac:dyDescent="0.3">
      <c r="A1222" s="1138">
        <v>1213</v>
      </c>
      <c r="B1222" s="1138" t="s">
        <v>53</v>
      </c>
      <c r="C1222" s="1037" t="s">
        <v>179</v>
      </c>
      <c r="D1222" s="1170" t="s">
        <v>1557</v>
      </c>
      <c r="E1222" s="1325" t="s">
        <v>316</v>
      </c>
      <c r="F1222" s="1226"/>
      <c r="G1222" s="1227">
        <f>IF(AND(E1222=AIS_Yes,G1220=0,G1221=0),F1221/2,0)*IF(E1217=AIS_Yes,1,0)</f>
        <v>0</v>
      </c>
      <c r="H1222" s="1227" t="s">
        <v>14</v>
      </c>
      <c r="I1222" s="430"/>
      <c r="J1222" s="430"/>
      <c r="K1222" s="1174"/>
      <c r="L1222" s="1022"/>
      <c r="M1222" s="1175"/>
      <c r="S1222" s="846">
        <v>1</v>
      </c>
      <c r="T1222" s="846">
        <v>0.5</v>
      </c>
      <c r="U1222" s="968">
        <v>1</v>
      </c>
      <c r="V1222" s="146" t="str">
        <f>IF($X$4=AIS_Yes,S1222,AIS_NA)</f>
        <v>N/A</v>
      </c>
      <c r="W1222" s="43" t="str">
        <f>IF($X$4=AIS_Yes,T1222,AIS_NA)</f>
        <v>N/A</v>
      </c>
      <c r="X1222" s="163" t="str">
        <f>IF($X$4=AIS_Yes,U1222,AIS_NA)</f>
        <v>N/A</v>
      </c>
      <c r="Y1222" s="967" t="str">
        <f>IF(F1222=0,AIS_No,IF(AND($X$4=AIS_Yes,OR(V1222&lt;&gt;AIS_NA,W1222&lt;&gt;AIS_NA,X1222&lt;&gt;AIS_NA)),AIS_Yes,AIS_No))</f>
        <v>No</v>
      </c>
      <c r="Z1222" s="146" t="e">
        <f>AIS_option01</f>
        <v>#NAME?</v>
      </c>
      <c r="AA1222" s="43" t="e">
        <f>AIS_option02_50</f>
        <v>#NAME?</v>
      </c>
      <c r="AB1222" s="147" t="e">
        <f>AIS_option03</f>
        <v>#NAME?</v>
      </c>
      <c r="AC1222" s="966"/>
      <c r="AD1222" s="965"/>
      <c r="AE1222" s="962" t="str">
        <f>IF(Y1222=AIS_Yes,Z1222,AIS_NA)</f>
        <v>N/A</v>
      </c>
      <c r="AF1222" s="962" t="str">
        <f>IF(Y1222=AIS_Yes,AA1222,AIS_NA)</f>
        <v>N/A</v>
      </c>
      <c r="AG1222" s="964" t="str">
        <f>IF(Y1222=AIS_Yes,AB1222,AIS_NA)</f>
        <v>N/A</v>
      </c>
      <c r="AH1222" s="963" t="str">
        <f>C1209</f>
        <v>POL 01</v>
      </c>
      <c r="AI1222" s="962" t="s">
        <v>1032</v>
      </c>
      <c r="AJ1222" s="961" t="str">
        <f>H1222</f>
        <v>N/A</v>
      </c>
      <c r="AK1222" s="375">
        <f>IF(Y1222=AIS_No,1,IF(H1222=AE1222,V1222,IF(H1222=AF1222,W1222,IF(H1222=AG1222,X1222,1))))</f>
        <v>1</v>
      </c>
    </row>
    <row r="1223" spans="1:37" x14ac:dyDescent="0.25">
      <c r="A1223" s="1138">
        <v>1214</v>
      </c>
      <c r="B1223" s="1138" t="s">
        <v>53</v>
      </c>
      <c r="C1223" s="1037" t="s">
        <v>179</v>
      </c>
      <c r="I1223" s="430"/>
      <c r="J1223" s="430"/>
      <c r="K1223" s="1174"/>
      <c r="L1223" s="1022"/>
      <c r="M1223" s="1175"/>
      <c r="S1223" s="504"/>
      <c r="T1223" s="504"/>
      <c r="U1223" s="504"/>
      <c r="V1223" s="504"/>
      <c r="W1223" s="504"/>
      <c r="X1223" s="504"/>
      <c r="Y1223" s="504"/>
      <c r="Z1223" s="504"/>
      <c r="AA1223" s="504"/>
      <c r="AB1223" s="504"/>
      <c r="AC1223" s="322"/>
      <c r="AD1223" s="322"/>
      <c r="AE1223" s="322"/>
    </row>
    <row r="1224" spans="1:37" ht="15.75" thickBot="1" x14ac:dyDescent="0.3">
      <c r="A1224" s="1138">
        <v>1215</v>
      </c>
      <c r="B1224" s="1138" t="s">
        <v>53</v>
      </c>
      <c r="C1224" s="1037" t="s">
        <v>179</v>
      </c>
      <c r="D1224" s="938" t="s">
        <v>1801</v>
      </c>
      <c r="E1224" s="937" t="s">
        <v>1008</v>
      </c>
      <c r="F1224" s="937" t="s">
        <v>1007</v>
      </c>
      <c r="G1224" s="937" t="s">
        <v>1006</v>
      </c>
      <c r="H1224" s="937" t="s">
        <v>1014</v>
      </c>
      <c r="I1224" s="430"/>
      <c r="J1224" s="430"/>
      <c r="K1224" s="1174"/>
      <c r="L1224" s="1022"/>
      <c r="M1224" s="1175"/>
      <c r="S1224" s="504"/>
      <c r="T1224" s="504"/>
      <c r="U1224" s="504"/>
      <c r="V1224" s="504"/>
      <c r="W1224" s="504"/>
      <c r="X1224" s="504"/>
      <c r="Y1224" s="504"/>
      <c r="Z1224" s="504"/>
      <c r="AA1224" s="504"/>
      <c r="AB1224" s="504"/>
      <c r="AC1224" s="322"/>
      <c r="AD1224" s="322"/>
      <c r="AE1224" s="322"/>
    </row>
    <row r="1225" spans="1:37" ht="15.75" thickBot="1" x14ac:dyDescent="0.3">
      <c r="A1225" s="1138">
        <v>1216</v>
      </c>
      <c r="B1225" s="1138" t="s">
        <v>53</v>
      </c>
      <c r="C1225" s="1037" t="s">
        <v>179</v>
      </c>
      <c r="D1225" s="1239" t="s">
        <v>1553</v>
      </c>
      <c r="E1225" s="1240" t="s">
        <v>316</v>
      </c>
      <c r="F1225" s="1228">
        <f>Poeng!AB203</f>
        <v>0</v>
      </c>
      <c r="G1225" s="1319">
        <f>IF(E1225=AIS_Yes,F1225,0)*IF(E1217=AIS_Yes,1,0)</f>
        <v>0</v>
      </c>
      <c r="H1225" s="969" t="s">
        <v>14</v>
      </c>
      <c r="I1225" s="430"/>
      <c r="J1225" s="430"/>
      <c r="K1225" s="1174"/>
      <c r="L1225" s="1022"/>
      <c r="M1225" s="1175"/>
      <c r="S1225" s="504"/>
      <c r="T1225" s="504"/>
      <c r="U1225" s="504"/>
      <c r="V1225" s="504"/>
      <c r="W1225" s="504"/>
      <c r="X1225" s="504"/>
      <c r="Y1225" s="504"/>
      <c r="Z1225" s="504"/>
      <c r="AA1225" s="504"/>
      <c r="AB1225" s="504"/>
      <c r="AC1225" s="322"/>
      <c r="AD1225" s="322"/>
      <c r="AE1225" s="322"/>
    </row>
    <row r="1226" spans="1:37" x14ac:dyDescent="0.25">
      <c r="A1226" s="1138">
        <v>1217</v>
      </c>
      <c r="B1226" s="1138" t="s">
        <v>53</v>
      </c>
      <c r="C1226" s="1037" t="s">
        <v>179</v>
      </c>
      <c r="D1226" s="1006" t="s">
        <v>1031</v>
      </c>
      <c r="E1226" s="1005"/>
      <c r="F1226" s="1004">
        <v>1</v>
      </c>
      <c r="G1226" s="1004"/>
      <c r="H1226" s="1003"/>
      <c r="I1226" s="430"/>
      <c r="J1226" s="430"/>
      <c r="K1226" s="1174"/>
      <c r="L1226" s="1022"/>
      <c r="M1226" s="1175"/>
      <c r="S1226" s="504"/>
      <c r="T1226" s="504"/>
      <c r="U1226" s="504"/>
      <c r="V1226" s="504"/>
      <c r="W1226" s="504"/>
      <c r="X1226" s="504"/>
      <c r="Y1226" s="504"/>
      <c r="Z1226" s="504"/>
      <c r="AA1226" s="504"/>
      <c r="AB1226" s="504"/>
      <c r="AC1226" s="322"/>
      <c r="AD1226" s="322"/>
      <c r="AE1226" s="322"/>
    </row>
    <row r="1227" spans="1:37" ht="15.75" thickBot="1" x14ac:dyDescent="0.3">
      <c r="A1227" s="1138">
        <v>1218</v>
      </c>
      <c r="B1227" s="1138" t="s">
        <v>53</v>
      </c>
      <c r="C1227" s="1037" t="s">
        <v>179</v>
      </c>
      <c r="D1227" s="938" t="s">
        <v>1030</v>
      </c>
      <c r="E1227" s="937"/>
      <c r="I1227" s="430"/>
      <c r="J1227" s="430"/>
      <c r="K1227" s="1174"/>
      <c r="L1227" s="1022"/>
      <c r="M1227" s="1175"/>
      <c r="S1227" s="504"/>
      <c r="T1227" s="504"/>
      <c r="U1227" s="504"/>
      <c r="V1227" s="504"/>
      <c r="W1227" s="504"/>
      <c r="X1227" s="504"/>
      <c r="Y1227" s="504"/>
      <c r="Z1227" s="504"/>
      <c r="AA1227" s="504"/>
      <c r="AB1227" s="504"/>
      <c r="AC1227" s="322"/>
      <c r="AD1227" s="322"/>
      <c r="AE1227" s="322"/>
    </row>
    <row r="1228" spans="1:37" x14ac:dyDescent="0.25">
      <c r="A1228" s="1138">
        <v>1219</v>
      </c>
      <c r="B1228" s="1138" t="s">
        <v>53</v>
      </c>
      <c r="C1228" s="1037" t="s">
        <v>179</v>
      </c>
      <c r="D1228" s="936" t="s">
        <v>1029</v>
      </c>
      <c r="E1228" s="990"/>
      <c r="F1228" s="375" t="s">
        <v>1028</v>
      </c>
      <c r="H1228" s="994" t="str">
        <f>IF(OR(E1214=K1214,E1221=AD_Yes),"If data not applicable then insert N/A","")</f>
        <v/>
      </c>
      <c r="I1228" s="430"/>
      <c r="J1228" s="430"/>
      <c r="K1228" s="1174"/>
      <c r="L1228" s="1022"/>
      <c r="M1228" s="1175"/>
      <c r="S1228" s="504"/>
      <c r="T1228" s="504"/>
      <c r="U1228" s="504"/>
      <c r="V1228" s="504"/>
      <c r="W1228" s="504"/>
      <c r="X1228" s="504"/>
      <c r="Y1228" s="504"/>
      <c r="Z1228" s="504"/>
      <c r="AA1228" s="504"/>
      <c r="AB1228" s="504"/>
      <c r="AC1228" s="322"/>
      <c r="AD1228" s="322"/>
      <c r="AE1228" s="322"/>
    </row>
    <row r="1229" spans="1:37" ht="15.75" thickBot="1" x14ac:dyDescent="0.3">
      <c r="A1229" s="1138">
        <v>1220</v>
      </c>
      <c r="B1229" s="1138" t="s">
        <v>53</v>
      </c>
      <c r="C1229" s="1037" t="s">
        <v>179</v>
      </c>
      <c r="D1229" s="1002" t="s">
        <v>1027</v>
      </c>
      <c r="E1229" s="1001"/>
      <c r="F1229" s="1000" t="s">
        <v>1026</v>
      </c>
      <c r="I1229" s="430"/>
      <c r="J1229" s="430"/>
      <c r="K1229" s="1174"/>
      <c r="L1229" s="1022"/>
      <c r="M1229" s="1175"/>
      <c r="S1229" s="504"/>
      <c r="T1229" s="504"/>
      <c r="U1229" s="504"/>
      <c r="V1229" s="504"/>
      <c r="W1229" s="504"/>
      <c r="X1229" s="504"/>
      <c r="Y1229" s="504"/>
      <c r="Z1229" s="504"/>
      <c r="AA1229" s="504"/>
      <c r="AB1229" s="504"/>
      <c r="AC1229" s="322"/>
      <c r="AD1229" s="322"/>
      <c r="AE1229" s="322"/>
    </row>
    <row r="1230" spans="1:37" x14ac:dyDescent="0.25">
      <c r="A1230" s="1138">
        <v>1221</v>
      </c>
      <c r="B1230" s="1138" t="s">
        <v>53</v>
      </c>
      <c r="C1230" s="1037" t="s">
        <v>179</v>
      </c>
      <c r="I1230" s="430"/>
      <c r="J1230" s="430"/>
      <c r="K1230" s="1174"/>
      <c r="L1230" s="1022"/>
      <c r="M1230" s="1175"/>
      <c r="S1230" s="504"/>
      <c r="T1230" s="504"/>
      <c r="U1230" s="504"/>
      <c r="V1230" s="504"/>
      <c r="W1230" s="504"/>
      <c r="X1230" s="504"/>
      <c r="Y1230" s="504"/>
      <c r="Z1230" s="504"/>
      <c r="AA1230" s="504"/>
      <c r="AB1230" s="504"/>
      <c r="AC1230" s="322"/>
      <c r="AD1230" s="322"/>
      <c r="AE1230" s="322"/>
    </row>
    <row r="1231" spans="1:37" x14ac:dyDescent="0.25">
      <c r="A1231" s="1138">
        <v>1222</v>
      </c>
      <c r="B1231" s="1138" t="s">
        <v>53</v>
      </c>
      <c r="C1231" s="1037" t="s">
        <v>179</v>
      </c>
      <c r="D1231" s="958" t="s">
        <v>1012</v>
      </c>
      <c r="E1231" s="1307">
        <f>IF(G1214+G1220+G1221+G1222+G1225&gt;E1210,E1210,G1214+G1220+G1221+G1222+G1225)</f>
        <v>0</v>
      </c>
      <c r="I1231" s="917"/>
      <c r="J1231" s="430"/>
      <c r="K1231" s="1174"/>
      <c r="L1231" s="1022"/>
      <c r="M1231" s="1175"/>
      <c r="S1231" s="504"/>
      <c r="T1231" s="504"/>
      <c r="U1231" s="504"/>
      <c r="V1231" s="504"/>
      <c r="W1231" s="504"/>
      <c r="X1231" s="504"/>
      <c r="Y1231" s="504"/>
      <c r="Z1231" s="504"/>
      <c r="AA1231" s="504"/>
      <c r="AB1231" s="504"/>
      <c r="AC1231" s="917"/>
      <c r="AD1231" s="917"/>
      <c r="AE1231" s="917"/>
    </row>
    <row r="1232" spans="1:37" x14ac:dyDescent="0.25">
      <c r="A1232" s="1138">
        <v>1223</v>
      </c>
      <c r="B1232" s="1138" t="s">
        <v>53</v>
      </c>
      <c r="C1232" s="1037" t="s">
        <v>179</v>
      </c>
      <c r="D1232" s="924" t="s">
        <v>77</v>
      </c>
      <c r="E1232" s="1273">
        <f>Pol01_20</f>
        <v>0</v>
      </c>
      <c r="I1232" s="430"/>
      <c r="J1232" s="430"/>
      <c r="K1232" s="1174"/>
      <c r="L1232" s="1022"/>
      <c r="M1232" s="1175"/>
      <c r="S1232" s="504"/>
      <c r="T1232" s="504"/>
      <c r="U1232" s="504"/>
      <c r="V1232" s="504"/>
      <c r="W1232" s="504"/>
      <c r="X1232" s="504"/>
      <c r="Y1232" s="504"/>
      <c r="Z1232" s="504"/>
      <c r="AA1232" s="504"/>
      <c r="AB1232" s="504"/>
      <c r="AC1232" s="917"/>
      <c r="AD1232" s="917"/>
      <c r="AE1232" s="917"/>
    </row>
    <row r="1233" spans="1:31" x14ac:dyDescent="0.25">
      <c r="A1233" s="1138">
        <v>1224</v>
      </c>
      <c r="B1233" s="1138" t="s">
        <v>53</v>
      </c>
      <c r="C1233" s="1037" t="s">
        <v>179</v>
      </c>
      <c r="D1233" s="926" t="s">
        <v>1005</v>
      </c>
      <c r="E1233" s="1272" t="s">
        <v>14</v>
      </c>
      <c r="I1233" s="430"/>
      <c r="J1233" s="430"/>
      <c r="K1233" s="1174"/>
      <c r="L1233" s="1022"/>
      <c r="M1233" s="1175"/>
      <c r="S1233" s="504"/>
      <c r="T1233" s="504"/>
      <c r="U1233" s="504"/>
      <c r="V1233" s="504"/>
      <c r="W1233" s="504"/>
      <c r="X1233" s="504"/>
      <c r="Y1233" s="504"/>
      <c r="Z1233" s="504"/>
      <c r="AA1233" s="504"/>
      <c r="AB1233" s="504"/>
      <c r="AC1233" s="917"/>
      <c r="AD1233" s="917"/>
      <c r="AE1233" s="917"/>
    </row>
    <row r="1234" spans="1:31" x14ac:dyDescent="0.25">
      <c r="A1234" s="1138">
        <v>1225</v>
      </c>
      <c r="B1234" s="1138" t="s">
        <v>53</v>
      </c>
      <c r="C1234" s="1037" t="s">
        <v>179</v>
      </c>
      <c r="D1234" s="923" t="s">
        <v>46</v>
      </c>
      <c r="E1234" s="1290" t="s">
        <v>14</v>
      </c>
      <c r="I1234" s="430"/>
      <c r="J1234" s="430"/>
      <c r="K1234" s="1174"/>
      <c r="L1234" s="1022"/>
      <c r="M1234" s="1175"/>
      <c r="S1234" s="504"/>
      <c r="T1234" s="504"/>
      <c r="U1234" s="504"/>
      <c r="V1234" s="504"/>
      <c r="W1234" s="504"/>
      <c r="X1234" s="504"/>
      <c r="Y1234" s="504"/>
      <c r="Z1234" s="504"/>
      <c r="AA1234" s="504"/>
      <c r="AB1234" s="504"/>
      <c r="AC1234" s="917"/>
      <c r="AD1234" s="917"/>
      <c r="AE1234" s="917"/>
    </row>
    <row r="1235" spans="1:31" x14ac:dyDescent="0.25">
      <c r="A1235" s="1138">
        <v>1226</v>
      </c>
      <c r="B1235" s="1138" t="s">
        <v>53</v>
      </c>
      <c r="C1235" s="1037" t="s">
        <v>179</v>
      </c>
      <c r="I1235" s="430"/>
      <c r="J1235" s="430"/>
      <c r="K1235" s="1174"/>
      <c r="L1235" s="1022"/>
      <c r="M1235" s="1175"/>
      <c r="S1235" s="504"/>
      <c r="T1235" s="504"/>
      <c r="U1235" s="504"/>
      <c r="V1235" s="504"/>
      <c r="W1235" s="504"/>
      <c r="X1235" s="504"/>
      <c r="Y1235" s="504"/>
      <c r="Z1235" s="504"/>
      <c r="AA1235" s="504"/>
      <c r="AB1235" s="504"/>
      <c r="AC1235" s="917"/>
      <c r="AD1235" s="917"/>
      <c r="AE1235" s="917"/>
    </row>
    <row r="1236" spans="1:31" x14ac:dyDescent="0.25">
      <c r="A1236" s="1138">
        <v>1227</v>
      </c>
      <c r="B1236" s="1138" t="s">
        <v>53</v>
      </c>
      <c r="C1236" s="1037" t="s">
        <v>179</v>
      </c>
      <c r="D1236" s="920" t="s">
        <v>1004</v>
      </c>
      <c r="E1236" s="920" t="s">
        <v>1003</v>
      </c>
      <c r="F1236" s="920" t="str">
        <f>HLOOKUP(C1236,'Assessment References'!$H$512:$BG$513,2,FALSE)</f>
        <v/>
      </c>
      <c r="G1236" s="919"/>
      <c r="H1236" s="918"/>
      <c r="I1236" s="430"/>
      <c r="J1236" s="430"/>
      <c r="K1236" s="1174"/>
      <c r="L1236" s="1022"/>
      <c r="M1236" s="1175"/>
      <c r="S1236" s="504"/>
      <c r="T1236" s="504"/>
      <c r="U1236" s="504"/>
      <c r="V1236" s="504"/>
      <c r="W1236" s="504"/>
      <c r="X1236" s="504"/>
      <c r="Y1236" s="504"/>
      <c r="Z1236" s="504"/>
      <c r="AA1236" s="504"/>
      <c r="AB1236" s="504"/>
      <c r="AC1236" s="917"/>
      <c r="AD1236" s="917"/>
      <c r="AE1236" s="917"/>
    </row>
    <row r="1237" spans="1:31" x14ac:dyDescent="0.25">
      <c r="A1237" s="1138">
        <v>1228</v>
      </c>
      <c r="B1237" s="1138" t="s">
        <v>53</v>
      </c>
      <c r="C1237" s="1037" t="s">
        <v>179</v>
      </c>
      <c r="D1237" s="1539"/>
      <c r="E1237" s="1540"/>
      <c r="F1237" s="1540"/>
      <c r="G1237" s="1540"/>
      <c r="H1237" s="1541"/>
      <c r="I1237" s="430"/>
      <c r="J1237" s="430"/>
      <c r="K1237" s="1174"/>
      <c r="L1237" s="1022"/>
      <c r="M1237" s="1175"/>
      <c r="S1237" s="504"/>
      <c r="T1237" s="504"/>
      <c r="U1237" s="504"/>
      <c r="V1237" s="504"/>
      <c r="W1237" s="504"/>
      <c r="X1237" s="504"/>
      <c r="Y1237" s="504"/>
      <c r="Z1237" s="504"/>
      <c r="AA1237" s="504"/>
      <c r="AB1237" s="504"/>
      <c r="AC1237" s="917"/>
      <c r="AD1237" s="917"/>
      <c r="AE1237" s="917"/>
    </row>
    <row r="1238" spans="1:31" x14ac:dyDescent="0.25">
      <c r="A1238" s="1138">
        <v>1229</v>
      </c>
      <c r="B1238" s="1138" t="s">
        <v>53</v>
      </c>
      <c r="C1238" s="1037" t="s">
        <v>179</v>
      </c>
      <c r="D1238" s="1530"/>
      <c r="E1238" s="1531"/>
      <c r="F1238" s="1531"/>
      <c r="G1238" s="1531"/>
      <c r="H1238" s="1532"/>
      <c r="I1238" s="430"/>
      <c r="J1238" s="430"/>
      <c r="K1238" s="1174"/>
      <c r="L1238" s="1022"/>
      <c r="M1238" s="1175"/>
      <c r="S1238" s="504"/>
      <c r="T1238" s="504"/>
      <c r="U1238" s="504"/>
      <c r="V1238" s="504"/>
      <c r="W1238" s="504"/>
      <c r="X1238" s="504"/>
      <c r="Y1238" s="504"/>
      <c r="Z1238" s="504"/>
      <c r="AA1238" s="504"/>
      <c r="AB1238" s="504"/>
      <c r="AC1238" s="917"/>
      <c r="AD1238" s="917"/>
      <c r="AE1238" s="917"/>
    </row>
    <row r="1239" spans="1:31" x14ac:dyDescent="0.25">
      <c r="A1239" s="1138">
        <v>1230</v>
      </c>
      <c r="B1239" s="1138" t="s">
        <v>53</v>
      </c>
      <c r="C1239" s="1037" t="s">
        <v>179</v>
      </c>
      <c r="D1239" s="1530"/>
      <c r="E1239" s="1531"/>
      <c r="F1239" s="1531"/>
      <c r="G1239" s="1531"/>
      <c r="H1239" s="1532"/>
      <c r="I1239" s="430"/>
      <c r="J1239" s="430"/>
      <c r="K1239" s="1174"/>
      <c r="L1239" s="1022"/>
      <c r="M1239" s="1175"/>
      <c r="S1239" s="504"/>
      <c r="T1239" s="504"/>
      <c r="U1239" s="504"/>
      <c r="V1239" s="504"/>
      <c r="W1239" s="504"/>
      <c r="X1239" s="504"/>
      <c r="Y1239" s="504"/>
      <c r="Z1239" s="504"/>
      <c r="AA1239" s="504"/>
      <c r="AB1239" s="504"/>
      <c r="AC1239" s="917"/>
      <c r="AD1239" s="917"/>
      <c r="AE1239" s="917"/>
    </row>
    <row r="1240" spans="1:31" x14ac:dyDescent="0.25">
      <c r="A1240" s="1138">
        <v>1231</v>
      </c>
      <c r="B1240" s="1138" t="s">
        <v>53</v>
      </c>
      <c r="C1240" s="1037" t="s">
        <v>179</v>
      </c>
      <c r="D1240" s="1533"/>
      <c r="E1240" s="1534"/>
      <c r="F1240" s="1534"/>
      <c r="G1240" s="1534"/>
      <c r="H1240" s="1535"/>
      <c r="I1240" s="430"/>
      <c r="J1240" s="430"/>
      <c r="K1240" s="1174"/>
      <c r="L1240" s="1022"/>
      <c r="M1240" s="1175"/>
      <c r="S1240" s="504"/>
      <c r="T1240" s="504"/>
      <c r="U1240" s="504"/>
      <c r="V1240" s="504"/>
      <c r="W1240" s="504"/>
      <c r="X1240" s="504"/>
      <c r="Y1240" s="504"/>
      <c r="Z1240" s="504"/>
      <c r="AA1240" s="504"/>
      <c r="AB1240" s="504"/>
      <c r="AC1240" s="917"/>
      <c r="AD1240" s="917"/>
      <c r="AE1240" s="917"/>
    </row>
    <row r="1241" spans="1:31" x14ac:dyDescent="0.25">
      <c r="A1241" s="1138">
        <v>1232</v>
      </c>
      <c r="B1241" s="1138" t="s">
        <v>53</v>
      </c>
      <c r="C1241" s="1037" t="s">
        <v>179</v>
      </c>
      <c r="D1241" s="1533"/>
      <c r="E1241" s="1534"/>
      <c r="F1241" s="1534"/>
      <c r="G1241" s="1534"/>
      <c r="H1241" s="1535"/>
      <c r="I1241" s="430"/>
      <c r="J1241" s="430"/>
      <c r="K1241" s="1174"/>
      <c r="L1241" s="1022"/>
      <c r="M1241" s="1175"/>
      <c r="S1241" s="504"/>
      <c r="T1241" s="504"/>
      <c r="U1241" s="504"/>
      <c r="V1241" s="504"/>
      <c r="W1241" s="504"/>
      <c r="X1241" s="504"/>
      <c r="Y1241" s="504"/>
      <c r="Z1241" s="504"/>
      <c r="AA1241" s="504"/>
      <c r="AB1241" s="504"/>
      <c r="AC1241" s="917"/>
      <c r="AD1241" s="917"/>
      <c r="AE1241" s="917"/>
    </row>
    <row r="1242" spans="1:31" x14ac:dyDescent="0.25">
      <c r="A1242" s="1138">
        <v>1233</v>
      </c>
      <c r="B1242" s="1138" t="s">
        <v>53</v>
      </c>
      <c r="C1242" s="1037" t="s">
        <v>179</v>
      </c>
      <c r="D1242" s="1536"/>
      <c r="E1242" s="1537"/>
      <c r="F1242" s="1537"/>
      <c r="G1242" s="1537"/>
      <c r="H1242" s="1538"/>
      <c r="I1242" s="430"/>
      <c r="J1242" s="430"/>
      <c r="K1242" s="1174"/>
      <c r="L1242" s="1022"/>
      <c r="M1242" s="1175"/>
      <c r="S1242" s="504"/>
      <c r="T1242" s="504"/>
      <c r="U1242" s="504"/>
      <c r="V1242" s="504"/>
      <c r="W1242" s="504"/>
      <c r="X1242" s="504"/>
      <c r="Y1242" s="504"/>
      <c r="Z1242" s="504"/>
      <c r="AA1242" s="504"/>
      <c r="AB1242" s="504"/>
      <c r="AC1242" s="917"/>
      <c r="AD1242" s="917"/>
      <c r="AE1242" s="917"/>
    </row>
    <row r="1243" spans="1:31" x14ac:dyDescent="0.25">
      <c r="A1243" s="1138">
        <v>1234</v>
      </c>
      <c r="B1243" s="1138" t="s">
        <v>53</v>
      </c>
      <c r="C1243" s="1037" t="s">
        <v>179</v>
      </c>
      <c r="D1243" s="985"/>
      <c r="E1243" s="985"/>
      <c r="F1243" s="984"/>
      <c r="G1243" s="984"/>
      <c r="H1243" s="984"/>
      <c r="I1243" s="430"/>
      <c r="J1243" s="430"/>
      <c r="K1243" s="1174"/>
      <c r="L1243" s="1022"/>
      <c r="M1243" s="1175"/>
      <c r="S1243" s="504"/>
      <c r="T1243" s="504"/>
      <c r="U1243" s="504"/>
      <c r="V1243" s="504"/>
      <c r="W1243" s="504"/>
      <c r="X1243" s="504"/>
      <c r="Y1243" s="504"/>
      <c r="Z1243" s="504"/>
      <c r="AA1243" s="504"/>
      <c r="AB1243" s="504"/>
      <c r="AC1243" s="917"/>
      <c r="AD1243" s="917"/>
      <c r="AE1243" s="917"/>
    </row>
    <row r="1244" spans="1:31" x14ac:dyDescent="0.25">
      <c r="A1244" s="1138">
        <v>1235</v>
      </c>
      <c r="B1244" s="1140" t="s">
        <v>53</v>
      </c>
      <c r="C1244" s="999" t="s">
        <v>180</v>
      </c>
      <c r="D1244" s="977" t="s">
        <v>838</v>
      </c>
      <c r="E1244" s="976"/>
      <c r="F1244" s="976"/>
      <c r="G1244" s="975"/>
      <c r="H1244" s="974"/>
      <c r="I1244" s="983"/>
      <c r="J1244" s="983"/>
      <c r="K1244" s="1174" t="str" cm="1">
        <f t="array" ref="K1244">IF(Pol02_credits=AIS_credit00,AIS_statement32,"")</f>
        <v/>
      </c>
      <c r="L1244" s="1022"/>
      <c r="M1244" s="1175"/>
      <c r="S1244" s="504"/>
      <c r="T1244" s="504"/>
      <c r="U1244" s="504"/>
      <c r="V1244" s="504"/>
      <c r="W1244" s="504"/>
      <c r="X1244" s="504"/>
      <c r="Y1244" s="504"/>
      <c r="Z1244" s="504"/>
      <c r="AA1244" s="504"/>
      <c r="AB1244" s="504"/>
      <c r="AC1244" s="917"/>
      <c r="AD1244" s="917"/>
      <c r="AE1244" s="917"/>
    </row>
    <row r="1245" spans="1:31" x14ac:dyDescent="0.25">
      <c r="A1245" s="1138">
        <v>1236</v>
      </c>
      <c r="B1245" s="1138" t="s">
        <v>53</v>
      </c>
      <c r="C1245" s="1037" t="s">
        <v>180</v>
      </c>
      <c r="D1245" s="946" t="s">
        <v>15</v>
      </c>
      <c r="E1245" s="1264">
        <f>Pol02_credits</f>
        <v>2</v>
      </c>
      <c r="F1245" s="945"/>
      <c r="G1245" s="944" t="s">
        <v>76</v>
      </c>
      <c r="H1245" s="1266">
        <f>Pol02_26</f>
        <v>1.1428571428571429E-2</v>
      </c>
      <c r="I1245" s="430"/>
      <c r="J1245" s="430"/>
      <c r="K1245" s="1174"/>
      <c r="L1245" s="1022"/>
      <c r="M1245" s="1175"/>
      <c r="S1245" s="504"/>
      <c r="T1245" s="504"/>
      <c r="U1245" s="504"/>
      <c r="V1245" s="504"/>
      <c r="W1245" s="504"/>
      <c r="X1245" s="504"/>
      <c r="Y1245" s="504"/>
      <c r="Z1245" s="504"/>
      <c r="AA1245" s="504"/>
      <c r="AB1245" s="504"/>
      <c r="AC1245" s="917"/>
      <c r="AD1245" s="917"/>
      <c r="AE1245" s="917"/>
    </row>
    <row r="1246" spans="1:31" x14ac:dyDescent="0.25">
      <c r="A1246" s="1138">
        <v>1237</v>
      </c>
      <c r="B1246" s="1138" t="s">
        <v>53</v>
      </c>
      <c r="C1246" s="1037" t="s">
        <v>180</v>
      </c>
      <c r="D1246" s="972" t="s">
        <v>1011</v>
      </c>
      <c r="E1246" s="1265">
        <v>0</v>
      </c>
      <c r="F1246" s="941"/>
      <c r="G1246" s="940" t="s">
        <v>1010</v>
      </c>
      <c r="H1246" s="1267" t="s">
        <v>13</v>
      </c>
      <c r="I1246" s="430"/>
      <c r="J1246" s="430"/>
      <c r="K1246" s="1174"/>
      <c r="L1246" s="1022"/>
      <c r="M1246" s="1175"/>
      <c r="S1246" s="504"/>
      <c r="T1246" s="504"/>
      <c r="U1246" s="504"/>
      <c r="V1246" s="504"/>
      <c r="W1246" s="504"/>
      <c r="X1246" s="504"/>
      <c r="Y1246" s="504"/>
      <c r="Z1246" s="504"/>
      <c r="AA1246" s="504"/>
      <c r="AB1246" s="504"/>
      <c r="AC1246" s="917"/>
      <c r="AD1246" s="917"/>
      <c r="AE1246" s="917"/>
    </row>
    <row r="1247" spans="1:31" x14ac:dyDescent="0.25">
      <c r="A1247" s="1138">
        <v>1238</v>
      </c>
      <c r="B1247" s="1138" t="s">
        <v>53</v>
      </c>
      <c r="C1247" s="1037" t="s">
        <v>180</v>
      </c>
      <c r="I1247" s="430"/>
      <c r="J1247" s="430"/>
      <c r="K1247" s="1174"/>
      <c r="L1247" s="1022"/>
      <c r="M1247" s="1175"/>
      <c r="S1247" s="504"/>
      <c r="T1247" s="504"/>
      <c r="U1247" s="504"/>
      <c r="V1247" s="504"/>
      <c r="W1247" s="504"/>
      <c r="X1247" s="504"/>
      <c r="Y1247" s="504"/>
      <c r="Z1247" s="504"/>
      <c r="AA1247" s="504"/>
      <c r="AB1247" s="504"/>
      <c r="AC1247" s="917"/>
      <c r="AD1247" s="917"/>
      <c r="AE1247" s="917"/>
    </row>
    <row r="1248" spans="1:31" ht="15.75" thickBot="1" x14ac:dyDescent="0.3">
      <c r="A1248" s="1138">
        <v>1239</v>
      </c>
      <c r="B1248" s="1138" t="s">
        <v>53</v>
      </c>
      <c r="C1248" s="1037" t="s">
        <v>180</v>
      </c>
      <c r="D1248" s="938" t="s">
        <v>1009</v>
      </c>
      <c r="E1248" s="937" t="s">
        <v>1008</v>
      </c>
      <c r="F1248" s="937" t="s">
        <v>1007</v>
      </c>
      <c r="G1248" s="937" t="s">
        <v>1006</v>
      </c>
      <c r="H1248" s="937" t="s">
        <v>1014</v>
      </c>
      <c r="I1248" s="430"/>
      <c r="J1248" s="430"/>
      <c r="K1248" s="1174"/>
      <c r="L1248" s="1022"/>
      <c r="M1248" s="1175"/>
      <c r="S1248" s="504"/>
      <c r="T1248" s="504"/>
      <c r="U1248" s="504"/>
      <c r="V1248" s="504"/>
      <c r="W1248" s="504"/>
      <c r="X1248" s="504"/>
      <c r="Y1248" s="504"/>
      <c r="Z1248" s="504"/>
      <c r="AA1248" s="504"/>
      <c r="AB1248" s="504"/>
      <c r="AC1248" s="917"/>
      <c r="AD1248" s="917"/>
      <c r="AE1248" s="917"/>
    </row>
    <row r="1249" spans="1:37" x14ac:dyDescent="0.25">
      <c r="A1249" s="1138">
        <v>1240</v>
      </c>
      <c r="B1249" s="1138" t="s">
        <v>53</v>
      </c>
      <c r="C1249" s="1037" t="s">
        <v>180</v>
      </c>
      <c r="D1249" s="1168" t="s">
        <v>1558</v>
      </c>
      <c r="E1249" s="1337" t="str">
        <f>IF('Assessment Details'!F25='Assessment Details'!J30,AIS_Yes,IF('Assessment Details'!F25='Assessment Details'!J31,AIS_No,""))</f>
        <v/>
      </c>
      <c r="F1249" s="1223">
        <f>Poeng!AB205</f>
        <v>2</v>
      </c>
      <c r="G1249" s="1223">
        <f>IF(E1249=AIS_Yes,F1249,0)</f>
        <v>0</v>
      </c>
      <c r="H1249" s="1223" t="s">
        <v>14</v>
      </c>
      <c r="I1249" s="430"/>
      <c r="J1249" s="430"/>
      <c r="K1249" s="1174"/>
      <c r="L1249" s="1022"/>
      <c r="M1249" s="1175"/>
      <c r="S1249" s="504"/>
      <c r="T1249" s="504"/>
      <c r="U1249" s="504"/>
      <c r="V1249" s="504"/>
      <c r="W1249" s="504"/>
      <c r="X1249" s="504"/>
      <c r="Y1249" s="504"/>
      <c r="Z1249" s="504"/>
      <c r="AA1249" s="504"/>
      <c r="AB1249" s="504"/>
      <c r="AC1249" s="917"/>
      <c r="AD1249" s="917"/>
      <c r="AE1249" s="917"/>
    </row>
    <row r="1250" spans="1:37" ht="15.75" thickBot="1" x14ac:dyDescent="0.3">
      <c r="A1250" s="1138">
        <v>1241</v>
      </c>
      <c r="B1250" s="1138" t="s">
        <v>53</v>
      </c>
      <c r="C1250" s="1037" t="s">
        <v>180</v>
      </c>
      <c r="D1250" s="1170" t="s">
        <v>1559</v>
      </c>
      <c r="E1250" s="1275" t="s">
        <v>316</v>
      </c>
      <c r="F1250" s="1226">
        <f>Poeng!AB206</f>
        <v>0</v>
      </c>
      <c r="G1250" s="1227">
        <f>IF(E1250=AIS_Yes,F1250,0)</f>
        <v>0</v>
      </c>
      <c r="H1250" s="1227" t="s">
        <v>14</v>
      </c>
      <c r="I1250" s="430"/>
      <c r="J1250" s="430"/>
      <c r="K1250" s="1174"/>
      <c r="L1250" s="1022"/>
      <c r="M1250" s="1175"/>
      <c r="S1250" s="504"/>
      <c r="T1250" s="504"/>
      <c r="U1250" s="504"/>
      <c r="V1250" s="504"/>
      <c r="W1250" s="504"/>
      <c r="X1250" s="504"/>
      <c r="Y1250" s="504"/>
      <c r="Z1250" s="504"/>
      <c r="AA1250" s="504"/>
      <c r="AB1250" s="504"/>
      <c r="AC1250" s="917"/>
      <c r="AD1250" s="917"/>
      <c r="AE1250" s="917"/>
    </row>
    <row r="1251" spans="1:37" x14ac:dyDescent="0.25">
      <c r="A1251" s="1138">
        <v>1242</v>
      </c>
      <c r="B1251" s="1138" t="s">
        <v>53</v>
      </c>
      <c r="C1251" s="1037" t="s">
        <v>180</v>
      </c>
      <c r="I1251" s="430"/>
      <c r="J1251" s="430"/>
      <c r="K1251" s="1174"/>
      <c r="L1251" s="1022"/>
      <c r="M1251" s="1175"/>
      <c r="S1251" s="504"/>
      <c r="T1251" s="504"/>
      <c r="U1251" s="504"/>
      <c r="V1251" s="504"/>
      <c r="W1251" s="504"/>
      <c r="X1251" s="504"/>
      <c r="Y1251" s="504"/>
      <c r="Z1251" s="504"/>
      <c r="AA1251" s="504"/>
      <c r="AB1251" s="504"/>
      <c r="AC1251" s="917"/>
      <c r="AD1251" s="917"/>
      <c r="AE1251" s="917"/>
    </row>
    <row r="1252" spans="1:37" ht="15.75" thickBot="1" x14ac:dyDescent="0.3">
      <c r="A1252" s="1138">
        <v>1243</v>
      </c>
      <c r="B1252" s="1138" t="s">
        <v>53</v>
      </c>
      <c r="C1252" s="1037" t="s">
        <v>180</v>
      </c>
      <c r="D1252" s="971" t="s">
        <v>1572</v>
      </c>
      <c r="E1252" s="937" t="s">
        <v>1008</v>
      </c>
      <c r="I1252" s="430"/>
      <c r="J1252" s="430"/>
      <c r="K1252" s="1174"/>
      <c r="L1252" s="1022"/>
      <c r="M1252" s="1175"/>
      <c r="S1252"/>
      <c r="T1252"/>
      <c r="U1252"/>
      <c r="V1252"/>
      <c r="W1252"/>
      <c r="X1252"/>
      <c r="Y1252"/>
      <c r="Z1252"/>
      <c r="AA1252"/>
      <c r="AB1252"/>
      <c r="AC1252"/>
      <c r="AD1252"/>
      <c r="AE1252"/>
      <c r="AF1252"/>
      <c r="AG1252"/>
      <c r="AH1252"/>
      <c r="AI1252"/>
      <c r="AJ1252"/>
      <c r="AK1252"/>
    </row>
    <row r="1253" spans="1:37" ht="15.75" thickBot="1" x14ac:dyDescent="0.3">
      <c r="A1253" s="1138">
        <v>1244</v>
      </c>
      <c r="B1253" s="1138" t="s">
        <v>53</v>
      </c>
      <c r="C1253" s="1037" t="s">
        <v>180</v>
      </c>
      <c r="D1253" s="988" t="s">
        <v>1025</v>
      </c>
      <c r="E1253" s="997"/>
      <c r="F1253" s="375" t="s">
        <v>1022</v>
      </c>
      <c r="G1253" s="994"/>
      <c r="I1253" s="917"/>
      <c r="K1253" s="1174"/>
      <c r="L1253" s="1022"/>
      <c r="M1253" s="1175"/>
      <c r="S1253" s="846">
        <v>1</v>
      </c>
      <c r="T1253" s="846">
        <v>0.5</v>
      </c>
      <c r="U1253" s="968">
        <v>1</v>
      </c>
      <c r="V1253" s="146" t="str">
        <f>IF($X$4=AIS_Yes,S1253,AIS_NA)</f>
        <v>N/A</v>
      </c>
      <c r="W1253" s="43" t="str">
        <f>IF($X$4=AIS_Yes,T1253,AIS_NA)</f>
        <v>N/A</v>
      </c>
      <c r="X1253" s="163" t="str">
        <f>IF($X$4=AIS_Yes,U1253,AIS_NA)</f>
        <v>N/A</v>
      </c>
      <c r="Y1253" s="967" t="str">
        <f>IF(AND($X$4=AIS_Yes,OR(V1253&lt;&gt;AIS_NA,W1253&lt;&gt;AIS_NA,X1253&lt;&gt;AIS_NA)),AIS_Yes,AIS_No)</f>
        <v>No</v>
      </c>
      <c r="Z1253" s="146" t="e">
        <f>AIS_option01</f>
        <v>#NAME?</v>
      </c>
      <c r="AA1253" s="43" t="e">
        <f>AIS_option02_50</f>
        <v>#NAME?</v>
      </c>
      <c r="AB1253" s="147" t="e">
        <f>AIS_option03</f>
        <v>#NAME?</v>
      </c>
      <c r="AC1253" s="966"/>
      <c r="AD1253" s="965"/>
      <c r="AE1253" s="962" t="str">
        <f>IF(Y1253=AIS_Yes,Z1253,AIS_NA)</f>
        <v>N/A</v>
      </c>
      <c r="AF1253" s="962" t="str">
        <f>IF(Y1253=AIS_Yes,AA1253,AIS_NA)</f>
        <v>N/A</v>
      </c>
      <c r="AG1253" s="964" t="str">
        <f>IF(Y1253=AIS_Yes,AB1253,AIS_NA)</f>
        <v>N/A</v>
      </c>
      <c r="AH1253" s="963"/>
      <c r="AI1253" s="962" t="str">
        <f>D1244</f>
        <v>Local air quality</v>
      </c>
      <c r="AJ1253" s="961"/>
    </row>
    <row r="1254" spans="1:37" x14ac:dyDescent="0.25">
      <c r="A1254" s="1138">
        <v>1245</v>
      </c>
      <c r="B1254" s="1138" t="s">
        <v>53</v>
      </c>
      <c r="C1254" s="1037" t="s">
        <v>180</v>
      </c>
      <c r="D1254" s="988" t="s">
        <v>1024</v>
      </c>
      <c r="E1254" s="970"/>
      <c r="F1254" s="375" t="s">
        <v>1022</v>
      </c>
      <c r="G1254" s="994"/>
      <c r="I1254" s="917"/>
      <c r="K1254" s="1174"/>
      <c r="L1254" s="1022"/>
      <c r="M1254" s="1175"/>
    </row>
    <row r="1255" spans="1:37" x14ac:dyDescent="0.25">
      <c r="A1255" s="1138">
        <v>1246</v>
      </c>
      <c r="B1255" s="1138" t="s">
        <v>53</v>
      </c>
      <c r="C1255" s="1037" t="s">
        <v>180</v>
      </c>
      <c r="D1255" s="988" t="s">
        <v>1023</v>
      </c>
      <c r="E1255" s="970"/>
      <c r="F1255" s="375" t="s">
        <v>1022</v>
      </c>
      <c r="G1255" s="994"/>
      <c r="I1255" s="917"/>
      <c r="J1255" s="430"/>
      <c r="K1255" s="1174"/>
      <c r="L1255" s="1022"/>
      <c r="M1255" s="1175"/>
      <c r="S1255" s="504"/>
      <c r="T1255" s="504"/>
      <c r="U1255" s="504"/>
      <c r="V1255" s="504"/>
      <c r="W1255" s="504"/>
      <c r="X1255" s="504"/>
      <c r="Y1255" s="504"/>
      <c r="Z1255" s="504"/>
      <c r="AA1255" s="504"/>
      <c r="AB1255" s="504"/>
      <c r="AC1255" s="917"/>
      <c r="AD1255" s="917"/>
      <c r="AE1255" s="917"/>
    </row>
    <row r="1256" spans="1:37" x14ac:dyDescent="0.25">
      <c r="A1256" s="1138">
        <v>1247</v>
      </c>
      <c r="B1256" s="1138" t="s">
        <v>53</v>
      </c>
      <c r="C1256" s="1037" t="s">
        <v>180</v>
      </c>
      <c r="D1256" s="988" t="s">
        <v>1768</v>
      </c>
      <c r="E1256" s="970"/>
      <c r="F1256" t="s">
        <v>1769</v>
      </c>
      <c r="G1256" s="994"/>
      <c r="I1256" s="917"/>
      <c r="J1256" s="430"/>
      <c r="K1256" s="1174"/>
      <c r="L1256" s="1022"/>
      <c r="M1256" s="1175"/>
      <c r="S1256" s="504"/>
      <c r="T1256" s="504"/>
      <c r="U1256" s="504"/>
      <c r="V1256" s="504"/>
      <c r="W1256" s="504"/>
      <c r="X1256" s="504"/>
      <c r="Y1256" s="504"/>
      <c r="Z1256" s="504"/>
      <c r="AA1256" s="504"/>
      <c r="AB1256" s="504"/>
      <c r="AC1256" s="917"/>
      <c r="AD1256" s="917"/>
      <c r="AE1256" s="917"/>
    </row>
    <row r="1257" spans="1:37" x14ac:dyDescent="0.25">
      <c r="A1257" s="1138">
        <v>1248</v>
      </c>
      <c r="B1257" s="1138" t="s">
        <v>53</v>
      </c>
      <c r="C1257" s="1037" t="s">
        <v>180</v>
      </c>
      <c r="D1257" s="988" t="s">
        <v>1767</v>
      </c>
      <c r="E1257" s="970"/>
      <c r="F1257" s="375" t="s">
        <v>1769</v>
      </c>
      <c r="G1257" s="994"/>
      <c r="I1257" s="917"/>
      <c r="J1257" s="430"/>
      <c r="K1257" s="1174"/>
      <c r="L1257" s="1022"/>
      <c r="M1257" s="1175"/>
      <c r="S1257" s="504"/>
      <c r="T1257" s="504"/>
      <c r="U1257" s="504"/>
      <c r="V1257" s="504"/>
      <c r="W1257" s="504"/>
      <c r="X1257" s="504"/>
      <c r="Y1257" s="504"/>
      <c r="Z1257" s="504"/>
      <c r="AA1257" s="504"/>
      <c r="AB1257" s="504"/>
      <c r="AC1257" s="917"/>
      <c r="AD1257" s="917"/>
      <c r="AE1257" s="917"/>
    </row>
    <row r="1258" spans="1:37" x14ac:dyDescent="0.25">
      <c r="A1258" s="1138">
        <v>1249</v>
      </c>
      <c r="B1258" s="1138" t="s">
        <v>53</v>
      </c>
      <c r="C1258" s="1037" t="s">
        <v>180</v>
      </c>
      <c r="D1258" s="988" t="s">
        <v>1021</v>
      </c>
      <c r="E1258" s="970"/>
      <c r="F1258" s="375" t="s">
        <v>1018</v>
      </c>
      <c r="G1258" s="994"/>
      <c r="I1258" s="917"/>
      <c r="K1258" s="1174"/>
      <c r="L1258" s="1022"/>
      <c r="M1258" s="1175"/>
      <c r="S1258" s="504"/>
      <c r="T1258" s="504"/>
      <c r="U1258" s="504"/>
      <c r="V1258" s="504"/>
      <c r="W1258" s="504"/>
      <c r="X1258" s="504"/>
      <c r="Y1258" s="504"/>
      <c r="Z1258" s="504"/>
      <c r="AA1258" s="504"/>
      <c r="AB1258" s="504"/>
      <c r="AC1258" s="917"/>
      <c r="AD1258" s="917"/>
      <c r="AE1258" s="917"/>
    </row>
    <row r="1259" spans="1:37" x14ac:dyDescent="0.25">
      <c r="A1259" s="1138">
        <v>1250</v>
      </c>
      <c r="B1259" s="1138" t="s">
        <v>53</v>
      </c>
      <c r="C1259" s="1037" t="s">
        <v>180</v>
      </c>
      <c r="D1259" s="996" t="s">
        <v>1901</v>
      </c>
      <c r="E1259" s="995"/>
      <c r="F1259" s="375" t="s">
        <v>1018</v>
      </c>
      <c r="G1259" s="994"/>
      <c r="I1259" s="917"/>
      <c r="K1259" s="1174"/>
      <c r="L1259" s="1022"/>
      <c r="M1259" s="1175"/>
      <c r="S1259" s="504"/>
      <c r="T1259" s="504"/>
      <c r="U1259" s="504"/>
      <c r="V1259" s="504"/>
      <c r="W1259" s="504"/>
      <c r="X1259" s="504"/>
      <c r="Y1259" s="504"/>
      <c r="Z1259" s="504"/>
      <c r="AA1259" s="504"/>
      <c r="AB1259" s="504"/>
      <c r="AC1259" s="917"/>
      <c r="AD1259" s="917"/>
      <c r="AE1259" s="917"/>
    </row>
    <row r="1260" spans="1:37" ht="15.75" thickBot="1" x14ac:dyDescent="0.3">
      <c r="A1260" s="1138">
        <v>1251</v>
      </c>
      <c r="B1260" s="1138" t="s">
        <v>53</v>
      </c>
      <c r="C1260" s="1037" t="s">
        <v>180</v>
      </c>
      <c r="D1260" s="929" t="s">
        <v>1019</v>
      </c>
      <c r="E1260" s="928"/>
      <c r="F1260" s="375" t="s">
        <v>1018</v>
      </c>
      <c r="G1260" s="994"/>
      <c r="I1260" s="917"/>
      <c r="K1260" s="1174"/>
      <c r="L1260" s="1022"/>
      <c r="M1260" s="1175"/>
      <c r="S1260" s="504"/>
      <c r="T1260" s="504"/>
      <c r="U1260" s="504"/>
      <c r="V1260" s="504"/>
      <c r="W1260" s="504"/>
      <c r="X1260" s="504"/>
      <c r="Y1260" s="504"/>
      <c r="Z1260" s="504"/>
      <c r="AA1260" s="504"/>
      <c r="AB1260" s="504"/>
      <c r="AC1260" s="917"/>
      <c r="AD1260" s="917"/>
      <c r="AE1260" s="917"/>
    </row>
    <row r="1261" spans="1:37" x14ac:dyDescent="0.25">
      <c r="A1261" s="1138">
        <v>1252</v>
      </c>
      <c r="B1261" s="1138" t="s">
        <v>53</v>
      </c>
      <c r="C1261" s="1037" t="s">
        <v>180</v>
      </c>
      <c r="I1261" s="917"/>
      <c r="K1261" s="1174"/>
      <c r="L1261" s="1022"/>
      <c r="M1261" s="1175"/>
    </row>
    <row r="1262" spans="1:37" x14ac:dyDescent="0.25">
      <c r="A1262" s="1138">
        <v>1253</v>
      </c>
      <c r="B1262" s="1138" t="s">
        <v>53</v>
      </c>
      <c r="C1262" s="1037" t="s">
        <v>180</v>
      </c>
      <c r="D1262" s="958" t="s">
        <v>1012</v>
      </c>
      <c r="E1262" s="1307">
        <f>IF(G1249+G1250&gt;E1245,E1245,G1249+G1250)</f>
        <v>0</v>
      </c>
      <c r="F1262" s="504"/>
      <c r="I1262" s="917"/>
      <c r="J1262" s="430"/>
      <c r="K1262" s="1174"/>
      <c r="L1262" s="1022"/>
      <c r="M1262" s="1175"/>
      <c r="S1262" s="504"/>
      <c r="U1262" s="504"/>
      <c r="V1262" s="504"/>
      <c r="W1262" s="504"/>
      <c r="X1262" s="504"/>
      <c r="Y1262" s="504"/>
      <c r="Z1262" s="504"/>
      <c r="AA1262" s="504"/>
      <c r="AB1262" s="504"/>
      <c r="AC1262" s="917"/>
      <c r="AD1262" s="917"/>
      <c r="AE1262" s="917"/>
    </row>
    <row r="1263" spans="1:37" x14ac:dyDescent="0.25">
      <c r="A1263" s="1138">
        <v>1254</v>
      </c>
      <c r="B1263" s="1138" t="s">
        <v>53</v>
      </c>
      <c r="C1263" s="1037" t="s">
        <v>180</v>
      </c>
      <c r="D1263" s="924" t="s">
        <v>77</v>
      </c>
      <c r="E1263" s="1273">
        <f>Pol02_27</f>
        <v>0</v>
      </c>
      <c r="I1263" s="430"/>
      <c r="J1263" s="430"/>
      <c r="K1263" s="1174"/>
      <c r="L1263" s="1022"/>
      <c r="M1263" s="1175"/>
      <c r="S1263" s="504"/>
      <c r="U1263" s="504"/>
      <c r="V1263" s="504"/>
      <c r="W1263" s="504"/>
      <c r="X1263" s="504"/>
      <c r="Y1263" s="504"/>
      <c r="Z1263" s="504"/>
      <c r="AA1263" s="504"/>
      <c r="AB1263" s="504"/>
      <c r="AC1263" s="917"/>
      <c r="AD1263" s="917"/>
      <c r="AE1263" s="917"/>
    </row>
    <row r="1264" spans="1:37" x14ac:dyDescent="0.25">
      <c r="A1264" s="1138">
        <v>1255</v>
      </c>
      <c r="B1264" s="1138" t="s">
        <v>53</v>
      </c>
      <c r="C1264" s="1037" t="s">
        <v>180</v>
      </c>
      <c r="D1264" s="926" t="s">
        <v>1005</v>
      </c>
      <c r="E1264" s="1272" t="s">
        <v>14</v>
      </c>
      <c r="I1264" s="430"/>
      <c r="J1264" s="430"/>
      <c r="K1264" s="1174"/>
      <c r="L1264" s="1022"/>
      <c r="M1264" s="1175"/>
      <c r="S1264" s="504"/>
      <c r="U1264" s="504"/>
      <c r="V1264" s="504"/>
      <c r="W1264" s="504"/>
      <c r="X1264" s="504"/>
      <c r="Y1264" s="504"/>
      <c r="Z1264" s="504"/>
      <c r="AA1264" s="504"/>
      <c r="AB1264" s="504"/>
      <c r="AC1264" s="917"/>
      <c r="AD1264" s="917"/>
      <c r="AE1264" s="917"/>
    </row>
    <row r="1265" spans="1:37" x14ac:dyDescent="0.25">
      <c r="A1265" s="1138">
        <v>1256</v>
      </c>
      <c r="B1265" s="1138" t="s">
        <v>53</v>
      </c>
      <c r="C1265" s="1037" t="s">
        <v>180</v>
      </c>
      <c r="D1265" s="923" t="s">
        <v>46</v>
      </c>
      <c r="E1265" s="1290" t="s">
        <v>14</v>
      </c>
      <c r="I1265" s="430"/>
      <c r="J1265" s="430"/>
      <c r="K1265" s="1174"/>
      <c r="L1265" s="1022"/>
      <c r="M1265" s="1175"/>
      <c r="S1265" s="504"/>
      <c r="U1265" s="504"/>
      <c r="V1265" s="504"/>
      <c r="W1265" s="504"/>
      <c r="X1265" s="504"/>
      <c r="Y1265" s="504"/>
      <c r="Z1265" s="504"/>
      <c r="AA1265" s="504"/>
      <c r="AB1265" s="504"/>
      <c r="AC1265" s="917"/>
      <c r="AD1265" s="917"/>
      <c r="AE1265" s="917"/>
    </row>
    <row r="1266" spans="1:37" x14ac:dyDescent="0.25">
      <c r="A1266" s="1138">
        <v>1257</v>
      </c>
      <c r="B1266" s="1138" t="s">
        <v>53</v>
      </c>
      <c r="C1266" s="1037" t="s">
        <v>180</v>
      </c>
      <c r="I1266" s="430"/>
      <c r="J1266" s="430"/>
      <c r="K1266" s="1174"/>
      <c r="L1266" s="1022"/>
      <c r="M1266" s="1175"/>
      <c r="S1266" s="504"/>
      <c r="T1266" s="504"/>
      <c r="U1266" s="504"/>
      <c r="V1266" s="504"/>
      <c r="W1266" s="504"/>
      <c r="X1266" s="504"/>
      <c r="Y1266" s="504"/>
      <c r="Z1266" s="504"/>
      <c r="AA1266" s="504"/>
      <c r="AB1266" s="504"/>
      <c r="AC1266" s="917"/>
      <c r="AD1266" s="917"/>
      <c r="AE1266" s="917"/>
    </row>
    <row r="1267" spans="1:37" x14ac:dyDescent="0.25">
      <c r="A1267" s="1138">
        <v>1258</v>
      </c>
      <c r="B1267" s="1138" t="s">
        <v>53</v>
      </c>
      <c r="C1267" s="1037" t="s">
        <v>180</v>
      </c>
      <c r="D1267" s="920" t="s">
        <v>1004</v>
      </c>
      <c r="E1267" s="920" t="s">
        <v>1003</v>
      </c>
      <c r="F1267" s="920" t="str">
        <f>HLOOKUP(C1267,'Assessment References'!$H$512:$BG$513,2,FALSE)</f>
        <v/>
      </c>
      <c r="G1267" s="919"/>
      <c r="H1267" s="918"/>
      <c r="I1267" s="430"/>
      <c r="J1267" s="430"/>
      <c r="K1267" s="1174"/>
      <c r="L1267" s="1022"/>
      <c r="M1267" s="1175"/>
      <c r="S1267" s="504"/>
      <c r="T1267" s="504"/>
      <c r="U1267" s="504"/>
      <c r="V1267" s="504"/>
      <c r="W1267" s="504"/>
      <c r="X1267" s="504"/>
      <c r="Y1267" s="504"/>
      <c r="Z1267" s="504"/>
      <c r="AA1267" s="504"/>
      <c r="AB1267" s="504"/>
      <c r="AC1267" s="917"/>
      <c r="AD1267" s="917"/>
      <c r="AE1267" s="917"/>
    </row>
    <row r="1268" spans="1:37" x14ac:dyDescent="0.25">
      <c r="A1268" s="1138">
        <v>1259</v>
      </c>
      <c r="B1268" s="1138" t="s">
        <v>53</v>
      </c>
      <c r="C1268" s="1037" t="s">
        <v>180</v>
      </c>
      <c r="D1268" s="1539"/>
      <c r="E1268" s="1540"/>
      <c r="F1268" s="1540"/>
      <c r="G1268" s="1540"/>
      <c r="H1268" s="1541"/>
      <c r="I1268" s="430"/>
      <c r="J1268" s="430"/>
      <c r="K1268" s="1174"/>
      <c r="L1268" s="1022"/>
      <c r="M1268" s="1175"/>
      <c r="S1268" s="504"/>
      <c r="T1268" s="504"/>
      <c r="U1268" s="504"/>
      <c r="V1268" s="504"/>
      <c r="W1268" s="504"/>
      <c r="X1268" s="504"/>
      <c r="Y1268" s="504"/>
      <c r="Z1268" s="504"/>
      <c r="AA1268" s="504"/>
      <c r="AB1268" s="504"/>
      <c r="AC1268" s="917"/>
      <c r="AD1268" s="917"/>
      <c r="AE1268" s="917"/>
    </row>
    <row r="1269" spans="1:37" x14ac:dyDescent="0.25">
      <c r="A1269" s="1138">
        <v>1260</v>
      </c>
      <c r="B1269" s="1138" t="s">
        <v>53</v>
      </c>
      <c r="C1269" s="1037" t="s">
        <v>180</v>
      </c>
      <c r="D1269" s="1530"/>
      <c r="E1269" s="1531"/>
      <c r="F1269" s="1531"/>
      <c r="G1269" s="1531"/>
      <c r="H1269" s="1532"/>
      <c r="I1269" s="430"/>
      <c r="J1269" s="430"/>
      <c r="K1269" s="1174"/>
      <c r="L1269" s="1022"/>
      <c r="M1269" s="1175"/>
      <c r="S1269" s="504"/>
      <c r="T1269" s="504"/>
      <c r="U1269" s="504"/>
      <c r="V1269" s="504"/>
      <c r="W1269" s="504"/>
      <c r="X1269" s="504"/>
      <c r="Y1269" s="504"/>
      <c r="Z1269" s="504"/>
      <c r="AA1269" s="504"/>
      <c r="AB1269" s="504"/>
      <c r="AC1269" s="917"/>
      <c r="AD1269" s="917"/>
      <c r="AE1269" s="917"/>
    </row>
    <row r="1270" spans="1:37" x14ac:dyDescent="0.25">
      <c r="A1270" s="1138">
        <v>1261</v>
      </c>
      <c r="B1270" s="1138" t="s">
        <v>53</v>
      </c>
      <c r="C1270" s="1037" t="s">
        <v>180</v>
      </c>
      <c r="D1270" s="1530"/>
      <c r="E1270" s="1531"/>
      <c r="F1270" s="1531"/>
      <c r="G1270" s="1531"/>
      <c r="H1270" s="1532"/>
      <c r="I1270" s="430"/>
      <c r="J1270" s="430"/>
      <c r="K1270" s="1174"/>
      <c r="L1270" s="1022"/>
      <c r="M1270" s="1175"/>
      <c r="S1270" s="504"/>
      <c r="T1270" s="504"/>
      <c r="U1270" s="504"/>
      <c r="V1270" s="504"/>
      <c r="W1270" s="504"/>
      <c r="X1270" s="504"/>
      <c r="Y1270" s="504"/>
      <c r="Z1270" s="504"/>
      <c r="AA1270" s="504"/>
      <c r="AB1270" s="504"/>
      <c r="AC1270" s="917"/>
      <c r="AD1270" s="917"/>
      <c r="AE1270" s="917"/>
    </row>
    <row r="1271" spans="1:37" x14ac:dyDescent="0.25">
      <c r="A1271" s="1138">
        <v>1262</v>
      </c>
      <c r="B1271" s="1138" t="s">
        <v>53</v>
      </c>
      <c r="C1271" s="1037" t="s">
        <v>180</v>
      </c>
      <c r="D1271" s="1533"/>
      <c r="E1271" s="1534"/>
      <c r="F1271" s="1534"/>
      <c r="G1271" s="1534"/>
      <c r="H1271" s="1535"/>
      <c r="I1271" s="430"/>
      <c r="J1271" s="430"/>
      <c r="K1271" s="1174"/>
      <c r="L1271" s="1022"/>
      <c r="M1271" s="1175"/>
      <c r="S1271" s="504"/>
      <c r="T1271" s="504"/>
      <c r="U1271" s="504"/>
      <c r="V1271" s="504"/>
      <c r="W1271" s="504"/>
      <c r="X1271" s="504"/>
      <c r="Y1271" s="504"/>
      <c r="Z1271" s="504"/>
      <c r="AA1271" s="504"/>
      <c r="AB1271" s="504"/>
      <c r="AC1271" s="917"/>
      <c r="AD1271" s="917"/>
      <c r="AE1271" s="917"/>
    </row>
    <row r="1272" spans="1:37" x14ac:dyDescent="0.25">
      <c r="A1272" s="1138">
        <v>1263</v>
      </c>
      <c r="B1272" s="1138" t="s">
        <v>53</v>
      </c>
      <c r="C1272" s="1037" t="s">
        <v>180</v>
      </c>
      <c r="D1272" s="1533"/>
      <c r="E1272" s="1534"/>
      <c r="F1272" s="1534"/>
      <c r="G1272" s="1534"/>
      <c r="H1272" s="1535"/>
      <c r="I1272" s="430"/>
      <c r="J1272" s="430"/>
      <c r="K1272" s="1174"/>
      <c r="L1272" s="1022"/>
      <c r="M1272" s="1175"/>
      <c r="S1272" s="504"/>
      <c r="T1272" s="504"/>
      <c r="U1272" s="504"/>
      <c r="V1272" s="504"/>
      <c r="W1272" s="504"/>
      <c r="X1272" s="504"/>
      <c r="Y1272" s="504"/>
      <c r="Z1272" s="504"/>
      <c r="AA1272" s="504"/>
      <c r="AB1272" s="504"/>
      <c r="AC1272" s="917"/>
      <c r="AD1272" s="917"/>
      <c r="AE1272" s="917"/>
    </row>
    <row r="1273" spans="1:37" x14ac:dyDescent="0.25">
      <c r="A1273" s="1138">
        <v>1264</v>
      </c>
      <c r="B1273" s="1138" t="s">
        <v>53</v>
      </c>
      <c r="C1273" s="1037" t="s">
        <v>180</v>
      </c>
      <c r="D1273" s="1536"/>
      <c r="E1273" s="1537"/>
      <c r="F1273" s="1537"/>
      <c r="G1273" s="1537"/>
      <c r="H1273" s="1538"/>
      <c r="I1273" s="430"/>
      <c r="J1273" s="430"/>
      <c r="K1273" s="1174"/>
      <c r="L1273" s="1022"/>
      <c r="M1273" s="1175"/>
      <c r="S1273" s="504"/>
      <c r="T1273" s="504"/>
      <c r="U1273" s="504"/>
      <c r="V1273" s="504"/>
      <c r="W1273" s="504"/>
      <c r="X1273" s="504"/>
      <c r="Y1273" s="504"/>
      <c r="Z1273" s="504"/>
      <c r="AA1273" s="504"/>
      <c r="AB1273" s="504"/>
      <c r="AC1273" s="917"/>
      <c r="AD1273" s="917"/>
      <c r="AE1273" s="917"/>
    </row>
    <row r="1274" spans="1:37" x14ac:dyDescent="0.25">
      <c r="A1274" s="1138">
        <v>1265</v>
      </c>
      <c r="B1274" s="1138" t="s">
        <v>53</v>
      </c>
      <c r="C1274" s="1037" t="s">
        <v>180</v>
      </c>
      <c r="D1274" s="985"/>
      <c r="E1274" s="985"/>
      <c r="F1274" s="984"/>
      <c r="G1274" s="984"/>
      <c r="H1274" s="984"/>
      <c r="I1274" s="430"/>
      <c r="J1274" s="430"/>
      <c r="K1274" s="1174"/>
      <c r="L1274" s="1022"/>
      <c r="M1274" s="1175"/>
      <c r="S1274" s="504"/>
      <c r="T1274" s="504"/>
      <c r="U1274" s="504"/>
      <c r="V1274" s="504"/>
      <c r="W1274" s="504"/>
      <c r="X1274" s="504"/>
      <c r="Y1274" s="504"/>
      <c r="Z1274" s="504"/>
      <c r="AA1274" s="504"/>
      <c r="AB1274" s="504"/>
      <c r="AC1274" s="917"/>
      <c r="AD1274" s="917"/>
      <c r="AE1274" s="917"/>
    </row>
    <row r="1275" spans="1:37" x14ac:dyDescent="0.25">
      <c r="A1275" s="1138">
        <v>1266</v>
      </c>
      <c r="B1275" s="1139" t="s">
        <v>53</v>
      </c>
      <c r="C1275" s="978" t="s">
        <v>182</v>
      </c>
      <c r="D1275" s="977" t="s">
        <v>881</v>
      </c>
      <c r="E1275" s="976"/>
      <c r="F1275" s="976"/>
      <c r="G1275" s="975"/>
      <c r="H1275" s="975"/>
      <c r="I1275" s="983"/>
      <c r="J1275" s="983"/>
      <c r="K1275" s="1174"/>
      <c r="L1275" s="1022"/>
      <c r="M1275" s="1175"/>
      <c r="S1275" s="504"/>
      <c r="T1275" s="504"/>
      <c r="U1275" s="504"/>
      <c r="V1275" s="504"/>
      <c r="W1275" s="504"/>
      <c r="X1275" s="504"/>
      <c r="Y1275" s="504"/>
      <c r="Z1275" s="504"/>
      <c r="AA1275" s="504"/>
      <c r="AB1275" s="504"/>
      <c r="AC1275" s="917"/>
      <c r="AD1275" s="917"/>
      <c r="AE1275" s="917"/>
    </row>
    <row r="1276" spans="1:37" x14ac:dyDescent="0.25">
      <c r="A1276" s="1138">
        <v>1267</v>
      </c>
      <c r="B1276" s="1138" t="s">
        <v>53</v>
      </c>
      <c r="C1276" s="1037" t="s">
        <v>182</v>
      </c>
      <c r="D1276" s="946" t="s">
        <v>15</v>
      </c>
      <c r="E1276" s="1264">
        <f>Pol04_credits</f>
        <v>1</v>
      </c>
      <c r="F1276" s="945"/>
      <c r="G1276" s="944" t="s">
        <v>76</v>
      </c>
      <c r="H1276" s="1266">
        <f>Pol04_05</f>
        <v>5.7142857142857143E-3</v>
      </c>
      <c r="I1276" s="430"/>
      <c r="J1276" s="430"/>
      <c r="K1276" s="1174"/>
      <c r="L1276" s="1022"/>
      <c r="M1276" s="1175"/>
      <c r="S1276" s="504"/>
      <c r="T1276" s="504"/>
      <c r="U1276" s="504"/>
      <c r="V1276" s="504"/>
      <c r="W1276" s="504"/>
      <c r="X1276" s="504"/>
      <c r="Y1276" s="504"/>
      <c r="Z1276" s="504"/>
      <c r="AA1276" s="504"/>
      <c r="AB1276" s="504"/>
      <c r="AC1276" s="917"/>
      <c r="AD1276" s="917"/>
      <c r="AE1276" s="917"/>
    </row>
    <row r="1277" spans="1:37" x14ac:dyDescent="0.25">
      <c r="A1277" s="1138">
        <v>1268</v>
      </c>
      <c r="B1277" s="1138" t="s">
        <v>53</v>
      </c>
      <c r="C1277" s="1037" t="s">
        <v>182</v>
      </c>
      <c r="D1277" s="972" t="s">
        <v>1011</v>
      </c>
      <c r="E1277" s="1265">
        <v>0</v>
      </c>
      <c r="F1277" s="941"/>
      <c r="G1277" s="940" t="s">
        <v>1010</v>
      </c>
      <c r="H1277" s="1267" t="s">
        <v>13</v>
      </c>
      <c r="I1277" s="430"/>
      <c r="J1277" s="430"/>
      <c r="K1277" s="1174"/>
      <c r="L1277" s="1022"/>
      <c r="M1277" s="1175"/>
      <c r="S1277" s="504"/>
      <c r="T1277" s="504"/>
      <c r="U1277" s="504"/>
      <c r="V1277" s="504"/>
      <c r="W1277" s="504"/>
      <c r="X1277" s="504"/>
      <c r="Y1277" s="504"/>
      <c r="Z1277" s="504"/>
      <c r="AA1277" s="504"/>
      <c r="AB1277" s="504"/>
      <c r="AC1277" s="917"/>
      <c r="AD1277" s="917"/>
      <c r="AE1277" s="917"/>
    </row>
    <row r="1278" spans="1:37" x14ac:dyDescent="0.25">
      <c r="A1278" s="1138">
        <v>1269</v>
      </c>
      <c r="B1278" s="1138" t="s">
        <v>53</v>
      </c>
      <c r="C1278" s="1037" t="s">
        <v>182</v>
      </c>
      <c r="I1278" s="430"/>
      <c r="J1278" s="430"/>
      <c r="K1278" s="1174"/>
      <c r="L1278" s="1022"/>
      <c r="M1278" s="1175"/>
      <c r="S1278" s="504"/>
      <c r="T1278" s="504"/>
      <c r="U1278" s="504"/>
      <c r="V1278" s="504"/>
      <c r="W1278" s="504"/>
      <c r="X1278" s="504"/>
      <c r="Y1278" s="504"/>
      <c r="Z1278" s="504"/>
      <c r="AA1278" s="504"/>
      <c r="AB1278" s="504"/>
      <c r="AC1278" s="917"/>
      <c r="AD1278" s="917"/>
      <c r="AE1278" s="917"/>
    </row>
    <row r="1279" spans="1:37" ht="15.75" thickBot="1" x14ac:dyDescent="0.3">
      <c r="A1279" s="1138">
        <v>1270</v>
      </c>
      <c r="B1279" s="1138" t="s">
        <v>53</v>
      </c>
      <c r="C1279" s="1037" t="s">
        <v>182</v>
      </c>
      <c r="D1279" s="938" t="s">
        <v>1009</v>
      </c>
      <c r="E1279" s="937" t="s">
        <v>1008</v>
      </c>
      <c r="F1279" s="937" t="s">
        <v>1007</v>
      </c>
      <c r="G1279" s="937" t="s">
        <v>1006</v>
      </c>
      <c r="H1279" s="937" t="s">
        <v>1014</v>
      </c>
      <c r="I1279" s="430"/>
      <c r="J1279" s="430"/>
      <c r="K1279" s="1174"/>
      <c r="L1279" s="1022"/>
      <c r="M1279" s="1175"/>
      <c r="S1279" s="504"/>
      <c r="T1279" s="504"/>
      <c r="U1279" s="504"/>
      <c r="V1279" s="504"/>
      <c r="W1279" s="504"/>
      <c r="X1279" s="504"/>
      <c r="Y1279" s="504"/>
      <c r="Z1279" s="504"/>
      <c r="AA1279" s="504"/>
      <c r="AB1279" s="504"/>
      <c r="AC1279" s="917"/>
      <c r="AD1279" s="917"/>
      <c r="AE1279" s="917"/>
    </row>
    <row r="1280" spans="1:37" ht="15.75" thickBot="1" x14ac:dyDescent="0.3">
      <c r="A1280" s="1138">
        <v>1271</v>
      </c>
      <c r="B1280" s="1138" t="s">
        <v>53</v>
      </c>
      <c r="C1280" s="1037" t="s">
        <v>182</v>
      </c>
      <c r="D1280" s="1168" t="s">
        <v>882</v>
      </c>
      <c r="E1280" s="1337" t="str">
        <f>IF('Assessment Details'!F18=AIS_Yes,'Assessment Issue Scoring'!K1281,IF('Assessment Details'!F18=AIS_No,'Assessment Issue Scoring'!K1280,""))</f>
        <v/>
      </c>
      <c r="F1280" s="1223">
        <f>Poeng!AB209</f>
        <v>1</v>
      </c>
      <c r="G1280" s="1223">
        <f>IF(E1280=K1280,F1280,0)</f>
        <v>0</v>
      </c>
      <c r="H1280" s="1223" t="s">
        <v>14</v>
      </c>
      <c r="I1280" s="917"/>
      <c r="J1280" s="430"/>
      <c r="K1280" s="1184" t="s">
        <v>1560</v>
      </c>
      <c r="L1280" s="1022"/>
      <c r="M1280" s="1175"/>
      <c r="S1280" s="846">
        <v>1</v>
      </c>
      <c r="T1280" s="846">
        <v>0.5</v>
      </c>
      <c r="U1280" s="968">
        <v>1</v>
      </c>
      <c r="V1280" s="146" t="str">
        <f>IF($X$4=AIS_Yes,S1280,AIS_NA)</f>
        <v>N/A</v>
      </c>
      <c r="W1280" s="43" t="str">
        <f>IF($X$4=AIS_Yes,T1280,AIS_NA)</f>
        <v>N/A</v>
      </c>
      <c r="X1280" s="163" t="str">
        <f>IF($X$4=AIS_Yes,U1280,AIS_NA)</f>
        <v>N/A</v>
      </c>
      <c r="Y1280" s="967" t="str">
        <f>IF(AND($X$4=AIS_Yes,OR(V1280&lt;&gt;AIS_NA,W1280&lt;&gt;AIS_NA,X1280&lt;&gt;AIS_NA)),AIS_Yes,AIS_No)</f>
        <v>No</v>
      </c>
      <c r="Z1280" s="146" t="e">
        <f>AIS_option01</f>
        <v>#NAME?</v>
      </c>
      <c r="AA1280" s="43" t="e">
        <f>AIS_option02_50</f>
        <v>#NAME?</v>
      </c>
      <c r="AB1280" s="147" t="e">
        <f>AIS_option03</f>
        <v>#NAME?</v>
      </c>
      <c r="AC1280" s="966"/>
      <c r="AD1280" s="965"/>
      <c r="AE1280" s="962" t="str">
        <f>IF(Y1280=AIS_Yes,Z1280,AIS_NA)</f>
        <v>N/A</v>
      </c>
      <c r="AF1280" s="962" t="str">
        <f>IF(Y1280=AIS_Yes,AA1280,AIS_NA)</f>
        <v>N/A</v>
      </c>
      <c r="AG1280" s="964" t="str">
        <f>IF(Y1280=AIS_Yes,AB1280,AIS_NA)</f>
        <v>N/A</v>
      </c>
      <c r="AH1280" s="963" t="str">
        <f>C1280</f>
        <v>POL 04</v>
      </c>
      <c r="AI1280" s="962" t="str">
        <f>D1280</f>
        <v xml:space="preserve">No external lighting pollution </v>
      </c>
      <c r="AJ1280" s="961" t="str">
        <f>H1280</f>
        <v>N/A</v>
      </c>
      <c r="AK1280" s="375">
        <f>IF(Y1280=AIS_No,1,IF(H1280=AE1280,V1280,IF(H1280=AF1280,W1280,IF(H1280=AG1280,X1280,1))))</f>
        <v>1</v>
      </c>
    </row>
    <row r="1281" spans="1:35" ht="15.75" thickBot="1" x14ac:dyDescent="0.3">
      <c r="A1281" s="1138">
        <v>1272</v>
      </c>
      <c r="B1281" s="1138" t="s">
        <v>53</v>
      </c>
      <c r="C1281" s="1037" t="s">
        <v>182</v>
      </c>
      <c r="D1281" s="1170" t="s">
        <v>883</v>
      </c>
      <c r="E1281" s="1275" t="s">
        <v>316</v>
      </c>
      <c r="F1281" s="1226">
        <f>Poeng!AB210</f>
        <v>0</v>
      </c>
      <c r="G1281" s="1227">
        <f>IF(E1281=AIS_Yes,F1281,0)</f>
        <v>0</v>
      </c>
      <c r="H1281" s="1227" t="s">
        <v>14</v>
      </c>
      <c r="I1281" s="917"/>
      <c r="J1281" s="430"/>
      <c r="K1281" s="1184" t="s">
        <v>1561</v>
      </c>
      <c r="L1281" s="1022"/>
      <c r="M1281" s="1175"/>
      <c r="S1281" s="213"/>
      <c r="T1281" s="213"/>
      <c r="U1281" s="213"/>
      <c r="V1281"/>
      <c r="W1281"/>
      <c r="X1281"/>
      <c r="Y1281" s="504"/>
      <c r="Z1281"/>
      <c r="AA1281"/>
      <c r="AB1281"/>
      <c r="AC1281"/>
      <c r="AD1281"/>
      <c r="AE1281"/>
      <c r="AF1281"/>
      <c r="AG1281"/>
      <c r="AI1281"/>
    </row>
    <row r="1282" spans="1:35" x14ac:dyDescent="0.25">
      <c r="A1282" s="1138">
        <v>1273</v>
      </c>
      <c r="B1282" s="1138" t="s">
        <v>53</v>
      </c>
      <c r="C1282" s="1037" t="s">
        <v>182</v>
      </c>
      <c r="E1282" s="959"/>
      <c r="I1282" s="430"/>
      <c r="J1282" s="430"/>
      <c r="K1282" s="1174"/>
      <c r="L1282" s="1022"/>
      <c r="M1282" s="1175"/>
      <c r="S1282" s="504"/>
      <c r="T1282" s="504"/>
      <c r="U1282" s="504"/>
      <c r="V1282" s="504"/>
      <c r="W1282" s="504"/>
      <c r="X1282" s="504"/>
      <c r="Y1282" s="504"/>
      <c r="Z1282" s="504"/>
      <c r="AA1282" s="504"/>
      <c r="AB1282" s="504"/>
      <c r="AC1282" s="917"/>
      <c r="AD1282" s="917"/>
      <c r="AE1282" s="917"/>
    </row>
    <row r="1283" spans="1:35" x14ac:dyDescent="0.25">
      <c r="A1283" s="1138">
        <v>1274</v>
      </c>
      <c r="B1283" s="1138" t="s">
        <v>53</v>
      </c>
      <c r="C1283" s="1037" t="s">
        <v>182</v>
      </c>
      <c r="D1283" s="958" t="s">
        <v>1012</v>
      </c>
      <c r="E1283" s="1307">
        <f>IF(G1280+G1281&gt;E1276,E1276,G1280+G1281)</f>
        <v>0</v>
      </c>
      <c r="I1283" s="430"/>
      <c r="J1283" s="430"/>
      <c r="K1283" s="1174"/>
      <c r="L1283" s="1022"/>
      <c r="M1283" s="1175"/>
      <c r="S1283" s="504"/>
      <c r="T1283" s="504"/>
      <c r="U1283" s="504"/>
      <c r="V1283" s="504"/>
      <c r="W1283" s="504"/>
      <c r="X1283" s="504"/>
      <c r="Y1283" s="504"/>
      <c r="Z1283" s="504"/>
      <c r="AA1283" s="504"/>
      <c r="AB1283" s="504"/>
      <c r="AC1283" s="917"/>
      <c r="AD1283" s="917"/>
      <c r="AE1283" s="917"/>
    </row>
    <row r="1284" spans="1:35" x14ac:dyDescent="0.25">
      <c r="A1284" s="1138">
        <v>1275</v>
      </c>
      <c r="B1284" s="1138" t="s">
        <v>53</v>
      </c>
      <c r="C1284" s="1037" t="s">
        <v>182</v>
      </c>
      <c r="D1284" s="924" t="s">
        <v>77</v>
      </c>
      <c r="E1284" s="1273">
        <f>Pol04_06</f>
        <v>0</v>
      </c>
      <c r="I1284" s="430"/>
      <c r="J1284" s="430"/>
      <c r="K1284" s="1174"/>
      <c r="L1284" s="1022"/>
      <c r="M1284" s="1175"/>
      <c r="S1284" s="504"/>
      <c r="T1284" s="504"/>
      <c r="U1284" s="504"/>
      <c r="V1284" s="504"/>
      <c r="W1284" s="504"/>
      <c r="X1284" s="504"/>
      <c r="Y1284" s="504"/>
      <c r="Z1284" s="504"/>
      <c r="AA1284" s="504"/>
      <c r="AB1284" s="504"/>
      <c r="AC1284" s="917"/>
      <c r="AD1284" s="917"/>
      <c r="AE1284" s="917"/>
    </row>
    <row r="1285" spans="1:35" x14ac:dyDescent="0.25">
      <c r="A1285" s="1138">
        <v>1276</v>
      </c>
      <c r="B1285" s="1138" t="s">
        <v>53</v>
      </c>
      <c r="C1285" s="1037" t="s">
        <v>182</v>
      </c>
      <c r="D1285" s="926" t="s">
        <v>1005</v>
      </c>
      <c r="E1285" s="1272" t="s">
        <v>14</v>
      </c>
      <c r="I1285" s="430"/>
      <c r="J1285" s="430"/>
      <c r="K1285" s="1174"/>
      <c r="L1285" s="1022"/>
      <c r="M1285" s="1175"/>
      <c r="S1285" s="504"/>
      <c r="T1285" s="504"/>
      <c r="U1285" s="504"/>
      <c r="V1285" s="504"/>
      <c r="W1285" s="504"/>
      <c r="X1285" s="504"/>
      <c r="Y1285" s="504"/>
      <c r="Z1285" s="504"/>
      <c r="AA1285" s="504"/>
      <c r="AB1285" s="504"/>
      <c r="AC1285" s="917"/>
      <c r="AD1285" s="917"/>
      <c r="AE1285" s="917"/>
    </row>
    <row r="1286" spans="1:35" x14ac:dyDescent="0.25">
      <c r="A1286" s="1138">
        <v>1277</v>
      </c>
      <c r="B1286" s="1138" t="s">
        <v>53</v>
      </c>
      <c r="C1286" s="1037" t="s">
        <v>182</v>
      </c>
      <c r="D1286" s="923" t="s">
        <v>46</v>
      </c>
      <c r="E1286" s="1306" t="s">
        <v>14</v>
      </c>
      <c r="I1286" s="910"/>
      <c r="J1286" s="980"/>
      <c r="K1286" s="1174"/>
      <c r="L1286" s="1022"/>
      <c r="M1286" s="1175"/>
      <c r="S1286" s="504"/>
      <c r="T1286" s="504"/>
      <c r="U1286" s="504"/>
      <c r="V1286" s="504"/>
      <c r="W1286" s="504"/>
      <c r="X1286" s="504"/>
      <c r="Y1286" s="504"/>
      <c r="Z1286" s="504"/>
      <c r="AA1286" s="504"/>
      <c r="AB1286" s="504"/>
      <c r="AC1286" s="917"/>
      <c r="AD1286" s="917"/>
      <c r="AE1286" s="917"/>
    </row>
    <row r="1287" spans="1:35" x14ac:dyDescent="0.25">
      <c r="A1287" s="1138">
        <v>1278</v>
      </c>
      <c r="B1287" s="1138" t="s">
        <v>53</v>
      </c>
      <c r="C1287" s="1037" t="s">
        <v>182</v>
      </c>
      <c r="I1287" s="910"/>
      <c r="J1287" s="910"/>
      <c r="K1287" s="1174"/>
      <c r="L1287" s="1022"/>
      <c r="M1287" s="1175"/>
      <c r="S1287" s="504"/>
      <c r="T1287" s="504"/>
      <c r="U1287" s="504"/>
      <c r="V1287" s="504"/>
      <c r="W1287" s="504"/>
      <c r="X1287" s="504"/>
      <c r="Y1287" s="504"/>
      <c r="Z1287" s="504"/>
      <c r="AA1287" s="504"/>
      <c r="AB1287" s="504"/>
      <c r="AC1287" s="322"/>
      <c r="AD1287" s="322"/>
      <c r="AE1287" s="322"/>
    </row>
    <row r="1288" spans="1:35" x14ac:dyDescent="0.25">
      <c r="A1288" s="1138">
        <v>1279</v>
      </c>
      <c r="B1288" s="1138" t="s">
        <v>53</v>
      </c>
      <c r="C1288" s="1037" t="s">
        <v>182</v>
      </c>
      <c r="D1288" s="920" t="s">
        <v>1004</v>
      </c>
      <c r="E1288" s="920" t="s">
        <v>1003</v>
      </c>
      <c r="F1288" s="920" t="str">
        <f>HLOOKUP(C1288,'Assessment References'!$H$512:$BG$513,2,FALSE)</f>
        <v/>
      </c>
      <c r="G1288" s="919"/>
      <c r="H1288" s="918"/>
      <c r="I1288" s="910"/>
      <c r="J1288" s="910"/>
      <c r="K1288" s="1174"/>
      <c r="L1288" s="1022"/>
      <c r="M1288" s="1175"/>
      <c r="S1288" s="504"/>
      <c r="T1288" s="504"/>
      <c r="U1288" s="504"/>
      <c r="V1288" s="504"/>
      <c r="W1288" s="504"/>
      <c r="X1288" s="504"/>
      <c r="Y1288" s="504"/>
      <c r="Z1288" s="504"/>
      <c r="AA1288" s="504"/>
      <c r="AB1288" s="504"/>
      <c r="AC1288" s="322"/>
      <c r="AD1288" s="322"/>
      <c r="AE1288" s="322"/>
    </row>
    <row r="1289" spans="1:35" x14ac:dyDescent="0.25">
      <c r="A1289" s="1138">
        <v>1280</v>
      </c>
      <c r="B1289" s="1138" t="s">
        <v>53</v>
      </c>
      <c r="C1289" s="1037" t="s">
        <v>182</v>
      </c>
      <c r="D1289" s="1539"/>
      <c r="E1289" s="1540"/>
      <c r="F1289" s="1540"/>
      <c r="G1289" s="1540"/>
      <c r="H1289" s="1541"/>
      <c r="I1289" s="910"/>
      <c r="J1289" s="910"/>
      <c r="K1289" s="1174"/>
      <c r="L1289" s="1022"/>
      <c r="M1289" s="1175"/>
      <c r="S1289" s="504"/>
      <c r="T1289" s="504"/>
      <c r="U1289" s="504"/>
      <c r="V1289" s="504"/>
      <c r="W1289" s="504"/>
      <c r="X1289" s="504"/>
      <c r="Y1289" s="504"/>
      <c r="Z1289" s="504"/>
      <c r="AA1289" s="504"/>
      <c r="AB1289" s="504"/>
      <c r="AC1289" s="322"/>
      <c r="AD1289" s="322"/>
      <c r="AE1289" s="322"/>
    </row>
    <row r="1290" spans="1:35" x14ac:dyDescent="0.25">
      <c r="A1290" s="1138">
        <v>1281</v>
      </c>
      <c r="B1290" s="1138" t="s">
        <v>53</v>
      </c>
      <c r="C1290" s="1037" t="s">
        <v>182</v>
      </c>
      <c r="D1290" s="1530"/>
      <c r="E1290" s="1531"/>
      <c r="F1290" s="1531"/>
      <c r="G1290" s="1531"/>
      <c r="H1290" s="1532"/>
      <c r="I1290" s="910"/>
      <c r="J1290" s="910"/>
      <c r="K1290" s="1174"/>
      <c r="L1290" s="1022"/>
      <c r="M1290" s="1175"/>
      <c r="S1290" s="504"/>
      <c r="T1290" s="504"/>
      <c r="U1290" s="504"/>
      <c r="V1290" s="504"/>
      <c r="W1290" s="504"/>
      <c r="X1290" s="504"/>
      <c r="Y1290" s="504"/>
      <c r="Z1290" s="504"/>
      <c r="AA1290" s="504"/>
      <c r="AB1290" s="504"/>
      <c r="AC1290" s="322"/>
      <c r="AD1290" s="322"/>
      <c r="AE1290" s="322"/>
    </row>
    <row r="1291" spans="1:35" x14ac:dyDescent="0.25">
      <c r="A1291" s="1138">
        <v>1282</v>
      </c>
      <c r="B1291" s="1138" t="s">
        <v>53</v>
      </c>
      <c r="C1291" s="1037" t="s">
        <v>182</v>
      </c>
      <c r="D1291" s="1530"/>
      <c r="E1291" s="1531"/>
      <c r="F1291" s="1531"/>
      <c r="G1291" s="1531"/>
      <c r="H1291" s="1532"/>
      <c r="I1291" s="910"/>
      <c r="J1291" s="910"/>
      <c r="K1291" s="1174"/>
      <c r="L1291" s="1022"/>
      <c r="M1291" s="1175"/>
      <c r="S1291" s="504"/>
      <c r="T1291" s="504"/>
      <c r="U1291" s="504"/>
      <c r="V1291" s="504"/>
      <c r="W1291" s="504"/>
      <c r="X1291" s="504"/>
      <c r="Y1291" s="504"/>
      <c r="Z1291" s="504"/>
      <c r="AA1291" s="504"/>
      <c r="AB1291" s="504"/>
      <c r="AC1291" s="322"/>
      <c r="AD1291" s="322"/>
      <c r="AE1291" s="322"/>
    </row>
    <row r="1292" spans="1:35" x14ac:dyDescent="0.25">
      <c r="A1292" s="1138">
        <v>1283</v>
      </c>
      <c r="B1292" s="1138" t="s">
        <v>53</v>
      </c>
      <c r="C1292" s="1037" t="s">
        <v>182</v>
      </c>
      <c r="D1292" s="1533"/>
      <c r="E1292" s="1534"/>
      <c r="F1292" s="1534"/>
      <c r="G1292" s="1534"/>
      <c r="H1292" s="1535"/>
      <c r="I1292" s="910"/>
      <c r="J1292" s="910"/>
      <c r="K1292" s="1174"/>
      <c r="L1292" s="1022"/>
      <c r="M1292" s="1175"/>
      <c r="S1292" s="504"/>
      <c r="T1292" s="504"/>
      <c r="U1292" s="504"/>
      <c r="V1292" s="504"/>
      <c r="W1292" s="504"/>
      <c r="X1292" s="504"/>
      <c r="Y1292" s="504"/>
      <c r="Z1292" s="504"/>
      <c r="AA1292" s="504"/>
      <c r="AB1292" s="504"/>
      <c r="AC1292" s="322"/>
      <c r="AD1292" s="322"/>
      <c r="AE1292" s="322"/>
    </row>
    <row r="1293" spans="1:35" x14ac:dyDescent="0.25">
      <c r="A1293" s="1138">
        <v>1284</v>
      </c>
      <c r="B1293" s="1138" t="s">
        <v>53</v>
      </c>
      <c r="C1293" s="1037" t="s">
        <v>182</v>
      </c>
      <c r="D1293" s="1533"/>
      <c r="E1293" s="1534"/>
      <c r="F1293" s="1534"/>
      <c r="G1293" s="1534"/>
      <c r="H1293" s="1535"/>
      <c r="I1293" s="910"/>
      <c r="J1293" s="910"/>
      <c r="K1293" s="1174"/>
      <c r="L1293" s="1022"/>
      <c r="M1293" s="1175"/>
      <c r="S1293" s="504"/>
      <c r="T1293" s="504"/>
      <c r="U1293" s="504"/>
      <c r="V1293" s="504"/>
      <c r="W1293" s="504"/>
      <c r="X1293" s="504"/>
      <c r="Y1293" s="504"/>
      <c r="Z1293" s="504"/>
      <c r="AA1293" s="504"/>
      <c r="AB1293" s="504"/>
      <c r="AC1293" s="322"/>
      <c r="AD1293" s="322"/>
      <c r="AE1293" s="322"/>
    </row>
    <row r="1294" spans="1:35" x14ac:dyDescent="0.25">
      <c r="A1294" s="1138">
        <v>1285</v>
      </c>
      <c r="B1294" s="1138" t="s">
        <v>53</v>
      </c>
      <c r="C1294" s="1037" t="s">
        <v>182</v>
      </c>
      <c r="D1294" s="1536"/>
      <c r="E1294" s="1537"/>
      <c r="F1294" s="1537"/>
      <c r="G1294" s="1537"/>
      <c r="H1294" s="1538"/>
      <c r="I1294" s="910"/>
      <c r="J1294" s="910"/>
      <c r="K1294" s="1174"/>
      <c r="L1294" s="1022"/>
      <c r="M1294" s="1175"/>
      <c r="S1294" s="504"/>
      <c r="T1294" s="504"/>
      <c r="U1294" s="504"/>
      <c r="V1294" s="504"/>
      <c r="W1294" s="504"/>
      <c r="X1294" s="504"/>
      <c r="Y1294" s="504"/>
      <c r="Z1294" s="504"/>
      <c r="AA1294" s="504"/>
      <c r="AB1294" s="504"/>
      <c r="AC1294" s="322"/>
      <c r="AD1294" s="322"/>
      <c r="AE1294" s="322"/>
    </row>
    <row r="1295" spans="1:35" x14ac:dyDescent="0.25">
      <c r="A1295" s="1138">
        <v>1286</v>
      </c>
      <c r="B1295" s="1138" t="s">
        <v>53</v>
      </c>
      <c r="C1295" s="1037" t="s">
        <v>182</v>
      </c>
      <c r="D1295" s="952"/>
      <c r="E1295" s="951"/>
      <c r="F1295" s="951"/>
      <c r="G1295" s="951"/>
      <c r="H1295" s="951"/>
      <c r="I1295" s="910"/>
      <c r="J1295" s="910"/>
      <c r="K1295" s="1174"/>
      <c r="L1295" s="1022"/>
      <c r="M1295" s="1175"/>
      <c r="S1295" s="504"/>
      <c r="T1295" s="504"/>
      <c r="U1295" s="504"/>
      <c r="V1295" s="504"/>
      <c r="W1295" s="504"/>
      <c r="X1295" s="504"/>
      <c r="Y1295" s="504"/>
      <c r="Z1295" s="504"/>
      <c r="AA1295" s="504"/>
      <c r="AB1295" s="504"/>
      <c r="AC1295" s="322"/>
      <c r="AD1295" s="322"/>
      <c r="AE1295" s="322"/>
    </row>
    <row r="1296" spans="1:35" x14ac:dyDescent="0.25">
      <c r="A1296" s="1138">
        <v>1287</v>
      </c>
      <c r="B1296" s="1139" t="s">
        <v>53</v>
      </c>
      <c r="C1296" s="978" t="s">
        <v>183</v>
      </c>
      <c r="D1296" s="977" t="s">
        <v>369</v>
      </c>
      <c r="E1296" s="976"/>
      <c r="F1296" s="976"/>
      <c r="G1296" s="975"/>
      <c r="H1296" s="974"/>
      <c r="I1296" s="973"/>
      <c r="J1296" s="973"/>
      <c r="K1296" s="1174" t="str" cm="1">
        <f t="array" ref="K1296">IF(Pol05_credits=AIS_credit00,AIS_statement32,"")</f>
        <v/>
      </c>
      <c r="L1296" s="1022"/>
      <c r="M1296" s="1175"/>
      <c r="S1296" s="504"/>
      <c r="T1296" s="504"/>
      <c r="U1296" s="504"/>
      <c r="V1296" s="504"/>
      <c r="W1296" s="504"/>
      <c r="X1296" s="504"/>
      <c r="Y1296" s="504"/>
      <c r="Z1296" s="504"/>
      <c r="AA1296" s="504"/>
      <c r="AB1296" s="504"/>
      <c r="AC1296" s="322"/>
      <c r="AD1296" s="322"/>
      <c r="AE1296" s="322"/>
    </row>
    <row r="1297" spans="1:37" x14ac:dyDescent="0.25">
      <c r="A1297" s="1138">
        <v>1288</v>
      </c>
      <c r="B1297" s="1138" t="s">
        <v>53</v>
      </c>
      <c r="C1297" s="1037" t="s">
        <v>183</v>
      </c>
      <c r="D1297" s="946" t="s">
        <v>15</v>
      </c>
      <c r="E1297" s="1264">
        <f>Pol05_credits</f>
        <v>1</v>
      </c>
      <c r="F1297" s="945"/>
      <c r="G1297" s="944" t="s">
        <v>76</v>
      </c>
      <c r="H1297" s="1266">
        <f>Pol05_10</f>
        <v>5.7142857142857143E-3</v>
      </c>
      <c r="I1297" s="910"/>
      <c r="J1297" s="910"/>
      <c r="K1297" s="1174"/>
      <c r="L1297" s="1022"/>
      <c r="M1297" s="1175"/>
      <c r="S1297" s="504"/>
      <c r="T1297" s="504"/>
      <c r="U1297" s="504"/>
      <c r="V1297" s="504"/>
      <c r="W1297" s="504"/>
      <c r="X1297" s="504"/>
      <c r="Y1297" s="504"/>
      <c r="Z1297" s="504"/>
      <c r="AA1297" s="504"/>
      <c r="AB1297" s="504"/>
      <c r="AC1297" s="322"/>
      <c r="AD1297" s="322"/>
      <c r="AE1297" s="322"/>
    </row>
    <row r="1298" spans="1:37" x14ac:dyDescent="0.25">
      <c r="A1298" s="1138">
        <v>1289</v>
      </c>
      <c r="B1298" s="1138" t="s">
        <v>53</v>
      </c>
      <c r="C1298" s="1037" t="s">
        <v>183</v>
      </c>
      <c r="D1298" s="972" t="s">
        <v>1011</v>
      </c>
      <c r="E1298" s="1265">
        <v>0</v>
      </c>
      <c r="F1298" s="941"/>
      <c r="G1298" s="940" t="s">
        <v>1010</v>
      </c>
      <c r="H1298" s="1267" t="s">
        <v>13</v>
      </c>
      <c r="I1298" s="910"/>
      <c r="J1298" s="910"/>
      <c r="K1298" s="1174"/>
      <c r="L1298" s="1022"/>
      <c r="M1298" s="1175"/>
      <c r="S1298" s="504"/>
      <c r="T1298" s="504"/>
      <c r="U1298" s="504"/>
      <c r="V1298" s="504"/>
      <c r="W1298" s="504"/>
      <c r="X1298" s="504"/>
      <c r="Y1298" s="504"/>
      <c r="Z1298" s="504"/>
      <c r="AA1298" s="504"/>
      <c r="AB1298" s="504"/>
      <c r="AC1298" s="322"/>
      <c r="AD1298" s="322"/>
      <c r="AE1298" s="322"/>
    </row>
    <row r="1299" spans="1:37" x14ac:dyDescent="0.25">
      <c r="A1299" s="1138">
        <v>1290</v>
      </c>
      <c r="B1299" s="1138" t="s">
        <v>53</v>
      </c>
      <c r="C1299" s="1037" t="s">
        <v>183</v>
      </c>
      <c r="I1299" s="910"/>
      <c r="J1299" s="910"/>
      <c r="K1299" s="1174"/>
      <c r="L1299" s="1022"/>
      <c r="M1299" s="1175"/>
      <c r="S1299" s="504"/>
      <c r="T1299" s="504"/>
      <c r="U1299" s="504"/>
      <c r="V1299" s="504"/>
      <c r="W1299" s="504"/>
      <c r="X1299" s="504"/>
      <c r="Y1299" s="504"/>
      <c r="Z1299" s="504"/>
      <c r="AA1299" s="504"/>
      <c r="AB1299" s="504"/>
      <c r="AC1299" s="322"/>
      <c r="AD1299" s="322"/>
      <c r="AE1299" s="322"/>
    </row>
    <row r="1300" spans="1:37" ht="15.75" thickBot="1" x14ac:dyDescent="0.3">
      <c r="A1300" s="1138">
        <v>1291</v>
      </c>
      <c r="B1300" s="1138" t="s">
        <v>53</v>
      </c>
      <c r="C1300" s="1037" t="s">
        <v>183</v>
      </c>
      <c r="D1300" s="971" t="s">
        <v>1009</v>
      </c>
      <c r="E1300" s="937" t="s">
        <v>1008</v>
      </c>
      <c r="F1300" s="937" t="s">
        <v>1007</v>
      </c>
      <c r="G1300" s="937" t="s">
        <v>1006</v>
      </c>
      <c r="H1300" s="937" t="s">
        <v>1014</v>
      </c>
      <c r="I1300" s="910"/>
      <c r="J1300" s="910"/>
      <c r="K1300" s="1174"/>
      <c r="L1300" s="1022"/>
      <c r="M1300" s="1175"/>
      <c r="S1300" s="504"/>
      <c r="T1300" s="504"/>
      <c r="U1300" s="504"/>
      <c r="V1300" s="504"/>
      <c r="W1300" s="504"/>
      <c r="X1300" s="504"/>
      <c r="Y1300" s="504"/>
      <c r="Z1300" s="504"/>
      <c r="AA1300" s="504"/>
      <c r="AB1300" s="504"/>
      <c r="AC1300" s="322"/>
      <c r="AD1300" s="322"/>
      <c r="AE1300" s="322"/>
    </row>
    <row r="1301" spans="1:37" ht="15.75" thickBot="1" x14ac:dyDescent="0.3">
      <c r="A1301" s="1138">
        <v>1292</v>
      </c>
      <c r="B1301" s="1138" t="s">
        <v>53</v>
      </c>
      <c r="C1301" s="1037" t="s">
        <v>183</v>
      </c>
      <c r="D1301" s="1168" t="s">
        <v>884</v>
      </c>
      <c r="E1301" s="1337" t="str">
        <f>IF('Assessment Details'!F27=AIS_Yes,'Assessment Issue Scoring'!K1302,IF('Assessment Details'!F27=AIS_No,'Assessment Issue Scoring'!K1301,""))</f>
        <v/>
      </c>
      <c r="F1301" s="1223">
        <f>Poeng!AB212</f>
        <v>1</v>
      </c>
      <c r="G1301" s="1223">
        <f>IF(E1301=K1301,F1301,0)</f>
        <v>0</v>
      </c>
      <c r="H1301" s="1223" t="s">
        <v>14</v>
      </c>
      <c r="I1301" s="910"/>
      <c r="J1301" s="910"/>
      <c r="K1301" s="1184" t="s">
        <v>1562</v>
      </c>
      <c r="L1301" s="1022"/>
      <c r="M1301" s="1175"/>
      <c r="S1301" s="504"/>
      <c r="T1301" s="504"/>
      <c r="U1301" s="504"/>
      <c r="V1301" s="504"/>
      <c r="W1301" s="504"/>
      <c r="X1301" s="504"/>
      <c r="Y1301" s="504"/>
      <c r="Z1301" s="504"/>
      <c r="AA1301" s="504"/>
      <c r="AB1301" s="504"/>
      <c r="AC1301" s="322"/>
      <c r="AD1301" s="322"/>
      <c r="AE1301" s="322"/>
    </row>
    <row r="1302" spans="1:37" ht="15.75" thickBot="1" x14ac:dyDescent="0.3">
      <c r="A1302" s="1138">
        <v>1293</v>
      </c>
      <c r="B1302" s="1138" t="s">
        <v>53</v>
      </c>
      <c r="C1302" s="1037" t="s">
        <v>183</v>
      </c>
      <c r="D1302" s="1170" t="s">
        <v>885</v>
      </c>
      <c r="E1302" s="1275" t="s">
        <v>316</v>
      </c>
      <c r="F1302" s="1226">
        <f>Poeng!AB213</f>
        <v>0</v>
      </c>
      <c r="G1302" s="1227">
        <f>IF(E1302=AIS_Yes,F1302,0)</f>
        <v>0</v>
      </c>
      <c r="H1302" s="1227" t="s">
        <v>14</v>
      </c>
      <c r="I1302" s="910"/>
      <c r="J1302" s="910"/>
      <c r="K1302" s="1184" t="s">
        <v>1563</v>
      </c>
      <c r="L1302" s="1022"/>
      <c r="M1302" s="1175"/>
      <c r="S1302" s="846">
        <v>1</v>
      </c>
      <c r="T1302" s="846">
        <v>0.5</v>
      </c>
      <c r="U1302" s="968">
        <v>1</v>
      </c>
      <c r="V1302" s="146" t="str">
        <f>IF($X$4=AIS_Yes,S1302,AIS_NA)</f>
        <v>N/A</v>
      </c>
      <c r="W1302" s="43" t="str">
        <f>IF($X$4=AIS_Yes,T1302,AIS_NA)</f>
        <v>N/A</v>
      </c>
      <c r="X1302" s="163" t="str">
        <f>IF($X$4=AIS_Yes,U1302,AIS_NA)</f>
        <v>N/A</v>
      </c>
      <c r="Y1302" s="967" t="str">
        <f>IF(E1301=AIS_No,AIS_No,IF(AND($X$4=AIS_Yes,OR(V1302&lt;&gt;AIS_NA,W1302&lt;&gt;AIS_NA,X1302&lt;&gt;AIS_NA)),AIS_Yes,AIS_No))</f>
        <v>No</v>
      </c>
      <c r="Z1302" s="146" t="e">
        <f>AIS_option01</f>
        <v>#NAME?</v>
      </c>
      <c r="AA1302" s="43" t="e">
        <f>AIS_option02_50</f>
        <v>#NAME?</v>
      </c>
      <c r="AB1302" s="147" t="e">
        <f>AIS_option03</f>
        <v>#NAME?</v>
      </c>
      <c r="AC1302" s="966"/>
      <c r="AD1302" s="965"/>
      <c r="AE1302" s="962" t="str">
        <f>IF(Y1302=AIS_Yes,Z1302,AIS_NA)</f>
        <v>N/A</v>
      </c>
      <c r="AF1302" s="962" t="str">
        <f>IF(Y1302=AIS_Yes,AA1302,AIS_NA)</f>
        <v>N/A</v>
      </c>
      <c r="AG1302" s="964" t="str">
        <f>IF(Y1302=AIS_Yes,AB1302,AIS_NA)</f>
        <v>N/A</v>
      </c>
      <c r="AH1302" s="963" t="str">
        <f>C1302</f>
        <v>POL 05</v>
      </c>
      <c r="AI1302" s="962" t="s">
        <v>1013</v>
      </c>
      <c r="AJ1302" s="961" t="str">
        <f>H1302</f>
        <v>N/A</v>
      </c>
      <c r="AK1302" s="375">
        <f>IF(Y1302=AIS_No,1,IF(H1302=AE1302,V1302,IF(H1302=AF1302,W1302,IF(H1302=AG1302,X1302,1))))</f>
        <v>1</v>
      </c>
    </row>
    <row r="1303" spans="1:37" x14ac:dyDescent="0.25">
      <c r="A1303" s="1138">
        <v>1294</v>
      </c>
      <c r="B1303" s="1138" t="s">
        <v>53</v>
      </c>
      <c r="C1303" s="1037" t="s">
        <v>183</v>
      </c>
      <c r="D1303" s="960"/>
      <c r="E1303" s="959"/>
      <c r="I1303" s="910"/>
      <c r="J1303" s="910"/>
      <c r="K1303" s="1174"/>
      <c r="L1303" s="1022"/>
      <c r="M1303" s="1175"/>
      <c r="S1303" s="504"/>
      <c r="T1303" s="504"/>
      <c r="U1303" s="504"/>
      <c r="V1303" s="504"/>
      <c r="W1303" s="504"/>
      <c r="X1303" s="504"/>
      <c r="Y1303" s="504"/>
      <c r="Z1303" s="504"/>
      <c r="AA1303" s="504"/>
      <c r="AB1303" s="504"/>
      <c r="AC1303" s="322"/>
      <c r="AD1303" s="322"/>
      <c r="AE1303" s="322"/>
    </row>
    <row r="1304" spans="1:37" x14ac:dyDescent="0.25">
      <c r="A1304" s="1138">
        <v>1295</v>
      </c>
      <c r="B1304" s="1138" t="s">
        <v>53</v>
      </c>
      <c r="C1304" s="1037" t="s">
        <v>183</v>
      </c>
      <c r="D1304" s="958" t="s">
        <v>1012</v>
      </c>
      <c r="E1304" s="1307">
        <f>IF(G1301+G1302&gt;E1297,E1297,G1301+G1302)</f>
        <v>0</v>
      </c>
      <c r="I1304" s="917"/>
      <c r="J1304" s="910"/>
      <c r="K1304" s="1174"/>
      <c r="L1304" s="1022"/>
      <c r="M1304" s="1175"/>
      <c r="S1304" s="504"/>
      <c r="T1304" s="504"/>
      <c r="U1304" s="504"/>
      <c r="V1304" s="504"/>
      <c r="W1304" s="504"/>
      <c r="X1304" s="504"/>
      <c r="Y1304" s="504"/>
      <c r="Z1304" s="504"/>
      <c r="AA1304" s="504"/>
      <c r="AB1304" s="504"/>
      <c r="AC1304" s="322"/>
      <c r="AD1304" s="322"/>
      <c r="AE1304" s="322"/>
    </row>
    <row r="1305" spans="1:37" x14ac:dyDescent="0.25">
      <c r="A1305" s="1138">
        <v>1296</v>
      </c>
      <c r="B1305" s="1138" t="s">
        <v>53</v>
      </c>
      <c r="C1305" s="1037" t="s">
        <v>183</v>
      </c>
      <c r="D1305" s="924" t="s">
        <v>77</v>
      </c>
      <c r="E1305" s="1273">
        <f>Pol05_11</f>
        <v>0</v>
      </c>
      <c r="I1305" s="910"/>
      <c r="J1305" s="910"/>
      <c r="K1305" s="1174"/>
      <c r="L1305" s="1022"/>
      <c r="M1305" s="1175"/>
      <c r="S1305" s="504"/>
      <c r="T1305" s="504"/>
      <c r="U1305" s="504"/>
      <c r="V1305" s="504"/>
      <c r="W1305" s="504"/>
      <c r="X1305" s="504"/>
      <c r="Y1305" s="504"/>
      <c r="Z1305" s="504"/>
      <c r="AA1305" s="504"/>
      <c r="AB1305" s="504"/>
      <c r="AC1305" s="322"/>
      <c r="AD1305" s="322"/>
      <c r="AE1305" s="322"/>
    </row>
    <row r="1306" spans="1:37" x14ac:dyDescent="0.25">
      <c r="A1306" s="1138">
        <v>1297</v>
      </c>
      <c r="B1306" s="1138" t="s">
        <v>53</v>
      </c>
      <c r="C1306" s="1037" t="s">
        <v>183</v>
      </c>
      <c r="D1306" s="926" t="s">
        <v>1005</v>
      </c>
      <c r="E1306" s="1272" t="s">
        <v>14</v>
      </c>
      <c r="I1306" s="910"/>
      <c r="J1306" s="910"/>
      <c r="K1306" s="1174"/>
      <c r="L1306" s="1022"/>
      <c r="M1306" s="1175"/>
      <c r="S1306" s="504"/>
      <c r="T1306" s="504"/>
      <c r="U1306" s="504"/>
      <c r="V1306" s="504"/>
      <c r="W1306" s="504"/>
      <c r="X1306" s="504"/>
      <c r="Y1306" s="504"/>
      <c r="Z1306" s="504"/>
      <c r="AA1306" s="504"/>
      <c r="AB1306" s="504"/>
      <c r="AC1306" s="322"/>
      <c r="AD1306" s="322"/>
      <c r="AE1306" s="322"/>
    </row>
    <row r="1307" spans="1:37" x14ac:dyDescent="0.25">
      <c r="A1307" s="1138">
        <v>1298</v>
      </c>
      <c r="B1307" s="1138" t="s">
        <v>53</v>
      </c>
      <c r="C1307" s="1037" t="s">
        <v>183</v>
      </c>
      <c r="D1307" s="923" t="s">
        <v>46</v>
      </c>
      <c r="E1307" s="1306" t="s">
        <v>14</v>
      </c>
      <c r="I1307" s="910"/>
      <c r="J1307" s="910"/>
      <c r="K1307" s="1174"/>
      <c r="L1307" s="1022"/>
      <c r="M1307" s="1175"/>
      <c r="S1307" s="504"/>
      <c r="T1307" s="504"/>
      <c r="U1307" s="504"/>
      <c r="V1307" s="504"/>
      <c r="W1307" s="504"/>
      <c r="X1307" s="504"/>
      <c r="Y1307" s="504"/>
      <c r="Z1307" s="504"/>
      <c r="AA1307" s="504"/>
      <c r="AB1307" s="504"/>
      <c r="AC1307" s="322"/>
      <c r="AD1307" s="322"/>
      <c r="AE1307" s="322"/>
    </row>
    <row r="1308" spans="1:37" x14ac:dyDescent="0.25">
      <c r="A1308" s="1138">
        <v>1299</v>
      </c>
      <c r="B1308" s="1138" t="s">
        <v>53</v>
      </c>
      <c r="C1308" s="1037" t="s">
        <v>183</v>
      </c>
      <c r="I1308" s="910"/>
      <c r="J1308" s="910"/>
      <c r="K1308" s="1174"/>
      <c r="L1308" s="1022"/>
      <c r="M1308" s="1175"/>
      <c r="S1308" s="504"/>
      <c r="T1308" s="504"/>
      <c r="U1308" s="504"/>
      <c r="V1308" s="504"/>
      <c r="W1308" s="504"/>
      <c r="X1308" s="504"/>
      <c r="Y1308" s="504"/>
      <c r="Z1308" s="504"/>
      <c r="AA1308" s="504"/>
      <c r="AB1308" s="504"/>
      <c r="AC1308" s="322"/>
      <c r="AD1308" s="322"/>
      <c r="AE1308" s="322"/>
    </row>
    <row r="1309" spans="1:37" x14ac:dyDescent="0.25">
      <c r="A1309" s="1138">
        <v>1300</v>
      </c>
      <c r="B1309" s="1138" t="s">
        <v>53</v>
      </c>
      <c r="C1309" s="1037" t="s">
        <v>183</v>
      </c>
      <c r="D1309" s="920" t="s">
        <v>1004</v>
      </c>
      <c r="E1309" s="920" t="s">
        <v>1003</v>
      </c>
      <c r="F1309" s="920" t="str">
        <f>HLOOKUP(C1309,'Assessment References'!$H$512:$BG$513,2,FALSE)</f>
        <v/>
      </c>
      <c r="G1309" s="919"/>
      <c r="H1309" s="918"/>
      <c r="I1309" s="910"/>
      <c r="J1309" s="910"/>
      <c r="K1309" s="1174"/>
      <c r="L1309" s="1022"/>
      <c r="M1309" s="1175"/>
      <c r="S1309" s="504"/>
      <c r="T1309" s="504"/>
      <c r="U1309" s="504"/>
      <c r="V1309" s="504"/>
      <c r="W1309" s="504"/>
      <c r="X1309" s="504"/>
      <c r="Y1309" s="504"/>
      <c r="Z1309" s="504"/>
      <c r="AA1309" s="504"/>
      <c r="AB1309" s="504"/>
      <c r="AC1309" s="322"/>
      <c r="AD1309" s="322"/>
      <c r="AE1309" s="322"/>
    </row>
    <row r="1310" spans="1:37" x14ac:dyDescent="0.25">
      <c r="A1310" s="1138">
        <v>1301</v>
      </c>
      <c r="B1310" s="1138" t="s">
        <v>53</v>
      </c>
      <c r="C1310" s="1037" t="s">
        <v>183</v>
      </c>
      <c r="D1310" s="1539"/>
      <c r="E1310" s="1540"/>
      <c r="F1310" s="1540"/>
      <c r="G1310" s="1540"/>
      <c r="H1310" s="1541"/>
      <c r="I1310" s="910"/>
      <c r="J1310" s="910"/>
      <c r="K1310" s="1174"/>
      <c r="L1310" s="1022"/>
      <c r="M1310" s="1175"/>
      <c r="S1310" s="504"/>
      <c r="T1310" s="504"/>
      <c r="U1310" s="504"/>
      <c r="V1310" s="504"/>
      <c r="W1310" s="504"/>
      <c r="X1310" s="504"/>
      <c r="Y1310" s="504"/>
      <c r="Z1310" s="504"/>
      <c r="AA1310" s="504"/>
      <c r="AB1310" s="504"/>
      <c r="AC1310" s="322"/>
      <c r="AD1310" s="322"/>
      <c r="AE1310" s="322"/>
    </row>
    <row r="1311" spans="1:37" x14ac:dyDescent="0.25">
      <c r="A1311" s="1138">
        <v>1302</v>
      </c>
      <c r="B1311" s="1138" t="s">
        <v>53</v>
      </c>
      <c r="C1311" s="1037" t="s">
        <v>183</v>
      </c>
      <c r="D1311" s="1530"/>
      <c r="E1311" s="1531"/>
      <c r="F1311" s="1531"/>
      <c r="G1311" s="1531"/>
      <c r="H1311" s="1532"/>
      <c r="I1311" s="910"/>
      <c r="J1311" s="910"/>
      <c r="K1311" s="1174"/>
      <c r="L1311" s="1022"/>
      <c r="M1311" s="1175"/>
      <c r="S1311" s="504"/>
      <c r="T1311" s="504"/>
      <c r="U1311" s="504"/>
      <c r="V1311" s="504"/>
      <c r="W1311" s="504"/>
      <c r="X1311" s="504"/>
      <c r="Y1311" s="504"/>
      <c r="Z1311" s="504"/>
      <c r="AA1311" s="504"/>
      <c r="AB1311" s="504"/>
      <c r="AC1311" s="322"/>
      <c r="AD1311" s="322"/>
      <c r="AE1311" s="322"/>
    </row>
    <row r="1312" spans="1:37" x14ac:dyDescent="0.25">
      <c r="A1312" s="1138">
        <v>1303</v>
      </c>
      <c r="B1312" s="1138" t="s">
        <v>53</v>
      </c>
      <c r="C1312" s="1037" t="s">
        <v>183</v>
      </c>
      <c r="D1312" s="1530"/>
      <c r="E1312" s="1531"/>
      <c r="F1312" s="1531"/>
      <c r="G1312" s="1531"/>
      <c r="H1312" s="1532"/>
      <c r="I1312" s="910"/>
      <c r="J1312" s="910"/>
      <c r="K1312" s="1174"/>
      <c r="L1312" s="1022"/>
      <c r="M1312" s="1175"/>
      <c r="S1312" s="504"/>
      <c r="T1312" s="504"/>
      <c r="U1312" s="504"/>
      <c r="V1312" s="504"/>
      <c r="W1312" s="504"/>
      <c r="X1312" s="504"/>
      <c r="Y1312" s="504"/>
      <c r="Z1312" s="504"/>
      <c r="AA1312" s="504"/>
      <c r="AB1312" s="504"/>
      <c r="AC1312" s="322"/>
      <c r="AD1312" s="322"/>
      <c r="AE1312" s="322"/>
    </row>
    <row r="1313" spans="1:31" x14ac:dyDescent="0.25">
      <c r="A1313" s="1138">
        <v>1304</v>
      </c>
      <c r="B1313" s="1138" t="s">
        <v>53</v>
      </c>
      <c r="C1313" s="1037" t="s">
        <v>183</v>
      </c>
      <c r="D1313" s="1533"/>
      <c r="E1313" s="1534"/>
      <c r="F1313" s="1534"/>
      <c r="G1313" s="1534"/>
      <c r="H1313" s="1535"/>
      <c r="I1313" s="910"/>
      <c r="J1313" s="910"/>
      <c r="K1313" s="1174"/>
      <c r="L1313" s="1022"/>
      <c r="M1313" s="1175"/>
      <c r="S1313" s="504"/>
      <c r="T1313" s="504"/>
      <c r="U1313" s="504"/>
      <c r="V1313" s="504"/>
      <c r="W1313" s="504"/>
      <c r="X1313" s="504"/>
      <c r="Y1313" s="504"/>
      <c r="Z1313" s="504"/>
      <c r="AA1313" s="504"/>
      <c r="AB1313" s="504"/>
      <c r="AC1313" s="322"/>
      <c r="AD1313" s="322"/>
      <c r="AE1313" s="322"/>
    </row>
    <row r="1314" spans="1:31" x14ac:dyDescent="0.25">
      <c r="A1314" s="1138">
        <v>1305</v>
      </c>
      <c r="B1314" s="1138" t="s">
        <v>53</v>
      </c>
      <c r="C1314" s="1037" t="s">
        <v>183</v>
      </c>
      <c r="D1314" s="1533"/>
      <c r="E1314" s="1534"/>
      <c r="F1314" s="1534"/>
      <c r="G1314" s="1534"/>
      <c r="H1314" s="1535"/>
      <c r="I1314" s="910"/>
      <c r="J1314" s="910"/>
      <c r="K1314" s="1174"/>
      <c r="L1314" s="1022"/>
      <c r="M1314" s="1175"/>
      <c r="S1314" s="504"/>
      <c r="T1314" s="504"/>
      <c r="U1314" s="504"/>
      <c r="V1314" s="504"/>
      <c r="W1314" s="504"/>
      <c r="X1314" s="504"/>
      <c r="Y1314" s="504"/>
      <c r="Z1314" s="504"/>
      <c r="AA1314" s="504"/>
      <c r="AB1314" s="504"/>
      <c r="AC1314" s="322"/>
      <c r="AD1314" s="322"/>
      <c r="AE1314" s="322"/>
    </row>
    <row r="1315" spans="1:31" x14ac:dyDescent="0.25">
      <c r="A1315" s="1138">
        <v>1306</v>
      </c>
      <c r="B1315" s="1138" t="s">
        <v>53</v>
      </c>
      <c r="C1315" s="1037" t="s">
        <v>183</v>
      </c>
      <c r="D1315" s="1536"/>
      <c r="E1315" s="1537"/>
      <c r="F1315" s="1537"/>
      <c r="G1315" s="1537"/>
      <c r="H1315" s="1538"/>
      <c r="I1315" s="910"/>
      <c r="J1315" s="910"/>
      <c r="K1315" s="1174"/>
      <c r="L1315" s="1022"/>
      <c r="M1315" s="1175"/>
      <c r="S1315" s="504"/>
      <c r="T1315" s="504"/>
      <c r="U1315" s="504"/>
      <c r="V1315" s="504"/>
      <c r="W1315" s="504"/>
      <c r="X1315" s="504"/>
      <c r="Y1315" s="504"/>
      <c r="Z1315" s="504"/>
      <c r="AA1315" s="504"/>
      <c r="AB1315" s="504"/>
      <c r="AC1315" s="322"/>
      <c r="AD1315" s="322"/>
      <c r="AE1315" s="322"/>
    </row>
    <row r="1316" spans="1:31" x14ac:dyDescent="0.25">
      <c r="A1316" s="1138">
        <v>1307</v>
      </c>
      <c r="B1316" s="1138" t="s">
        <v>53</v>
      </c>
      <c r="C1316" s="1037" t="s">
        <v>183</v>
      </c>
      <c r="D1316" s="952"/>
      <c r="E1316" s="951"/>
      <c r="F1316" s="951"/>
      <c r="G1316" s="951"/>
      <c r="H1316" s="951"/>
      <c r="I1316" s="910"/>
      <c r="J1316" s="910"/>
      <c r="K1316" s="1174"/>
      <c r="L1316" s="1022"/>
      <c r="M1316" s="1175"/>
      <c r="S1316" s="504"/>
      <c r="T1316" s="504"/>
      <c r="U1316" s="504"/>
      <c r="V1316" s="504"/>
      <c r="W1316" s="504"/>
      <c r="X1316" s="504"/>
      <c r="Y1316" s="504"/>
      <c r="Z1316" s="504"/>
      <c r="AA1316" s="504"/>
      <c r="AB1316" s="504"/>
      <c r="AC1316" s="322"/>
      <c r="AD1316" s="322"/>
      <c r="AE1316" s="322"/>
    </row>
    <row r="1317" spans="1:31" ht="18.75" x14ac:dyDescent="0.3">
      <c r="A1317" s="1138">
        <v>1308</v>
      </c>
      <c r="B1317" s="957" t="s">
        <v>1002</v>
      </c>
      <c r="C1317" s="956"/>
      <c r="D1317" s="954"/>
      <c r="E1317" s="955"/>
      <c r="F1317" s="954"/>
      <c r="G1317" s="954"/>
      <c r="H1317" s="953"/>
      <c r="I1317" s="910"/>
      <c r="J1317" s="910"/>
      <c r="K1317" s="1174"/>
      <c r="L1317" s="1022"/>
      <c r="M1317" s="1175"/>
      <c r="AA1317" s="504"/>
      <c r="AB1317" s="504"/>
      <c r="AC1317" s="322"/>
      <c r="AD1317" s="322"/>
      <c r="AE1317" s="322"/>
    </row>
    <row r="1318" spans="1:31" x14ac:dyDescent="0.25">
      <c r="A1318" s="1138">
        <v>1309</v>
      </c>
      <c r="B1318" s="1138" t="s">
        <v>1002</v>
      </c>
      <c r="C1318" s="917"/>
      <c r="D1318" s="952"/>
      <c r="E1318" s="951"/>
      <c r="F1318" s="951"/>
      <c r="G1318" s="951"/>
      <c r="H1318" s="951"/>
      <c r="I1318" s="910"/>
      <c r="J1318" s="910"/>
      <c r="K1318" s="1174"/>
      <c r="L1318" s="1022"/>
      <c r="M1318" s="1175"/>
      <c r="AA1318" s="504"/>
      <c r="AB1318" s="504"/>
      <c r="AC1318" s="322"/>
      <c r="AD1318" s="322"/>
      <c r="AE1318" s="322"/>
    </row>
    <row r="1319" spans="1:31" x14ac:dyDescent="0.25">
      <c r="A1319" s="1138">
        <v>1310</v>
      </c>
      <c r="B1319" s="1140" t="s">
        <v>1002</v>
      </c>
      <c r="C1319" s="950" t="s">
        <v>1001</v>
      </c>
      <c r="D1319" s="949"/>
      <c r="E1319" s="949"/>
      <c r="F1319" s="949"/>
      <c r="G1319" s="948"/>
      <c r="H1319" s="948"/>
      <c r="I1319" s="910"/>
      <c r="J1319" s="910"/>
      <c r="K1319" s="1174"/>
      <c r="L1319" s="1022"/>
      <c r="M1319" s="1175"/>
      <c r="AA1319" s="504"/>
      <c r="AB1319" s="504"/>
      <c r="AC1319" s="322"/>
      <c r="AD1319" s="322"/>
      <c r="AE1319" s="322"/>
    </row>
    <row r="1320" spans="1:31" x14ac:dyDescent="0.25">
      <c r="A1320" s="1138">
        <v>1311</v>
      </c>
      <c r="B1320" s="1138" t="s">
        <v>1002</v>
      </c>
      <c r="C1320" s="1037" t="s">
        <v>1001</v>
      </c>
      <c r="D1320" s="1242" t="s">
        <v>1011</v>
      </c>
      <c r="E1320" s="1264">
        <v>10</v>
      </c>
      <c r="F1320" s="945"/>
      <c r="G1320" s="944" t="s">
        <v>76</v>
      </c>
      <c r="H1320" s="1266">
        <f>Poeng!AD231</f>
        <v>0.1</v>
      </c>
      <c r="I1320" s="910"/>
      <c r="J1320" s="910"/>
      <c r="K1320" s="1174"/>
      <c r="L1320" s="1022"/>
      <c r="M1320" s="1175"/>
      <c r="AA1320" s="504"/>
      <c r="AB1320" s="504"/>
      <c r="AC1320" s="322"/>
      <c r="AD1320" s="322"/>
      <c r="AE1320" s="322"/>
    </row>
    <row r="1321" spans="1:31" x14ac:dyDescent="0.25">
      <c r="A1321" s="1138">
        <v>1312</v>
      </c>
      <c r="B1321" s="1138" t="s">
        <v>1002</v>
      </c>
      <c r="C1321" s="1037" t="s">
        <v>1001</v>
      </c>
      <c r="F1321" s="941"/>
      <c r="G1321" s="940" t="s">
        <v>1010</v>
      </c>
      <c r="H1321" s="1267" t="s">
        <v>13</v>
      </c>
      <c r="I1321" s="910"/>
      <c r="J1321" s="910"/>
      <c r="K1321" s="1174"/>
      <c r="L1321" s="1022"/>
      <c r="M1321" s="1175"/>
      <c r="AA1321" s="504"/>
      <c r="AB1321" s="504"/>
      <c r="AC1321" s="322"/>
      <c r="AD1321" s="322"/>
      <c r="AE1321" s="322"/>
    </row>
    <row r="1322" spans="1:31" x14ac:dyDescent="0.25">
      <c r="A1322" s="1138">
        <v>1313</v>
      </c>
      <c r="B1322" s="1138" t="s">
        <v>1002</v>
      </c>
      <c r="C1322" s="1037" t="s">
        <v>1001</v>
      </c>
      <c r="I1322" s="910"/>
      <c r="J1322" s="910"/>
      <c r="K1322" s="1174"/>
      <c r="L1322" s="1022"/>
      <c r="M1322" s="1175"/>
      <c r="AA1322" s="504"/>
      <c r="AB1322" s="504"/>
      <c r="AC1322" s="917"/>
      <c r="AD1322" s="917"/>
      <c r="AE1322" s="917"/>
    </row>
    <row r="1323" spans="1:31" ht="15.75" thickBot="1" x14ac:dyDescent="0.3">
      <c r="A1323" s="1138">
        <v>1314</v>
      </c>
      <c r="B1323" s="1138" t="s">
        <v>1002</v>
      </c>
      <c r="C1323" s="1037" t="s">
        <v>1001</v>
      </c>
      <c r="D1323" s="938" t="s">
        <v>1009</v>
      </c>
      <c r="E1323" s="937" t="s">
        <v>1008</v>
      </c>
      <c r="F1323" s="937" t="s">
        <v>1007</v>
      </c>
      <c r="G1323" s="937" t="s">
        <v>1006</v>
      </c>
      <c r="I1323" s="910"/>
      <c r="J1323" s="910"/>
      <c r="K1323" s="1174"/>
      <c r="L1323" s="1022"/>
      <c r="M1323" s="1175"/>
      <c r="AA1323" s="504"/>
      <c r="AB1323" s="504"/>
      <c r="AC1323" s="917"/>
      <c r="AD1323" s="917"/>
      <c r="AE1323" s="917"/>
    </row>
    <row r="1324" spans="1:31" ht="15.75" thickBot="1" x14ac:dyDescent="0.3">
      <c r="A1324" s="1138">
        <v>1315</v>
      </c>
      <c r="B1324" s="1138" t="s">
        <v>1002</v>
      </c>
      <c r="C1324" s="1037" t="s">
        <v>1001</v>
      </c>
      <c r="D1324" s="1168" t="str">
        <f>Poeng!E262</f>
        <v xml:space="preserve">Man 03: Reduction of direct emissions from construction sites </v>
      </c>
      <c r="E1324" s="1338" t="str">
        <f t="shared" ref="E1324:E1337" si="9">IF(G1324=0,AIS_No,AIS_Yes)</f>
        <v>No</v>
      </c>
      <c r="F1324" s="1232">
        <f>Inn01_credits</f>
        <v>1</v>
      </c>
      <c r="G1324" s="1232">
        <f>Inn01_user</f>
        <v>0</v>
      </c>
      <c r="I1324" s="910"/>
      <c r="J1324" s="910"/>
      <c r="K1324" s="947" t="str">
        <f>C1319</f>
        <v>Exemplary level and innovation</v>
      </c>
      <c r="M1324" s="1175"/>
      <c r="AA1324" s="504"/>
      <c r="AB1324" s="504"/>
      <c r="AC1324" s="917"/>
      <c r="AD1324" s="917"/>
      <c r="AE1324" s="917"/>
    </row>
    <row r="1325" spans="1:31" x14ac:dyDescent="0.25">
      <c r="A1325" s="1138">
        <v>1316</v>
      </c>
      <c r="B1325" s="1138" t="s">
        <v>1002</v>
      </c>
      <c r="C1325" s="1037" t="s">
        <v>1001</v>
      </c>
      <c r="D1325" s="1293" t="str">
        <f>Poeng!E263</f>
        <v xml:space="preserve">Hea 01: View out, high level </v>
      </c>
      <c r="E1325" s="1339" t="str">
        <f t="shared" si="9"/>
        <v>No</v>
      </c>
      <c r="F1325" s="1270">
        <f>Inn02_credits</f>
        <v>1</v>
      </c>
      <c r="G1325" s="1270">
        <f>Inn02_user</f>
        <v>0</v>
      </c>
      <c r="I1325" s="910"/>
      <c r="J1325" s="910"/>
      <c r="K1325" s="943" t="str">
        <f>AIS_No</f>
        <v>No</v>
      </c>
      <c r="L1325" s="942">
        <v>0</v>
      </c>
      <c r="M1325" s="1175"/>
      <c r="AA1325" s="504"/>
      <c r="AB1325" s="504"/>
      <c r="AC1325" s="917"/>
      <c r="AD1325" s="917"/>
      <c r="AE1325" s="917"/>
    </row>
    <row r="1326" spans="1:31" x14ac:dyDescent="0.25">
      <c r="A1326" s="1138">
        <v>1317</v>
      </c>
      <c r="B1326" s="1138" t="s">
        <v>1002</v>
      </c>
      <c r="C1326" s="1037" t="s">
        <v>1001</v>
      </c>
      <c r="D1326" s="1293" t="str">
        <f>Poeng!E264</f>
        <v>Hea 02: Emissions from construction products</v>
      </c>
      <c r="E1326" s="1339" t="str">
        <f t="shared" si="9"/>
        <v>No</v>
      </c>
      <c r="F1326" s="1270">
        <f>Inn03_credits</f>
        <v>1</v>
      </c>
      <c r="G1326" s="1270">
        <f>Inn03_user</f>
        <v>0</v>
      </c>
      <c r="I1326" s="910"/>
      <c r="J1326" s="910"/>
      <c r="K1326" s="935" t="s">
        <v>1124</v>
      </c>
      <c r="L1326" s="934">
        <v>1</v>
      </c>
      <c r="M1326" s="1175"/>
      <c r="AA1326" s="504"/>
      <c r="AB1326" s="504"/>
      <c r="AC1326" s="917"/>
      <c r="AD1326" s="917"/>
      <c r="AE1326" s="917"/>
    </row>
    <row r="1327" spans="1:31" x14ac:dyDescent="0.25">
      <c r="A1327" s="1138">
        <v>1318</v>
      </c>
      <c r="B1327" s="1138" t="s">
        <v>1002</v>
      </c>
      <c r="C1327" s="1037" t="s">
        <v>1001</v>
      </c>
      <c r="D1327" s="1293" t="str">
        <f>Poeng!E265</f>
        <v xml:space="preserve">Hea 06: Biofilik design </v>
      </c>
      <c r="E1327" s="1339" t="str">
        <f t="shared" si="9"/>
        <v>No</v>
      </c>
      <c r="F1327" s="1270">
        <f>Inn04_credits</f>
        <v>1</v>
      </c>
      <c r="G1327" s="1270">
        <f>Inn04_user</f>
        <v>0</v>
      </c>
      <c r="I1327" s="910"/>
      <c r="J1327" s="910"/>
      <c r="K1327" s="935" t="s">
        <v>1123</v>
      </c>
      <c r="L1327" s="934">
        <v>2</v>
      </c>
      <c r="M1327" s="1175"/>
      <c r="AA1327" s="504"/>
      <c r="AB1327" s="504"/>
      <c r="AC1327" s="917"/>
      <c r="AD1327" s="917"/>
      <c r="AE1327" s="917"/>
    </row>
    <row r="1328" spans="1:31" x14ac:dyDescent="0.25">
      <c r="A1328" s="1138">
        <v>1319</v>
      </c>
      <c r="B1328" s="1138" t="s">
        <v>1002</v>
      </c>
      <c r="C1328" s="1037" t="s">
        <v>1001</v>
      </c>
      <c r="D1328" s="1293" t="str">
        <f>Poeng!E266</f>
        <v xml:space="preserve">Ene 01: Post-occupancy stage </v>
      </c>
      <c r="E1328" s="1339" t="str">
        <f t="shared" si="9"/>
        <v>No</v>
      </c>
      <c r="F1328" s="1270">
        <f>Inn05_credits</f>
        <v>2</v>
      </c>
      <c r="G1328" s="1270">
        <f>Inn05_user</f>
        <v>0</v>
      </c>
      <c r="I1328" s="910"/>
      <c r="J1328" s="910"/>
      <c r="K1328" s="935" t="s">
        <v>1564</v>
      </c>
      <c r="L1328" s="934">
        <v>3</v>
      </c>
      <c r="M1328" s="1175"/>
      <c r="AA1328" s="504"/>
      <c r="AB1328" s="504"/>
      <c r="AC1328" s="917"/>
      <c r="AD1328" s="917"/>
      <c r="AE1328" s="917"/>
    </row>
    <row r="1329" spans="1:31" x14ac:dyDescent="0.25">
      <c r="A1329" s="1138">
        <v>1320</v>
      </c>
      <c r="B1329" s="1138" t="s">
        <v>1002</v>
      </c>
      <c r="C1329" s="1037" t="s">
        <v>1001</v>
      </c>
      <c r="D1329" s="1293" t="str">
        <f>Poeng!E267</f>
        <v xml:space="preserve">Ene 01: Plus house </v>
      </c>
      <c r="E1329" s="1339" t="str">
        <f t="shared" si="9"/>
        <v>No</v>
      </c>
      <c r="F1329" s="1270">
        <f>Inn06_credits</f>
        <v>1</v>
      </c>
      <c r="G1329" s="1270">
        <f>Inn06_user</f>
        <v>0</v>
      </c>
      <c r="I1329" s="910"/>
      <c r="J1329" s="910"/>
      <c r="K1329" s="935" t="s">
        <v>1565</v>
      </c>
      <c r="L1329" s="934">
        <v>4</v>
      </c>
      <c r="M1329" s="1175"/>
      <c r="AA1329" s="504"/>
      <c r="AB1329" s="504"/>
      <c r="AC1329" s="917"/>
      <c r="AD1329" s="917"/>
      <c r="AE1329" s="917"/>
    </row>
    <row r="1330" spans="1:31" x14ac:dyDescent="0.25">
      <c r="A1330" s="1138">
        <v>1321</v>
      </c>
      <c r="B1330" s="1138" t="s">
        <v>1002</v>
      </c>
      <c r="C1330" s="1037" t="s">
        <v>1001</v>
      </c>
      <c r="D1330" s="1293" t="str">
        <f>Poeng!E268</f>
        <v>Wat 01: Highly water efficient components</v>
      </c>
      <c r="E1330" s="1339" t="str">
        <f t="shared" si="9"/>
        <v>No</v>
      </c>
      <c r="F1330" s="1270">
        <f>Inn07_credits</f>
        <v>1</v>
      </c>
      <c r="G1330" s="1270">
        <f>Inn07_user</f>
        <v>0</v>
      </c>
      <c r="I1330" s="910"/>
      <c r="J1330" s="910"/>
      <c r="K1330" s="935" t="s">
        <v>1566</v>
      </c>
      <c r="L1330" s="934">
        <v>5</v>
      </c>
      <c r="M1330" s="1175"/>
      <c r="AA1330" s="504"/>
      <c r="AB1330" s="504"/>
      <c r="AC1330" s="917"/>
      <c r="AD1330" s="917"/>
      <c r="AE1330" s="917"/>
    </row>
    <row r="1331" spans="1:31" x14ac:dyDescent="0.25">
      <c r="A1331" s="1138">
        <v>1322</v>
      </c>
      <c r="B1331" s="1138" t="s">
        <v>1002</v>
      </c>
      <c r="C1331" s="1037" t="s">
        <v>1001</v>
      </c>
      <c r="D1331" s="1293" t="str">
        <f>Poeng!E269</f>
        <v xml:space="preserve">Mat 01: 60% reduction of greenhouse gas emission </v>
      </c>
      <c r="E1331" s="1339" t="str">
        <f t="shared" si="9"/>
        <v>No</v>
      </c>
      <c r="F1331" s="1270">
        <f>Inn08_credits</f>
        <v>1</v>
      </c>
      <c r="G1331" s="1270">
        <f>Inn08_user</f>
        <v>0</v>
      </c>
      <c r="I1331" s="910"/>
      <c r="J1331" s="910"/>
      <c r="K1331" s="935" t="s">
        <v>1567</v>
      </c>
      <c r="L1331" s="934">
        <v>6</v>
      </c>
      <c r="M1331" s="1175"/>
      <c r="AA1331" s="504"/>
      <c r="AB1331" s="504"/>
      <c r="AC1331" s="917"/>
      <c r="AD1331" s="917"/>
      <c r="AE1331" s="917"/>
    </row>
    <row r="1332" spans="1:31" x14ac:dyDescent="0.25">
      <c r="A1332" s="1138">
        <v>1323</v>
      </c>
      <c r="B1332" s="1138" t="s">
        <v>1002</v>
      </c>
      <c r="C1332" s="1037" t="s">
        <v>1001</v>
      </c>
      <c r="D1332" s="1293" t="str">
        <f>Poeng!E270</f>
        <v>Mat 06: FutureBuilt criteria set for circular buildings, point 2.3 reuse of building components</v>
      </c>
      <c r="E1332" s="1339" t="str">
        <f t="shared" si="9"/>
        <v>No</v>
      </c>
      <c r="F1332" s="1270">
        <f>Inn09_credits</f>
        <v>1</v>
      </c>
      <c r="G1332" s="1270">
        <f>Inn09_user</f>
        <v>0</v>
      </c>
      <c r="I1332" s="910"/>
      <c r="J1332" s="910"/>
      <c r="K1332" s="935" t="s">
        <v>1568</v>
      </c>
      <c r="L1332" s="934">
        <v>7</v>
      </c>
      <c r="M1332" s="1175"/>
      <c r="AA1332" s="504"/>
      <c r="AB1332" s="504"/>
      <c r="AC1332" s="917"/>
      <c r="AD1332" s="917"/>
      <c r="AE1332" s="917"/>
    </row>
    <row r="1333" spans="1:31" x14ac:dyDescent="0.25">
      <c r="A1333" s="1138">
        <v>1324</v>
      </c>
      <c r="B1333" s="1138" t="s">
        <v>1002</v>
      </c>
      <c r="C1333" s="1037" t="s">
        <v>1001</v>
      </c>
      <c r="D1333" s="1293" t="str">
        <f>Poeng!E271</f>
        <v xml:space="preserve">Wst 01: Especially low amount of construction waste </v>
      </c>
      <c r="E1333" s="1339" t="str">
        <f t="shared" si="9"/>
        <v>No</v>
      </c>
      <c r="F1333" s="1270">
        <f>Inn10_credits</f>
        <v>1</v>
      </c>
      <c r="G1333" s="1270">
        <f>Inn10_user</f>
        <v>0</v>
      </c>
      <c r="I1333" s="910"/>
      <c r="J1333" s="910"/>
      <c r="K1333" s="935" t="s">
        <v>1569</v>
      </c>
      <c r="L1333" s="934">
        <v>8</v>
      </c>
      <c r="M1333" s="1175"/>
      <c r="AA1333" s="504"/>
      <c r="AB1333" s="504"/>
      <c r="AC1333" s="917"/>
      <c r="AD1333" s="917"/>
      <c r="AE1333" s="917"/>
    </row>
    <row r="1334" spans="1:31" x14ac:dyDescent="0.25">
      <c r="A1334" s="1138">
        <v>1325</v>
      </c>
      <c r="B1334" s="1138" t="s">
        <v>1002</v>
      </c>
      <c r="C1334" s="1037" t="s">
        <v>1001</v>
      </c>
      <c r="D1334" s="1293" t="str">
        <f>Poeng!E272</f>
        <v>LE 02: Wider sustainability for the site</v>
      </c>
      <c r="E1334" s="1339" t="str">
        <f t="shared" si="9"/>
        <v>No</v>
      </c>
      <c r="F1334" s="1270">
        <f>Inn11_credits</f>
        <v>1</v>
      </c>
      <c r="G1334" s="1270">
        <f>Inn11_user</f>
        <v>0</v>
      </c>
      <c r="I1334" s="910"/>
      <c r="J1334" s="910"/>
      <c r="K1334" s="935" t="s">
        <v>1570</v>
      </c>
      <c r="L1334" s="934">
        <v>9</v>
      </c>
      <c r="M1334" s="1175"/>
      <c r="AA1334" s="504"/>
      <c r="AB1334" s="504"/>
      <c r="AC1334" s="917"/>
      <c r="AD1334" s="917"/>
      <c r="AE1334" s="917"/>
    </row>
    <row r="1335" spans="1:31" ht="15.75" thickBot="1" x14ac:dyDescent="0.3">
      <c r="A1335" s="1138">
        <v>1326</v>
      </c>
      <c r="B1335" s="1138" t="s">
        <v>1002</v>
      </c>
      <c r="C1335" s="1037" t="s">
        <v>1001</v>
      </c>
      <c r="D1335" s="1293" t="str">
        <f>Poeng!E273</f>
        <v>LE 04: Significant net gain of biodiversity</v>
      </c>
      <c r="E1335" s="1339" t="str">
        <f t="shared" si="9"/>
        <v>No</v>
      </c>
      <c r="F1335" s="1270">
        <f>Inn12_credits</f>
        <v>1</v>
      </c>
      <c r="G1335" s="1270">
        <f>Inn12_user</f>
        <v>0</v>
      </c>
      <c r="I1335" s="910"/>
      <c r="J1335" s="910"/>
      <c r="K1335" s="933" t="s">
        <v>1571</v>
      </c>
      <c r="L1335" s="932">
        <v>10</v>
      </c>
      <c r="M1335" s="1175"/>
      <c r="AA1335" s="504"/>
      <c r="AB1335" s="504"/>
      <c r="AC1335" s="917"/>
      <c r="AD1335" s="917"/>
      <c r="AE1335" s="917"/>
    </row>
    <row r="1336" spans="1:31" x14ac:dyDescent="0.25">
      <c r="A1336" s="1138">
        <v>1327</v>
      </c>
      <c r="B1336" s="1138" t="s">
        <v>1002</v>
      </c>
      <c r="C1336" s="1037" t="s">
        <v>1001</v>
      </c>
      <c r="D1336" s="1293" t="str">
        <f>Poeng!E274</f>
        <v>LE 06: Responding to climate change</v>
      </c>
      <c r="E1336" s="1339" t="str">
        <f t="shared" si="9"/>
        <v>No</v>
      </c>
      <c r="F1336" s="1270">
        <f>Inn13_credits</f>
        <v>1</v>
      </c>
      <c r="G1336" s="1270">
        <f>Inn13_user</f>
        <v>0</v>
      </c>
      <c r="I1336" s="910"/>
      <c r="J1336" s="910"/>
      <c r="K1336" s="930">
        <f>SUM(G1324:G1338)</f>
        <v>0</v>
      </c>
      <c r="M1336" s="1175"/>
      <c r="AA1336" s="504"/>
      <c r="AB1336" s="504"/>
      <c r="AC1336" s="917"/>
      <c r="AD1336" s="917"/>
      <c r="AE1336" s="917"/>
    </row>
    <row r="1337" spans="1:31" x14ac:dyDescent="0.25">
      <c r="A1337" s="1138">
        <v>1328</v>
      </c>
      <c r="B1337" s="1138" t="s">
        <v>1002</v>
      </c>
      <c r="C1337" s="1037" t="s">
        <v>1001</v>
      </c>
      <c r="D1337" s="1293" t="str">
        <f>Poeng!E275</f>
        <v>LE 08: Wider approach to surface water management</v>
      </c>
      <c r="E1337" s="1339" t="str">
        <f t="shared" si="9"/>
        <v>No</v>
      </c>
      <c r="F1337" s="1270">
        <f>Inn14_credits</f>
        <v>1</v>
      </c>
      <c r="G1337" s="1270">
        <f>Inn14_user</f>
        <v>0</v>
      </c>
      <c r="I1337" s="910"/>
      <c r="J1337" s="910"/>
      <c r="K1337" s="1174"/>
      <c r="L1337" s="1022"/>
      <c r="M1337" s="1175"/>
      <c r="AA1337" s="504"/>
      <c r="AB1337" s="504"/>
      <c r="AC1337" s="917"/>
      <c r="AD1337" s="917"/>
      <c r="AE1337" s="917"/>
    </row>
    <row r="1338" spans="1:31" ht="15.75" thickBot="1" x14ac:dyDescent="0.3">
      <c r="A1338" s="1138">
        <v>1329</v>
      </c>
      <c r="B1338" s="1138" t="s">
        <v>1002</v>
      </c>
      <c r="C1338" s="1037" t="s">
        <v>1001</v>
      </c>
      <c r="D1338" s="1170" t="str">
        <f>Poeng!E276</f>
        <v xml:space="preserve">Approved innovation credits </v>
      </c>
      <c r="E1338" s="1275" t="s">
        <v>13</v>
      </c>
      <c r="F1338" s="1226">
        <v>10</v>
      </c>
      <c r="G1338" s="1226">
        <f>VLOOKUP(E1338,K1325:L1335,2,FALSE)</f>
        <v>0</v>
      </c>
      <c r="I1338" s="910"/>
      <c r="J1338" s="910"/>
      <c r="K1338" s="1174"/>
      <c r="L1338" s="1022"/>
      <c r="M1338" s="1175"/>
      <c r="AA1338" s="504"/>
      <c r="AB1338" s="504"/>
      <c r="AC1338" s="917"/>
      <c r="AD1338" s="917"/>
      <c r="AE1338" s="917"/>
    </row>
    <row r="1339" spans="1:31" x14ac:dyDescent="0.25">
      <c r="A1339" s="1138">
        <v>1330</v>
      </c>
      <c r="B1339" s="1138" t="s">
        <v>1002</v>
      </c>
      <c r="C1339" s="1037" t="s">
        <v>1001</v>
      </c>
      <c r="I1339" s="910"/>
      <c r="J1339" s="910"/>
      <c r="K1339" s="1174"/>
      <c r="L1339" s="1022"/>
      <c r="M1339" s="1175"/>
      <c r="AA1339" s="504"/>
      <c r="AB1339" s="504"/>
      <c r="AC1339" s="917"/>
      <c r="AD1339" s="917"/>
      <c r="AE1339" s="917"/>
    </row>
    <row r="1340" spans="1:31" x14ac:dyDescent="0.25">
      <c r="A1340" s="1138">
        <v>1331</v>
      </c>
      <c r="B1340" s="1138" t="s">
        <v>1002</v>
      </c>
      <c r="C1340" s="1037" t="s">
        <v>1001</v>
      </c>
      <c r="D1340" s="926" t="s">
        <v>1005</v>
      </c>
      <c r="E1340" s="1272">
        <f>IF(K1336&gt;E1320,E1320,K1336)</f>
        <v>0</v>
      </c>
      <c r="F1340" s="925" t="str">
        <f>IF(SUM(G1324:G1338)&gt;10,"max 10 credits","")</f>
        <v/>
      </c>
      <c r="I1340" s="910"/>
      <c r="J1340" s="910"/>
      <c r="K1340" s="1174"/>
      <c r="L1340" s="1022"/>
      <c r="M1340" s="1175"/>
      <c r="AA1340" s="504"/>
      <c r="AB1340" s="504"/>
      <c r="AC1340" s="917"/>
      <c r="AD1340" s="917"/>
      <c r="AE1340" s="917"/>
    </row>
    <row r="1341" spans="1:31" x14ac:dyDescent="0.25">
      <c r="A1341" s="1138">
        <v>1332</v>
      </c>
      <c r="B1341" s="1138" t="s">
        <v>1002</v>
      </c>
      <c r="C1341" s="1037" t="s">
        <v>1001</v>
      </c>
      <c r="D1341" s="924" t="s">
        <v>77</v>
      </c>
      <c r="E1341" s="1273">
        <f>Inn_cont_tot</f>
        <v>0</v>
      </c>
      <c r="F1341" s="925"/>
      <c r="I1341" s="910"/>
      <c r="J1341" s="910"/>
      <c r="K1341" s="1174"/>
      <c r="L1341" s="1022"/>
      <c r="M1341" s="1175"/>
      <c r="AA1341" s="504"/>
      <c r="AB1341" s="504"/>
      <c r="AC1341" s="917"/>
      <c r="AD1341" s="917"/>
      <c r="AE1341" s="917"/>
    </row>
    <row r="1342" spans="1:31" x14ac:dyDescent="0.25">
      <c r="A1342" s="1138">
        <v>1333</v>
      </c>
      <c r="B1342" s="1138" t="s">
        <v>1002</v>
      </c>
      <c r="C1342" s="1037" t="s">
        <v>1001</v>
      </c>
      <c r="D1342" s="923" t="s">
        <v>46</v>
      </c>
      <c r="E1342" s="1306" t="s">
        <v>14</v>
      </c>
      <c r="F1342" s="925"/>
      <c r="I1342" s="910"/>
      <c r="J1342" s="910"/>
      <c r="K1342" s="1174"/>
      <c r="L1342" s="1022"/>
      <c r="M1342" s="1175"/>
      <c r="AA1342" s="504"/>
      <c r="AB1342" s="504"/>
      <c r="AC1342" s="917"/>
      <c r="AD1342" s="917"/>
      <c r="AE1342" s="917"/>
    </row>
    <row r="1343" spans="1:31" x14ac:dyDescent="0.25">
      <c r="A1343" s="1138">
        <v>1334</v>
      </c>
      <c r="B1343" s="1138" t="s">
        <v>1002</v>
      </c>
      <c r="C1343" s="1037" t="s">
        <v>1001</v>
      </c>
      <c r="F1343" s="925"/>
      <c r="I1343" s="910"/>
      <c r="J1343" s="910"/>
      <c r="K1343" s="1174"/>
      <c r="L1343" s="1022"/>
      <c r="M1343" s="1175"/>
      <c r="AA1343" s="504"/>
      <c r="AB1343" s="504"/>
      <c r="AC1343" s="917"/>
      <c r="AD1343" s="917"/>
      <c r="AE1343" s="917"/>
    </row>
    <row r="1344" spans="1:31" x14ac:dyDescent="0.25">
      <c r="A1344" s="1138">
        <v>1335</v>
      </c>
      <c r="B1344" s="1138" t="s">
        <v>1002</v>
      </c>
      <c r="C1344" s="1037" t="s">
        <v>1001</v>
      </c>
      <c r="D1344" s="920" t="s">
        <v>1004</v>
      </c>
      <c r="E1344" s="920" t="s">
        <v>1003</v>
      </c>
      <c r="F1344" s="920" t="str">
        <f>HLOOKUP(C1344,'Assessment References'!$H$512:$BG$513,2,FALSE)</f>
        <v/>
      </c>
      <c r="G1344" s="919"/>
      <c r="H1344" s="918"/>
      <c r="I1344" s="910"/>
      <c r="J1344" s="910"/>
      <c r="K1344" s="1174"/>
      <c r="L1344" s="1022"/>
      <c r="M1344" s="1175"/>
      <c r="AA1344" s="504"/>
      <c r="AB1344" s="504"/>
      <c r="AC1344" s="917"/>
      <c r="AD1344" s="917"/>
      <c r="AE1344" s="917"/>
    </row>
    <row r="1345" spans="1:31" x14ac:dyDescent="0.25">
      <c r="A1345" s="1138">
        <v>1336</v>
      </c>
      <c r="B1345" s="1138" t="s">
        <v>1002</v>
      </c>
      <c r="C1345" s="1037" t="s">
        <v>1001</v>
      </c>
      <c r="D1345" s="1539"/>
      <c r="E1345" s="1540"/>
      <c r="F1345" s="1540"/>
      <c r="G1345" s="1540"/>
      <c r="H1345" s="1541"/>
      <c r="I1345" s="910"/>
      <c r="J1345" s="910"/>
      <c r="K1345" s="1176"/>
      <c r="L1345" s="1172"/>
      <c r="M1345" s="1177"/>
      <c r="N1345" s="910"/>
      <c r="O1345" s="910"/>
      <c r="P1345" s="910"/>
      <c r="Q1345" s="910"/>
      <c r="R1345" s="910"/>
      <c r="AA1345" s="504"/>
      <c r="AB1345" s="504"/>
      <c r="AC1345" s="917"/>
      <c r="AD1345" s="917"/>
      <c r="AE1345" s="917"/>
    </row>
    <row r="1346" spans="1:31" x14ac:dyDescent="0.25">
      <c r="A1346" s="1138">
        <v>1337</v>
      </c>
      <c r="B1346" s="1138" t="s">
        <v>1002</v>
      </c>
      <c r="C1346" s="1037" t="s">
        <v>1001</v>
      </c>
      <c r="D1346" s="1530"/>
      <c r="E1346" s="1531"/>
      <c r="F1346" s="1531"/>
      <c r="G1346" s="1531"/>
      <c r="H1346" s="1532"/>
      <c r="I1346" s="910"/>
      <c r="J1346" s="910"/>
      <c r="K1346" s="1176"/>
      <c r="L1346" s="1172"/>
      <c r="M1346" s="1177"/>
      <c r="N1346" s="910"/>
      <c r="O1346" s="910"/>
      <c r="P1346" s="910"/>
      <c r="Q1346" s="910"/>
      <c r="R1346" s="910"/>
      <c r="AA1346" s="504"/>
      <c r="AB1346" s="504"/>
      <c r="AC1346" s="917"/>
      <c r="AD1346" s="917"/>
      <c r="AE1346" s="917"/>
    </row>
    <row r="1347" spans="1:31" x14ac:dyDescent="0.25">
      <c r="A1347" s="1138">
        <v>1338</v>
      </c>
      <c r="B1347" s="1138" t="s">
        <v>1002</v>
      </c>
      <c r="C1347" s="1037" t="s">
        <v>1001</v>
      </c>
      <c r="D1347" s="1530"/>
      <c r="E1347" s="1531"/>
      <c r="F1347" s="1531"/>
      <c r="G1347" s="1531"/>
      <c r="H1347" s="1532"/>
      <c r="I1347" s="910"/>
      <c r="J1347" s="910"/>
      <c r="K1347" s="1176"/>
      <c r="L1347" s="1172"/>
      <c r="M1347" s="1177"/>
      <c r="N1347" s="910"/>
      <c r="O1347" s="910"/>
      <c r="P1347" s="910"/>
      <c r="Q1347" s="910"/>
      <c r="R1347" s="910"/>
      <c r="AA1347" s="504"/>
      <c r="AB1347" s="504"/>
      <c r="AC1347" s="322"/>
      <c r="AD1347" s="322"/>
      <c r="AE1347" s="322"/>
    </row>
    <row r="1348" spans="1:31" x14ac:dyDescent="0.25">
      <c r="A1348" s="1138">
        <v>1339</v>
      </c>
      <c r="B1348" s="1138" t="s">
        <v>1002</v>
      </c>
      <c r="C1348" s="1037" t="s">
        <v>1001</v>
      </c>
      <c r="D1348" s="1533"/>
      <c r="E1348" s="1534"/>
      <c r="F1348" s="1534"/>
      <c r="G1348" s="1534"/>
      <c r="H1348" s="1535"/>
      <c r="I1348" s="910"/>
      <c r="J1348" s="910"/>
      <c r="K1348" s="1176"/>
      <c r="L1348" s="1172"/>
      <c r="M1348" s="1177"/>
      <c r="N1348" s="910"/>
      <c r="O1348" s="910"/>
      <c r="P1348" s="910"/>
      <c r="Q1348" s="910"/>
      <c r="R1348" s="910"/>
      <c r="AA1348" s="504"/>
      <c r="AB1348" s="504"/>
      <c r="AC1348" s="322"/>
      <c r="AD1348" s="322"/>
      <c r="AE1348" s="322"/>
    </row>
    <row r="1349" spans="1:31" x14ac:dyDescent="0.25">
      <c r="A1349" s="1138">
        <v>1340</v>
      </c>
      <c r="B1349" s="1138" t="s">
        <v>1002</v>
      </c>
      <c r="C1349" s="1037" t="s">
        <v>1001</v>
      </c>
      <c r="D1349" s="1533"/>
      <c r="E1349" s="1534"/>
      <c r="F1349" s="1534"/>
      <c r="G1349" s="1534"/>
      <c r="H1349" s="1535"/>
      <c r="I1349" s="910"/>
      <c r="J1349" s="910"/>
      <c r="K1349" s="1176"/>
      <c r="L1349" s="1172"/>
      <c r="M1349" s="1177"/>
      <c r="N1349" s="910"/>
      <c r="O1349" s="910"/>
      <c r="P1349" s="910"/>
      <c r="Q1349" s="910"/>
      <c r="R1349" s="910"/>
      <c r="AA1349" s="504"/>
      <c r="AB1349" s="504"/>
      <c r="AC1349" s="322"/>
      <c r="AD1349" s="322"/>
      <c r="AE1349" s="322"/>
    </row>
    <row r="1350" spans="1:31" x14ac:dyDescent="0.25">
      <c r="A1350" s="1138">
        <v>1341</v>
      </c>
      <c r="B1350" s="1138" t="s">
        <v>1002</v>
      </c>
      <c r="C1350" s="1037" t="s">
        <v>1001</v>
      </c>
      <c r="D1350" s="1536"/>
      <c r="E1350" s="1537"/>
      <c r="F1350" s="1537"/>
      <c r="G1350" s="1537"/>
      <c r="H1350" s="1538"/>
      <c r="I1350" s="910"/>
      <c r="J1350" s="910"/>
      <c r="K1350" s="1176"/>
      <c r="L1350" s="1172"/>
      <c r="M1350" s="1177"/>
      <c r="N1350" s="910"/>
      <c r="O1350" s="910"/>
      <c r="P1350" s="910"/>
      <c r="Q1350" s="910"/>
      <c r="R1350" s="910"/>
      <c r="AA1350" s="504"/>
      <c r="AB1350" s="504"/>
      <c r="AC1350" s="322"/>
      <c r="AD1350" s="322"/>
      <c r="AE1350" s="322"/>
    </row>
    <row r="1351" spans="1:31" ht="15.75" thickBot="1" x14ac:dyDescent="0.3">
      <c r="A1351" s="1138">
        <v>1342</v>
      </c>
      <c r="B1351" s="1248" t="s">
        <v>1002</v>
      </c>
      <c r="C1351" s="1247" t="s">
        <v>1001</v>
      </c>
      <c r="D1351" s="915"/>
      <c r="E1351" s="915"/>
      <c r="F1351" s="915"/>
      <c r="G1351" s="915"/>
      <c r="H1351" s="915"/>
      <c r="I1351" s="914"/>
      <c r="J1351" s="914"/>
      <c r="K1351" s="1178"/>
      <c r="L1351" s="1179"/>
      <c r="M1351" s="1180"/>
      <c r="N1351" s="914"/>
      <c r="O1351" s="914"/>
      <c r="P1351" s="914"/>
      <c r="Q1351" s="914"/>
      <c r="R1351" s="914"/>
      <c r="S1351" s="504"/>
      <c r="T1351" s="504"/>
      <c r="U1351" s="504"/>
      <c r="V1351" s="504"/>
      <c r="W1351" s="504"/>
      <c r="X1351" s="504"/>
      <c r="Y1351" s="504"/>
      <c r="Z1351" s="504"/>
      <c r="AA1351" s="504"/>
      <c r="AB1351" s="504"/>
      <c r="AC1351" s="322"/>
      <c r="AD1351" s="322"/>
      <c r="AE1351" s="322"/>
    </row>
    <row r="1352" spans="1:31" x14ac:dyDescent="0.25">
      <c r="A1352" s="909"/>
      <c r="I1352" s="912"/>
      <c r="J1352" s="912"/>
      <c r="K1352" s="912"/>
      <c r="L1352" s="912"/>
      <c r="M1352" s="912"/>
      <c r="N1352" s="912"/>
      <c r="O1352" s="912"/>
      <c r="P1352" s="912"/>
      <c r="Q1352" s="912"/>
      <c r="R1352" s="912"/>
      <c r="S1352" s="912"/>
      <c r="T1352" s="504"/>
      <c r="U1352" s="504"/>
      <c r="V1352" s="504"/>
      <c r="W1352" s="504"/>
      <c r="X1352" s="504"/>
      <c r="Y1352" s="504"/>
      <c r="Z1352" s="504"/>
      <c r="AA1352" s="504"/>
      <c r="AB1352" s="504"/>
      <c r="AC1352" s="322"/>
      <c r="AD1352" s="322"/>
      <c r="AE1352" s="322"/>
    </row>
    <row r="1353" spans="1:31" x14ac:dyDescent="0.25">
      <c r="A1353" s="909"/>
      <c r="I1353" s="912"/>
      <c r="J1353" s="912"/>
      <c r="K1353" s="912"/>
      <c r="L1353" s="912"/>
      <c r="M1353" s="912"/>
      <c r="N1353" s="912"/>
      <c r="O1353" s="912"/>
      <c r="P1353" s="912"/>
      <c r="Q1353" s="912"/>
      <c r="R1353" s="912"/>
      <c r="S1353" s="912"/>
      <c r="T1353" s="504"/>
      <c r="U1353" s="504"/>
      <c r="V1353" s="504"/>
      <c r="W1353" s="504"/>
      <c r="X1353" s="504"/>
      <c r="Y1353" s="504"/>
      <c r="Z1353" s="504"/>
      <c r="AA1353" s="504"/>
      <c r="AB1353" s="504"/>
      <c r="AC1353" s="322"/>
      <c r="AD1353" s="322"/>
      <c r="AE1353" s="322"/>
    </row>
    <row r="1354" spans="1:31" x14ac:dyDescent="0.25">
      <c r="A1354" s="909"/>
      <c r="I1354" s="912"/>
      <c r="J1354" s="912"/>
      <c r="K1354" s="912"/>
      <c r="L1354" s="912"/>
      <c r="M1354" s="912"/>
      <c r="N1354" s="912"/>
      <c r="O1354" s="912"/>
      <c r="P1354" s="912"/>
      <c r="Q1354" s="912"/>
      <c r="R1354" s="912"/>
      <c r="S1354" s="912"/>
      <c r="T1354" s="504"/>
      <c r="U1354" s="504"/>
      <c r="V1354" s="504"/>
      <c r="W1354" s="504"/>
      <c r="X1354" s="504"/>
      <c r="Y1354" s="504"/>
      <c r="Z1354" s="504"/>
      <c r="AA1354" s="504"/>
      <c r="AB1354" s="504"/>
      <c r="AC1354" s="322"/>
      <c r="AD1354" s="322"/>
      <c r="AE1354" s="322"/>
    </row>
    <row r="1355" spans="1:31" x14ac:dyDescent="0.25">
      <c r="A1355" s="909"/>
      <c r="D1355" s="911"/>
      <c r="E1355" s="911"/>
      <c r="F1355" s="911"/>
      <c r="G1355" s="911"/>
      <c r="H1355" s="911"/>
      <c r="I1355" s="912"/>
      <c r="J1355" s="912"/>
      <c r="K1355" s="912"/>
      <c r="L1355" s="912"/>
      <c r="M1355" s="912"/>
      <c r="N1355" s="912"/>
      <c r="O1355" s="912"/>
      <c r="P1355" s="912"/>
      <c r="Q1355" s="912"/>
      <c r="R1355" s="912"/>
      <c r="S1355" s="912"/>
      <c r="T1355" s="504"/>
      <c r="U1355" s="504"/>
      <c r="V1355" s="504"/>
      <c r="W1355" s="504"/>
      <c r="X1355" s="504"/>
      <c r="Y1355" s="504"/>
      <c r="Z1355" s="504"/>
      <c r="AA1355" s="504"/>
      <c r="AB1355" s="504"/>
      <c r="AC1355" s="322"/>
      <c r="AD1355" s="322"/>
      <c r="AE1355" s="322"/>
    </row>
    <row r="1356" spans="1:31" x14ac:dyDescent="0.25">
      <c r="A1356" s="909"/>
      <c r="D1356" s="913"/>
      <c r="E1356" s="911"/>
      <c r="F1356" s="911"/>
      <c r="G1356" s="911"/>
      <c r="H1356" s="911"/>
      <c r="I1356" s="912"/>
      <c r="J1356" s="912"/>
      <c r="K1356" s="912"/>
      <c r="L1356" s="912"/>
      <c r="M1356" s="912"/>
      <c r="N1356" s="912"/>
      <c r="O1356" s="912"/>
      <c r="P1356" s="912"/>
      <c r="Q1356" s="912"/>
      <c r="R1356" s="912"/>
      <c r="S1356" s="912"/>
      <c r="T1356" s="504"/>
      <c r="U1356" s="504"/>
      <c r="V1356" s="504"/>
      <c r="W1356" s="504"/>
      <c r="X1356" s="504"/>
      <c r="Y1356" s="504"/>
      <c r="Z1356" s="504"/>
      <c r="AA1356" s="504"/>
      <c r="AB1356" s="504"/>
      <c r="AC1356" s="322"/>
      <c r="AD1356" s="322"/>
      <c r="AE1356" s="322"/>
    </row>
    <row r="1357" spans="1:31" x14ac:dyDescent="0.25">
      <c r="A1357" s="909"/>
      <c r="D1357" s="911"/>
      <c r="E1357" s="911"/>
      <c r="F1357" s="911"/>
      <c r="G1357" s="911"/>
      <c r="H1357" s="911"/>
      <c r="I1357" s="912"/>
      <c r="J1357" s="912"/>
      <c r="K1357" s="912"/>
      <c r="L1357" s="912"/>
      <c r="M1357" s="912"/>
      <c r="N1357" s="912"/>
      <c r="O1357" s="912"/>
      <c r="P1357" s="912"/>
      <c r="Q1357" s="912"/>
      <c r="R1357" s="912"/>
      <c r="S1357" s="912"/>
      <c r="T1357" s="504"/>
      <c r="U1357" s="504"/>
      <c r="V1357" s="504"/>
      <c r="W1357" s="504"/>
      <c r="X1357" s="504"/>
      <c r="Y1357" s="504"/>
      <c r="Z1357" s="504"/>
      <c r="AA1357" s="504"/>
      <c r="AB1357" s="504"/>
      <c r="AC1357" s="322"/>
      <c r="AD1357" s="322"/>
      <c r="AE1357" s="322"/>
    </row>
    <row r="1358" spans="1:31" x14ac:dyDescent="0.25">
      <c r="D1358" s="911"/>
      <c r="E1358" s="911"/>
      <c r="F1358" s="911"/>
      <c r="G1358" s="911"/>
      <c r="H1358" s="911"/>
      <c r="I1358" s="912"/>
      <c r="J1358" s="912"/>
      <c r="K1358" s="912"/>
      <c r="L1358" s="912"/>
      <c r="M1358" s="912"/>
      <c r="N1358" s="912"/>
      <c r="O1358" s="912"/>
      <c r="P1358" s="912"/>
      <c r="Q1358" s="912"/>
      <c r="R1358" s="912"/>
      <c r="S1358" s="912"/>
      <c r="AC1358" s="322"/>
      <c r="AD1358" s="322"/>
      <c r="AE1358" s="322"/>
    </row>
    <row r="1359" spans="1:31" x14ac:dyDescent="0.25">
      <c r="E1359" s="911"/>
      <c r="F1359" s="911"/>
      <c r="G1359" s="911"/>
      <c r="H1359" s="911"/>
      <c r="I1359" s="912"/>
      <c r="J1359" s="912"/>
      <c r="K1359" s="912"/>
      <c r="L1359" s="912"/>
      <c r="M1359" s="912"/>
      <c r="N1359" s="912"/>
      <c r="O1359" s="912"/>
      <c r="P1359" s="912"/>
      <c r="Q1359" s="912"/>
      <c r="R1359" s="912"/>
      <c r="S1359" s="912"/>
      <c r="AC1359" s="322"/>
      <c r="AD1359" s="322"/>
      <c r="AE1359" s="322"/>
    </row>
    <row r="1360" spans="1:31" x14ac:dyDescent="0.25">
      <c r="E1360" s="911"/>
      <c r="F1360" s="911"/>
      <c r="G1360" s="911"/>
      <c r="H1360" s="911"/>
      <c r="I1360" s="911"/>
      <c r="J1360" s="911"/>
      <c r="K1360" s="911"/>
      <c r="L1360" s="911"/>
      <c r="M1360" s="911"/>
      <c r="N1360" s="911"/>
      <c r="O1360" s="911"/>
      <c r="P1360" s="911"/>
      <c r="Q1360" s="911"/>
      <c r="R1360" s="911"/>
      <c r="AC1360" s="322"/>
      <c r="AD1360" s="322"/>
      <c r="AE1360" s="322"/>
    </row>
    <row r="1361" spans="4:31" x14ac:dyDescent="0.25">
      <c r="E1361" s="911"/>
      <c r="F1361" s="911"/>
      <c r="G1361" s="911"/>
      <c r="H1361" s="911"/>
      <c r="I1361" s="911"/>
      <c r="J1361" s="911"/>
      <c r="K1361" s="911"/>
      <c r="L1361" s="911"/>
      <c r="M1361" s="911"/>
      <c r="N1361" s="911"/>
      <c r="O1361" s="911"/>
      <c r="P1361" s="911"/>
      <c r="Q1361" s="911"/>
      <c r="R1361" s="911"/>
      <c r="AC1361" s="322"/>
      <c r="AD1361" s="322"/>
      <c r="AE1361" s="322"/>
    </row>
    <row r="1362" spans="4:31" x14ac:dyDescent="0.25">
      <c r="D1362" s="911"/>
      <c r="E1362" s="911"/>
      <c r="F1362" s="911"/>
      <c r="G1362" s="911"/>
      <c r="H1362" s="911"/>
      <c r="I1362" s="911"/>
      <c r="J1362" s="911"/>
      <c r="K1362" s="911"/>
      <c r="L1362" s="911"/>
      <c r="M1362" s="911"/>
      <c r="N1362" s="911"/>
      <c r="O1362" s="911"/>
      <c r="P1362" s="911"/>
      <c r="Q1362" s="911"/>
      <c r="R1362" s="911"/>
      <c r="AC1362" s="322"/>
      <c r="AD1362" s="322"/>
      <c r="AE1362" s="322"/>
    </row>
    <row r="1364" spans="4:31" x14ac:dyDescent="0.25">
      <c r="D1364" s="911"/>
    </row>
    <row r="1367" spans="4:31" x14ac:dyDescent="0.25">
      <c r="D1367" s="911"/>
    </row>
    <row r="1369" spans="4:31" x14ac:dyDescent="0.25">
      <c r="D1369" s="911"/>
    </row>
    <row r="1410" spans="4:6" hidden="1" x14ac:dyDescent="0.25"/>
    <row r="1411" spans="4:6" ht="15.75" hidden="1" thickBot="1" x14ac:dyDescent="0.3">
      <c r="D1411" s="938" t="s">
        <v>1214</v>
      </c>
      <c r="E1411" s="937" t="s">
        <v>1008</v>
      </c>
    </row>
    <row r="1412" spans="4:6" ht="15.75" hidden="1" thickBot="1" x14ac:dyDescent="0.3">
      <c r="D1412" s="982" t="s">
        <v>1047</v>
      </c>
      <c r="E1412" s="1001" t="s">
        <v>316</v>
      </c>
      <c r="F1412" s="994" t="str">
        <f>IF(OR(E1412=AIS_No,E1412=AIS_PS),"Pre-requisite: Please select yes","")</f>
        <v>Pre-requisite: Please select yes</v>
      </c>
    </row>
    <row r="1413" spans="4:6" hidden="1" x14ac:dyDescent="0.25"/>
    <row r="1414" spans="4:6" hidden="1" x14ac:dyDescent="0.25"/>
  </sheetData>
  <sheetProtection algorithmName="SHA-512" hashValue="fGWDXxq33j2JBvVDoufb0gzBQKsfwbKWYIutmT6ogKdcNRFt+nvCfvszFnC1D08ejjhzDeglPVyIyXeSyj4LKA==" saltValue="/B7O4YR2MH+t6TwHN+X2Kg==" spinCount="100000" sheet="1" formatCells="0" formatRows="0" selectLockedCells="1" autoFilter="0"/>
  <protectedRanges>
    <protectedRange sqref="A10:H10 B182:H182 B338:H338 B540:H540 B607:H607 B708:H708 B903:H903 B983:H983 B1207:H1207 B1317:H1317" name="Sortering_1"/>
    <protectedRange sqref="D26:F27 E63 D227:E228 F226:G228 D253:E254 F252:H254 F255:F256 F24:G25 D364:F367 D474:E474 D480:H481 D359:F360 D614:D615 D482:G491 F550:F552 D551:E552 D553:F554 F578 D627:E628 F626:F628 H926:H927 D948:G948 D990:H991 F1254 D1187:E1192 D715:H716 E31:F31 D1412:E1412 D279:H279 D25:E25 H511:H519 D579:F592 D56:H57 D116:E116 F115:G116 D218:H221 D229:G229 D477:H478 D766:G769 D919:E920 D1016 D1097:E1098 D802 D1229:G1229 D1227:E1228 F617:F619 D618:E620 D1179:H1182 F1213:H1213 D1255:F1260 H1255:H1260 G1254:G1260 H1216 D1253:G1253 D525:E525 D17:H22 D60:H61 D91:H93 D95:H99 D85:H86 D107:G107 E103:G106 G121 D117:G120 D121:E121 D64:E65 D140:H142 D145:E145 D165:H167 D248:H250 D276:E276 D299:H300 D852:H852 D354:H356 D388:H390 D410:H411 D452:H454 D511:F519 D547:H548 D522:H522 D574:H576 F614:H614 D648:H651 D671:H673 D693:H693 D744:G744 D722:G726 D431:H432 D763:E763 D771:G773 D793:E793 F797:H797 D796:H796 F800:H801 D799:H799 F615:G615 D914:E914 H914 D822:H826 D883:H885 D917:E917 H917 D944:H945 D968:H968 E1022 F1016:H1016 E1014:E1016 E1019 H1019 H1022 D1011:E1011 G1011:H1011 D1046 G1049 E1045:E1046 F1046:H1046 D1042:E1042 G1042:H1042 D1066:E1067 D1070:H1072 H1074 E1074 D1075:H1075 D1101:H1102 D1105:H1106 D1126:H1126 D1150:E1150 H1154 E1154 D1155:H1155 H1184 E1184 D1185:H1185 D1153:H1153 D1174:E1176 D1213:E1217 D1226:G1226 D1225:F1225 H1226:H1230 D1248:H1250 D1280:H1281 D1301:H1302 D1324:H1338 D916:H916 E24 F357 H718 H722 D718:F719 G718:G720 G357:G368 D855:E855 D856:D857 E863 D888 D921:H925 D739:E743 G1025:G1027 D1078:H1078 F1076:H1077 D1077:E1077 G1186:H1193 F1186:F1192 D728:F729 D108:F113 G109:G114 D732:F736 H766 H771 D1219:H1224 D189:H195 D846:H849 D323:H323 E856:E859 D862:E862 E100:H100 D101:H102 D198:H198 D224:H225 D303:H304 D910:H913 D1129:H1129 D88:H89 F918:H920 D345:H352" name="Sortering_2"/>
  </protectedRanges>
  <autoFilter ref="A9:R1351" xr:uid="{00000000-0009-0000-0000-000003000000}"/>
  <dataConsolidate/>
  <mergeCells count="277">
    <mergeCell ref="D44:H44"/>
    <mergeCell ref="D45:H45"/>
    <mergeCell ref="D46:H46"/>
    <mergeCell ref="D47:H47"/>
    <mergeCell ref="D48:H48"/>
    <mergeCell ref="D49:H49"/>
    <mergeCell ref="D131:H131"/>
    <mergeCell ref="D132:H132"/>
    <mergeCell ref="D133:H133"/>
    <mergeCell ref="D73:H73"/>
    <mergeCell ref="D74:H74"/>
    <mergeCell ref="D75:H75"/>
    <mergeCell ref="D76:H76"/>
    <mergeCell ref="D77:H77"/>
    <mergeCell ref="D78:H78"/>
    <mergeCell ref="D128:H128"/>
    <mergeCell ref="D153:H153"/>
    <mergeCell ref="D129:H129"/>
    <mergeCell ref="D130:H130"/>
    <mergeCell ref="D154:H154"/>
    <mergeCell ref="D155:H155"/>
    <mergeCell ref="D156:H156"/>
    <mergeCell ref="D157:H157"/>
    <mergeCell ref="D158:H158"/>
    <mergeCell ref="D175:H175"/>
    <mergeCell ref="D176:H176"/>
    <mergeCell ref="D177:H177"/>
    <mergeCell ref="D178:H178"/>
    <mergeCell ref="D179:H179"/>
    <mergeCell ref="D180:H180"/>
    <mergeCell ref="D206:H206"/>
    <mergeCell ref="D207:H207"/>
    <mergeCell ref="D208:H208"/>
    <mergeCell ref="D209:H209"/>
    <mergeCell ref="D210:H210"/>
    <mergeCell ref="D211:H211"/>
    <mergeCell ref="D236:H236"/>
    <mergeCell ref="D268:H268"/>
    <mergeCell ref="D269:H269"/>
    <mergeCell ref="D287:H287"/>
    <mergeCell ref="D237:H237"/>
    <mergeCell ref="D238:H238"/>
    <mergeCell ref="D239:H239"/>
    <mergeCell ref="D240:H240"/>
    <mergeCell ref="D241:H241"/>
    <mergeCell ref="D264:H264"/>
    <mergeCell ref="D265:H265"/>
    <mergeCell ref="D266:H266"/>
    <mergeCell ref="D267:H267"/>
    <mergeCell ref="D288:H288"/>
    <mergeCell ref="D289:H289"/>
    <mergeCell ref="D290:H290"/>
    <mergeCell ref="D291:H291"/>
    <mergeCell ref="D292:H292"/>
    <mergeCell ref="D311:H311"/>
    <mergeCell ref="D312:H312"/>
    <mergeCell ref="D313:H313"/>
    <mergeCell ref="D314:H314"/>
    <mergeCell ref="D315:H315"/>
    <mergeCell ref="D316:H316"/>
    <mergeCell ref="D331:H331"/>
    <mergeCell ref="D332:H332"/>
    <mergeCell ref="D333:H333"/>
    <mergeCell ref="D334:H334"/>
    <mergeCell ref="D335:H335"/>
    <mergeCell ref="D336:H336"/>
    <mergeCell ref="D376:H376"/>
    <mergeCell ref="D377:H377"/>
    <mergeCell ref="D378:H378"/>
    <mergeCell ref="D379:H379"/>
    <mergeCell ref="D380:H380"/>
    <mergeCell ref="D381:H381"/>
    <mergeCell ref="D398:H398"/>
    <mergeCell ref="D399:H399"/>
    <mergeCell ref="D400:H400"/>
    <mergeCell ref="D401:H401"/>
    <mergeCell ref="D402:H402"/>
    <mergeCell ref="D403:H403"/>
    <mergeCell ref="D419:H419"/>
    <mergeCell ref="D420:H420"/>
    <mergeCell ref="D421:H421"/>
    <mergeCell ref="D422:H422"/>
    <mergeCell ref="D423:H423"/>
    <mergeCell ref="D424:H424"/>
    <mergeCell ref="D440:H440"/>
    <mergeCell ref="D441:H441"/>
    <mergeCell ref="D442:H442"/>
    <mergeCell ref="D443:H443"/>
    <mergeCell ref="D444:H444"/>
    <mergeCell ref="D445:H445"/>
    <mergeCell ref="D462:H462"/>
    <mergeCell ref="D463:H463"/>
    <mergeCell ref="D464:H464"/>
    <mergeCell ref="D465:H465"/>
    <mergeCell ref="D466:H466"/>
    <mergeCell ref="D467:H467"/>
    <mergeCell ref="D499:H499"/>
    <mergeCell ref="D500:H500"/>
    <mergeCell ref="D501:H501"/>
    <mergeCell ref="D502:H502"/>
    <mergeCell ref="D503:H503"/>
    <mergeCell ref="D504:H504"/>
    <mergeCell ref="D533:H533"/>
    <mergeCell ref="D534:H534"/>
    <mergeCell ref="D535:H535"/>
    <mergeCell ref="D536:H536"/>
    <mergeCell ref="D537:H537"/>
    <mergeCell ref="D538:H538"/>
    <mergeCell ref="D562:H562"/>
    <mergeCell ref="D563:H563"/>
    <mergeCell ref="D564:H564"/>
    <mergeCell ref="D565:H565"/>
    <mergeCell ref="D566:H566"/>
    <mergeCell ref="D567:H567"/>
    <mergeCell ref="D600:H600"/>
    <mergeCell ref="D601:H601"/>
    <mergeCell ref="D602:H602"/>
    <mergeCell ref="D603:H603"/>
    <mergeCell ref="D604:H604"/>
    <mergeCell ref="D605:H605"/>
    <mergeCell ref="D636:H636"/>
    <mergeCell ref="D637:H637"/>
    <mergeCell ref="D638:H638"/>
    <mergeCell ref="D639:H639"/>
    <mergeCell ref="D640:H640"/>
    <mergeCell ref="D641:H641"/>
    <mergeCell ref="D659:H659"/>
    <mergeCell ref="D660:H660"/>
    <mergeCell ref="D661:H661"/>
    <mergeCell ref="D662:H662"/>
    <mergeCell ref="D663:H663"/>
    <mergeCell ref="D664:H664"/>
    <mergeCell ref="D681:H681"/>
    <mergeCell ref="D682:H682"/>
    <mergeCell ref="D683:H683"/>
    <mergeCell ref="D684:H684"/>
    <mergeCell ref="D685:H685"/>
    <mergeCell ref="D686:H686"/>
    <mergeCell ref="D701:H701"/>
    <mergeCell ref="D702:H702"/>
    <mergeCell ref="D703:H703"/>
    <mergeCell ref="D704:H704"/>
    <mergeCell ref="D705:H705"/>
    <mergeCell ref="D706:H706"/>
    <mergeCell ref="D751:H751"/>
    <mergeCell ref="D752:H752"/>
    <mergeCell ref="D753:H753"/>
    <mergeCell ref="D754:H754"/>
    <mergeCell ref="D755:H755"/>
    <mergeCell ref="D756:H756"/>
    <mergeCell ref="D810:H810"/>
    <mergeCell ref="D811:H811"/>
    <mergeCell ref="D812:H812"/>
    <mergeCell ref="D813:H813"/>
    <mergeCell ref="D814:H814"/>
    <mergeCell ref="D815:H815"/>
    <mergeCell ref="D834:H834"/>
    <mergeCell ref="D781:H781"/>
    <mergeCell ref="D782:H782"/>
    <mergeCell ref="D783:H783"/>
    <mergeCell ref="D784:H784"/>
    <mergeCell ref="D785:H785"/>
    <mergeCell ref="D786:H786"/>
    <mergeCell ref="D835:H835"/>
    <mergeCell ref="D836:H836"/>
    <mergeCell ref="D837:H837"/>
    <mergeCell ref="D838:H838"/>
    <mergeCell ref="D839:H839"/>
    <mergeCell ref="D871:H871"/>
    <mergeCell ref="D872:H872"/>
    <mergeCell ref="D873:H873"/>
    <mergeCell ref="D874:H874"/>
    <mergeCell ref="D875:H875"/>
    <mergeCell ref="D876:H876"/>
    <mergeCell ref="D896:H896"/>
    <mergeCell ref="D897:H897"/>
    <mergeCell ref="D898:H898"/>
    <mergeCell ref="D899:H899"/>
    <mergeCell ref="D900:H900"/>
    <mergeCell ref="D901:H901"/>
    <mergeCell ref="D932:H932"/>
    <mergeCell ref="D933:H933"/>
    <mergeCell ref="D934:H934"/>
    <mergeCell ref="D935:H935"/>
    <mergeCell ref="D936:H936"/>
    <mergeCell ref="D937:H937"/>
    <mergeCell ref="D956:H956"/>
    <mergeCell ref="D957:H957"/>
    <mergeCell ref="D958:H958"/>
    <mergeCell ref="D959:H959"/>
    <mergeCell ref="D960:H960"/>
    <mergeCell ref="D961:H961"/>
    <mergeCell ref="D976:H976"/>
    <mergeCell ref="D977:H977"/>
    <mergeCell ref="D978:H978"/>
    <mergeCell ref="D979:H979"/>
    <mergeCell ref="D980:H980"/>
    <mergeCell ref="D981:H981"/>
    <mergeCell ref="D999:H999"/>
    <mergeCell ref="D1000:H1000"/>
    <mergeCell ref="D1001:H1001"/>
    <mergeCell ref="D1002:H1002"/>
    <mergeCell ref="D1003:H1003"/>
    <mergeCell ref="D1004:H1004"/>
    <mergeCell ref="D1030:H1030"/>
    <mergeCell ref="D1031:H1031"/>
    <mergeCell ref="D1032:H1032"/>
    <mergeCell ref="D1033:H1033"/>
    <mergeCell ref="D1034:H1034"/>
    <mergeCell ref="D1035:H1035"/>
    <mergeCell ref="D1085:H1085"/>
    <mergeCell ref="D1086:H1086"/>
    <mergeCell ref="D1087:H1087"/>
    <mergeCell ref="D1088:H1088"/>
    <mergeCell ref="D1054:H1054"/>
    <mergeCell ref="D1055:H1055"/>
    <mergeCell ref="D1056:H1056"/>
    <mergeCell ref="D1057:H1057"/>
    <mergeCell ref="D1058:H1058"/>
    <mergeCell ref="D1059:H1059"/>
    <mergeCell ref="D1089:H1089"/>
    <mergeCell ref="D1090:H1090"/>
    <mergeCell ref="D1114:H1114"/>
    <mergeCell ref="D1115:H1115"/>
    <mergeCell ref="D1116:H1116"/>
    <mergeCell ref="D1117:H1117"/>
    <mergeCell ref="D1118:H1118"/>
    <mergeCell ref="D1119:H1119"/>
    <mergeCell ref="D1138:H1138"/>
    <mergeCell ref="D1271:H1271"/>
    <mergeCell ref="D1272:H1272"/>
    <mergeCell ref="D1273:H1273"/>
    <mergeCell ref="D1139:H1139"/>
    <mergeCell ref="D1140:H1140"/>
    <mergeCell ref="D1141:H1141"/>
    <mergeCell ref="D1142:H1142"/>
    <mergeCell ref="D1143:H1143"/>
    <mergeCell ref="D1237:H1237"/>
    <mergeCell ref="D1238:H1238"/>
    <mergeCell ref="D1239:H1239"/>
    <mergeCell ref="D1240:H1240"/>
    <mergeCell ref="D1162:H1162"/>
    <mergeCell ref="D1163:H1163"/>
    <mergeCell ref="D1164:H1164"/>
    <mergeCell ref="D1165:H1165"/>
    <mergeCell ref="D1166:H1166"/>
    <mergeCell ref="D1167:H1167"/>
    <mergeCell ref="D1200:H1200"/>
    <mergeCell ref="D1201:H1201"/>
    <mergeCell ref="D1202:H1202"/>
    <mergeCell ref="D1203:H1203"/>
    <mergeCell ref="D1204:H1204"/>
    <mergeCell ref="D1205:H1205"/>
    <mergeCell ref="K5:P5"/>
    <mergeCell ref="D1346:H1346"/>
    <mergeCell ref="D1347:H1347"/>
    <mergeCell ref="D1348:H1348"/>
    <mergeCell ref="D1349:H1349"/>
    <mergeCell ref="D1350:H1350"/>
    <mergeCell ref="D1293:H1293"/>
    <mergeCell ref="D1294:H1294"/>
    <mergeCell ref="D1310:H1310"/>
    <mergeCell ref="D1311:H1311"/>
    <mergeCell ref="D1312:H1312"/>
    <mergeCell ref="D1313:H1313"/>
    <mergeCell ref="D1314:H1314"/>
    <mergeCell ref="D1315:H1315"/>
    <mergeCell ref="D1345:H1345"/>
    <mergeCell ref="D1289:H1289"/>
    <mergeCell ref="D1290:H1290"/>
    <mergeCell ref="D1291:H1291"/>
    <mergeCell ref="D1292:H1292"/>
    <mergeCell ref="D1241:H1241"/>
    <mergeCell ref="D1242:H1242"/>
    <mergeCell ref="D1268:H1268"/>
    <mergeCell ref="D1269:H1269"/>
    <mergeCell ref="D1270:H1270"/>
  </mergeCells>
  <phoneticPr fontId="51" type="noConversion"/>
  <conditionalFormatting sqref="D943:H945">
    <cfRule type="expression" dxfId="2127" priority="67">
      <formula>$F$944=0</formula>
    </cfRule>
  </conditionalFormatting>
  <conditionalFormatting sqref="D947:H948">
    <cfRule type="expression" dxfId="2126" priority="68">
      <formula>$F$948=0</formula>
    </cfRule>
  </conditionalFormatting>
  <conditionalFormatting sqref="E25:E29">
    <cfRule type="expression" dxfId="2125" priority="161">
      <formula>OR($E$1412=AIS_No_SR,$E$1412=AIS_PS)</formula>
    </cfRule>
    <cfRule type="expression" dxfId="2124" priority="160">
      <formula>OR($E$95=AIS_No_SR,$E$95=AIS_PS)</formula>
    </cfRule>
    <cfRule type="expression" dxfId="2123" priority="159">
      <formula>OR($E$96=AIS_No_SR,$E$96=AIS_PS)</formula>
    </cfRule>
  </conditionalFormatting>
  <conditionalFormatting sqref="E26:E29">
    <cfRule type="expression" dxfId="2122" priority="158">
      <formula>OR($E$98=AIS_No_SR,$E$98=AIS_PS)</formula>
    </cfRule>
  </conditionalFormatting>
  <conditionalFormatting sqref="E32:E36">
    <cfRule type="expression" dxfId="2121" priority="156">
      <formula>OR($E$95=AIS_No_SR,$E$95=AIS_PS)</formula>
    </cfRule>
    <cfRule type="expression" dxfId="2120" priority="155">
      <formula>OR($E$96=AIS_No_SR,$E$96=AIS_PS)</formula>
    </cfRule>
    <cfRule type="expression" dxfId="2119" priority="157">
      <formula>OR($E$1412=AIS_No_SR,$E$1412=AIS_PS)</formula>
    </cfRule>
  </conditionalFormatting>
  <conditionalFormatting sqref="E33:E36">
    <cfRule type="expression" dxfId="2118" priority="585">
      <formula>OR($E$98=AIS_No_SR,$E$98=AIS_PS)</formula>
    </cfRule>
  </conditionalFormatting>
  <conditionalFormatting sqref="E85 E88 E122:E125">
    <cfRule type="expression" dxfId="2117" priority="7234">
      <formula>OR($E$1412=AIS_No_SR,$E$1412=AIS_PS)</formula>
    </cfRule>
  </conditionalFormatting>
  <conditionalFormatting sqref="E107:E113">
    <cfRule type="expression" dxfId="2116" priority="53">
      <formula>OR($E$1412=AIS_No_SR,$E$1412=AIS_PS)</formula>
    </cfRule>
    <cfRule type="expression" dxfId="2115" priority="52">
      <formula>OR($E$95=AIS_No_SR,$E$95=AIS_PS)</formula>
    </cfRule>
    <cfRule type="expression" dxfId="2114" priority="50">
      <formula>OR($E$96=AIS_No_SR,$E$96=AIS_PS)</formula>
    </cfRule>
  </conditionalFormatting>
  <conditionalFormatting sqref="E108:E113">
    <cfRule type="expression" dxfId="2113" priority="51">
      <formula>OR($E$98=AIS_No_SR,$E$98=AIS_PS)</formula>
    </cfRule>
  </conditionalFormatting>
  <conditionalFormatting sqref="E116">
    <cfRule type="expression" dxfId="2112" priority="583">
      <formula>OR($E$96=AIS_No_SR,$E$96=AIS_PS)</formula>
    </cfRule>
  </conditionalFormatting>
  <conditionalFormatting sqref="E116:E120">
    <cfRule type="expression" dxfId="2111" priority="326">
      <formula>OR($E$1412=AIS_No_SR,$E$1412=AIS_PS)</formula>
    </cfRule>
    <cfRule type="expression" dxfId="2110" priority="325">
      <formula>OR($E$95=AIS_No_SR,$E$95=AIS_PS)</formula>
    </cfRule>
  </conditionalFormatting>
  <conditionalFormatting sqref="E117:E120">
    <cfRule type="expression" dxfId="2109" priority="324">
      <formula>OR($E$98=AIS_No_SR,$E$98=AIS_PS)</formula>
    </cfRule>
  </conditionalFormatting>
  <conditionalFormatting sqref="E118:E120">
    <cfRule type="expression" dxfId="2108" priority="323">
      <formula>OR($E$96=AIS_No_SR,$E$96=AIS_PS)</formula>
    </cfRule>
  </conditionalFormatting>
  <conditionalFormatting sqref="E169:E172 D175:H180">
    <cfRule type="expression" dxfId="2107" priority="499">
      <formula>$E$161=0</formula>
    </cfRule>
  </conditionalFormatting>
  <conditionalFormatting sqref="E191:E195 E198">
    <cfRule type="expression" dxfId="2106" priority="12">
      <formula>$AU$189=AD_no</formula>
    </cfRule>
  </conditionalFormatting>
  <conditionalFormatting sqref="E200:E202 E203:G203">
    <cfRule type="expression" dxfId="2105" priority="582">
      <formula>OR($E$189=AIS_No_SR,$E$189=AIS_PS)</formula>
    </cfRule>
  </conditionalFormatting>
  <conditionalFormatting sqref="E218:E221 E224 E227:E228 D236:H241">
    <cfRule type="expression" dxfId="2104" priority="29">
      <formula>$E$214=0</formula>
    </cfRule>
  </conditionalFormatting>
  <conditionalFormatting sqref="E219:E221 E224">
    <cfRule type="expression" dxfId="2103" priority="11">
      <formula>$I$218&lt;&gt;""</formula>
    </cfRule>
  </conditionalFormatting>
  <conditionalFormatting sqref="E227">
    <cfRule type="expression" dxfId="2102" priority="572">
      <formula>AND(#REF!=1,OR(#REF!=AIS_No_SR,#REF!=AIS_PS))</formula>
    </cfRule>
  </conditionalFormatting>
  <conditionalFormatting sqref="E228">
    <cfRule type="expression" dxfId="2101" priority="571">
      <formula>AND(#REF!=1,OR(#REF!=AIS_No_SR,#REF!=AIS_PS))</formula>
    </cfRule>
  </conditionalFormatting>
  <conditionalFormatting sqref="E230:E233">
    <cfRule type="expression" dxfId="2100" priority="28">
      <formula>$E$214=0</formula>
    </cfRule>
  </conditionalFormatting>
  <conditionalFormatting sqref="E248:E250">
    <cfRule type="expression" dxfId="2099" priority="27">
      <formula>$E$244=0</formula>
    </cfRule>
  </conditionalFormatting>
  <conditionalFormatting sqref="E253">
    <cfRule type="expression" dxfId="2098" priority="568">
      <formula>OR($E$248=AIS_No_SR,$E$248=AIS_PS)</formula>
    </cfRule>
  </conditionalFormatting>
  <conditionalFormatting sqref="E253:E256 E258:E261 D264:H269">
    <cfRule type="expression" dxfId="2097" priority="570">
      <formula>$E$244=0</formula>
    </cfRule>
  </conditionalFormatting>
  <conditionalFormatting sqref="E279 E281:E284">
    <cfRule type="expression" dxfId="2096" priority="565">
      <formula>OR($E$276=AIS_No_SR,$E$276=AIS_PS)</formula>
    </cfRule>
  </conditionalFormatting>
  <conditionalFormatting sqref="E299:E300">
    <cfRule type="expression" dxfId="2095" priority="26">
      <formula>F299=0</formula>
    </cfRule>
  </conditionalFormatting>
  <conditionalFormatting sqref="E305:E308 D311:H316">
    <cfRule type="expression" dxfId="2094" priority="564">
      <formula>$E$295=0</formula>
    </cfRule>
  </conditionalFormatting>
  <conditionalFormatting sqref="E323">
    <cfRule type="expression" dxfId="2093" priority="560">
      <formula>$E$319=0</formula>
    </cfRule>
  </conditionalFormatting>
  <conditionalFormatting sqref="E325:E328 D331:H336">
    <cfRule type="expression" dxfId="2092" priority="561">
      <formula>$E$319=0</formula>
    </cfRule>
  </conditionalFormatting>
  <conditionalFormatting sqref="E388:E390">
    <cfRule type="expression" dxfId="2091" priority="35">
      <formula>F388=0</formula>
    </cfRule>
  </conditionalFormatting>
  <conditionalFormatting sqref="E410:E411">
    <cfRule type="expression" dxfId="2090" priority="34">
      <formula>F410=0</formula>
    </cfRule>
  </conditionalFormatting>
  <conditionalFormatting sqref="E431:E432">
    <cfRule type="expression" dxfId="2089" priority="25">
      <formula>$E$427=0</formula>
    </cfRule>
  </conditionalFormatting>
  <conditionalFormatting sqref="E434:E437 D440:H445">
    <cfRule type="expression" dxfId="2088" priority="554">
      <formula>$E$427=0</formula>
    </cfRule>
  </conditionalFormatting>
  <conditionalFormatting sqref="E452:E454">
    <cfRule type="expression" dxfId="2087" priority="49">
      <formula>F452=0</formula>
    </cfRule>
  </conditionalFormatting>
  <conditionalFormatting sqref="E456:E459 D462:H467">
    <cfRule type="expression" dxfId="2086" priority="552">
      <formula>$E$448=0</formula>
    </cfRule>
  </conditionalFormatting>
  <conditionalFormatting sqref="E474 E493:E496 D499:H504">
    <cfRule type="expression" dxfId="2085" priority="550">
      <formula>$E$470=0</formula>
    </cfRule>
  </conditionalFormatting>
  <conditionalFormatting sqref="E477">
    <cfRule type="expression" dxfId="2084" priority="48">
      <formula>F477=0</formula>
    </cfRule>
  </conditionalFormatting>
  <conditionalFormatting sqref="E480">
    <cfRule type="expression" dxfId="2083" priority="44">
      <formula>F480=0</formula>
    </cfRule>
  </conditionalFormatting>
  <conditionalFormatting sqref="E481">
    <cfRule type="expression" dxfId="2082" priority="43">
      <formula>F480=0</formula>
    </cfRule>
  </conditionalFormatting>
  <conditionalFormatting sqref="E482:E491">
    <cfRule type="expression" dxfId="2081" priority="45">
      <formula>F482=0</formula>
    </cfRule>
  </conditionalFormatting>
  <conditionalFormatting sqref="E493:E496">
    <cfRule type="expression" dxfId="2080" priority="507">
      <formula>$F$474&lt;&gt;""</formula>
    </cfRule>
  </conditionalFormatting>
  <conditionalFormatting sqref="E525">
    <cfRule type="expression" dxfId="2079" priority="116">
      <formula>OR($E$248=AIS_No_SR,$E$248=AIS_PS)</formula>
    </cfRule>
    <cfRule type="expression" dxfId="2078" priority="117">
      <formula>$E$244=0</formula>
    </cfRule>
  </conditionalFormatting>
  <conditionalFormatting sqref="E551">
    <cfRule type="expression" dxfId="2077" priority="115">
      <formula>$E$244=0</formula>
    </cfRule>
    <cfRule type="expression" dxfId="2076" priority="114">
      <formula>OR($E$248=AIS_No_SR,$E$248=AIS_PS)</formula>
    </cfRule>
  </conditionalFormatting>
  <conditionalFormatting sqref="E579">
    <cfRule type="expression" dxfId="2075" priority="111">
      <formula>$E$244=0</formula>
    </cfRule>
    <cfRule type="expression" dxfId="2074" priority="110">
      <formula>OR($E$248=AIS_No_SR,$E$248=AIS_PS)</formula>
    </cfRule>
  </conditionalFormatting>
  <conditionalFormatting sqref="E618:E620">
    <cfRule type="expression" dxfId="2073" priority="37">
      <formula>$E$614=$K$612</formula>
    </cfRule>
  </conditionalFormatting>
  <conditionalFormatting sqref="E623:E624">
    <cfRule type="expression" dxfId="2072" priority="38">
      <formula>$E$614=$K$611</formula>
    </cfRule>
  </conditionalFormatting>
  <conditionalFormatting sqref="E671:E673">
    <cfRule type="expression" dxfId="2071" priority="33">
      <formula>F671=0</formula>
    </cfRule>
  </conditionalFormatting>
  <conditionalFormatting sqref="E675:E678 D681:H686">
    <cfRule type="expression" dxfId="2070" priority="537">
      <formula>$E$667=0</formula>
    </cfRule>
  </conditionalFormatting>
  <conditionalFormatting sqref="E695:E698 D701:H706">
    <cfRule type="expression" dxfId="2069" priority="536">
      <formula>$E$689=0</formula>
    </cfRule>
  </conditionalFormatting>
  <conditionalFormatting sqref="E718:E719">
    <cfRule type="expression" dxfId="2068" priority="280">
      <formula>$F$715&lt;&gt;""</formula>
    </cfRule>
  </conditionalFormatting>
  <conditionalFormatting sqref="E722:E725">
    <cfRule type="expression" dxfId="2067" priority="21">
      <formula>$F$715&lt;&gt;""</formula>
    </cfRule>
  </conditionalFormatting>
  <conditionalFormatting sqref="E728:E729">
    <cfRule type="expression" dxfId="2066" priority="58">
      <formula>$F$715&lt;&gt;""</formula>
    </cfRule>
  </conditionalFormatting>
  <conditionalFormatting sqref="E732">
    <cfRule type="expression" dxfId="2065" priority="106">
      <formula>OR($E$248=AIS_No_SR,$E$248=AIS_PS)</formula>
    </cfRule>
    <cfRule type="expression" dxfId="2064" priority="107">
      <formula>$E$244=0</formula>
    </cfRule>
  </conditionalFormatting>
  <conditionalFormatting sqref="E732:E736">
    <cfRule type="expression" dxfId="2063" priority="69">
      <formula>$F$715&lt;&gt;""</formula>
    </cfRule>
  </conditionalFormatting>
  <conditionalFormatting sqref="E739">
    <cfRule type="expression" dxfId="2062" priority="102">
      <formula>OR($E$248=AIS_No_SR,$E$248=AIS_PS)</formula>
    </cfRule>
    <cfRule type="expression" dxfId="2061" priority="103">
      <formula>$E$244=0</formula>
    </cfRule>
  </conditionalFormatting>
  <conditionalFormatting sqref="E740:E743">
    <cfRule type="expression" dxfId="2060" priority="20">
      <formula>$F$715&lt;&gt;""</formula>
    </cfRule>
  </conditionalFormatting>
  <conditionalFormatting sqref="E766:E768">
    <cfRule type="expression" dxfId="2059" priority="9">
      <formula>$F$763&lt;&gt;""</formula>
    </cfRule>
  </conditionalFormatting>
  <conditionalFormatting sqref="E771:E773">
    <cfRule type="expression" dxfId="2058" priority="19">
      <formula>$F$763&lt;&gt;""</formula>
    </cfRule>
  </conditionalFormatting>
  <conditionalFormatting sqref="E796 E799 E802">
    <cfRule type="expression" dxfId="2057" priority="18">
      <formula>$F$793&lt;&gt;""</formula>
    </cfRule>
  </conditionalFormatting>
  <conditionalFormatting sqref="E799 E802">
    <cfRule type="expression" dxfId="2056" priority="42">
      <formula>$E$796=AIS_No</formula>
    </cfRule>
  </conditionalFormatting>
  <conditionalFormatting sqref="E802">
    <cfRule type="expression" dxfId="2055" priority="100">
      <formula>OR($E$248=AIS_No_SR,$E$248=AIS_PS)</formula>
    </cfRule>
    <cfRule type="expression" dxfId="2054" priority="101">
      <formula>$E$244=0</formula>
    </cfRule>
  </conditionalFormatting>
  <conditionalFormatting sqref="E823:E826">
    <cfRule type="expression" dxfId="2053" priority="17">
      <formula>$I$822&lt;&gt;""</formula>
    </cfRule>
  </conditionalFormatting>
  <conditionalFormatting sqref="E847:E849 E852 E855:E859 E862:E863">
    <cfRule type="expression" dxfId="2052" priority="16">
      <formula>$I$846&lt;&gt;""</formula>
    </cfRule>
  </conditionalFormatting>
  <conditionalFormatting sqref="E855">
    <cfRule type="expression" dxfId="2051" priority="90">
      <formula>OR($E$248=AIS_No_SR,$E$248=AIS_PS)</formula>
    </cfRule>
    <cfRule type="expression" dxfId="2050" priority="91">
      <formula>$E$244=0</formula>
    </cfRule>
  </conditionalFormatting>
  <conditionalFormatting sqref="E862">
    <cfRule type="expression" dxfId="2049" priority="88">
      <formula>OR($E$248=AIS_No_SR,$E$248=AIS_PS)</formula>
    </cfRule>
    <cfRule type="expression" dxfId="2048" priority="89">
      <formula>$E$244=0</formula>
    </cfRule>
  </conditionalFormatting>
  <conditionalFormatting sqref="E884:E885">
    <cfRule type="expression" dxfId="2047" priority="8">
      <formula>$I$883&lt;&gt;""</formula>
    </cfRule>
  </conditionalFormatting>
  <conditionalFormatting sqref="E888">
    <cfRule type="expression" dxfId="2046" priority="86">
      <formula>OR($E$248=AIS_No_SR,$E$248=AIS_PS)</formula>
    </cfRule>
    <cfRule type="expression" dxfId="2045" priority="87">
      <formula>$E$244=0</formula>
    </cfRule>
  </conditionalFormatting>
  <conditionalFormatting sqref="E919">
    <cfRule type="expression" dxfId="2044" priority="82">
      <formula>OR($E$248=AIS_No_SR,$E$248=AIS_PS)</formula>
    </cfRule>
    <cfRule type="expression" dxfId="2043" priority="83">
      <formula>$E$244=0</formula>
    </cfRule>
  </conditionalFormatting>
  <conditionalFormatting sqref="E968">
    <cfRule type="expression" dxfId="2042" priority="41">
      <formula>$E$964=0</formula>
    </cfRule>
  </conditionalFormatting>
  <conditionalFormatting sqref="E970:E973 D976:H981">
    <cfRule type="expression" dxfId="2041" priority="525">
      <formula>$E$964=0</formula>
    </cfRule>
  </conditionalFormatting>
  <conditionalFormatting sqref="E1014:E1016 E1019 E1022">
    <cfRule type="expression" dxfId="2040" priority="15">
      <formula>$F$1011&lt;&gt;""</formula>
    </cfRule>
  </conditionalFormatting>
  <conditionalFormatting sqref="E1045:E1046">
    <cfRule type="expression" dxfId="2039" priority="13">
      <formula>$F$1042&lt;&gt;""</formula>
    </cfRule>
  </conditionalFormatting>
  <conditionalFormatting sqref="E1067 E1070:E1071 E1074">
    <cfRule type="expression" dxfId="2038" priority="6">
      <formula>$F$1066&lt;&gt;""</formula>
    </cfRule>
  </conditionalFormatting>
  <conditionalFormatting sqref="E1067">
    <cfRule type="expression" dxfId="2037" priority="210">
      <formula>$E$1070=AIS_No_SR</formula>
    </cfRule>
  </conditionalFormatting>
  <conditionalFormatting sqref="E1071:E1072 E1075 E1078 E1185">
    <cfRule type="expression" dxfId="2036" priority="524">
      <formula>$E$1070=AIS_No_SR</formula>
    </cfRule>
  </conditionalFormatting>
  <conditionalFormatting sqref="E1077">
    <cfRule type="expression" dxfId="2035" priority="77">
      <formula>$E$244=0</formula>
    </cfRule>
    <cfRule type="expression" dxfId="2034" priority="76">
      <formula>OR($E$248=AIS_No_SR,$E$248=AIS_PS)</formula>
    </cfRule>
  </conditionalFormatting>
  <conditionalFormatting sqref="E1098 E1101:E1102 E1105:E1106">
    <cfRule type="expression" dxfId="2033" priority="5">
      <formula>$F$1097&lt;&gt;""</formula>
    </cfRule>
  </conditionalFormatting>
  <conditionalFormatting sqref="E1098">
    <cfRule type="expression" dxfId="2032" priority="208">
      <formula>$E$1070=AIS_No_SR</formula>
    </cfRule>
  </conditionalFormatting>
  <conditionalFormatting sqref="E1108:E1111">
    <cfRule type="expression" dxfId="2031" priority="504">
      <formula>$I$1101&lt;&gt;""</formula>
    </cfRule>
  </conditionalFormatting>
  <conditionalFormatting sqref="E1132:E1135 D1138:H1143">
    <cfRule type="expression" dxfId="2030" priority="521">
      <formula>$E$1122=0</formula>
    </cfRule>
  </conditionalFormatting>
  <conditionalFormatting sqref="E1153:E1154">
    <cfRule type="expression" dxfId="2029" priority="3">
      <formula>$F$1150&lt;&gt;""</formula>
    </cfRule>
  </conditionalFormatting>
  <conditionalFormatting sqref="E1155">
    <cfRule type="expression" dxfId="2028" priority="204">
      <formula>$E$1070=AIS_No_SR</formula>
    </cfRule>
  </conditionalFormatting>
  <conditionalFormatting sqref="E1176 E1179:E1181 E1184">
    <cfRule type="expression" dxfId="2027" priority="2">
      <formula>$AT$1174=AD_no</formula>
    </cfRule>
  </conditionalFormatting>
  <conditionalFormatting sqref="E1176">
    <cfRule type="expression" dxfId="2026" priority="198">
      <formula>$E$1070=AIS_No_SR</formula>
    </cfRule>
  </conditionalFormatting>
  <conditionalFormatting sqref="E1181:E1182">
    <cfRule type="expression" dxfId="2025" priority="196">
      <formula>$E$1070=AIS_No_SR</formula>
    </cfRule>
  </conditionalFormatting>
  <conditionalFormatting sqref="E1187">
    <cfRule type="expression" dxfId="2024" priority="74">
      <formula>OR($E$248=AIS_No_SR,$E$248=AIS_PS)</formula>
    </cfRule>
    <cfRule type="expression" dxfId="2023" priority="75">
      <formula>$E$244=0</formula>
    </cfRule>
  </conditionalFormatting>
  <conditionalFormatting sqref="E1214">
    <cfRule type="expression" dxfId="2022" priority="193">
      <formula>$E$1215=AIS_No_SR</formula>
    </cfRule>
    <cfRule type="expression" dxfId="2021" priority="192">
      <formula>$G$1217&lt;&gt;0</formula>
    </cfRule>
    <cfRule type="expression" dxfId="2020" priority="191">
      <formula>#REF!=AIS_No_SR</formula>
    </cfRule>
    <cfRule type="expression" dxfId="2019" priority="194">
      <formula>$E$1215=AIS_PS</formula>
    </cfRule>
  </conditionalFormatting>
  <conditionalFormatting sqref="E1214:E1215">
    <cfRule type="expression" dxfId="2018" priority="195">
      <formula>$E$1210=0</formula>
    </cfRule>
  </conditionalFormatting>
  <conditionalFormatting sqref="E1217 E1220:E1222 E1225">
    <cfRule type="expression" dxfId="2017" priority="22">
      <formula>$G$1214=3</formula>
    </cfRule>
  </conditionalFormatting>
  <conditionalFormatting sqref="E1217">
    <cfRule type="expression" dxfId="2016" priority="186">
      <formula>$G$1217&lt;&gt;0</formula>
    </cfRule>
    <cfRule type="expression" dxfId="2015" priority="189">
      <formula>$E$1210=0</formula>
    </cfRule>
    <cfRule type="expression" dxfId="2014" priority="188">
      <formula>$E$1215=AIS_PS</formula>
    </cfRule>
    <cfRule type="expression" dxfId="2013" priority="187">
      <formula>$E$1215=AIS_No_SR</formula>
    </cfRule>
    <cfRule type="expression" dxfId="2012" priority="185">
      <formula>#REF!=AIS_No_SR</formula>
    </cfRule>
  </conditionalFormatting>
  <conditionalFormatting sqref="E1220:E1222 E1225">
    <cfRule type="expression" dxfId="2011" priority="1">
      <formula>$F$1217&lt;&gt;""</formula>
    </cfRule>
  </conditionalFormatting>
  <conditionalFormatting sqref="E1222">
    <cfRule type="expression" dxfId="2010" priority="182">
      <formula>$E$1070=AIS_No_SR</formula>
    </cfRule>
  </conditionalFormatting>
  <conditionalFormatting sqref="E1225">
    <cfRule type="expression" dxfId="2009" priority="181">
      <formula>$E$1210=0</formula>
    </cfRule>
    <cfRule type="expression" dxfId="2008" priority="180">
      <formula>$E$1215=AIS_PS</formula>
    </cfRule>
    <cfRule type="expression" dxfId="2007" priority="179">
      <formula>$E$1215=AIS_No_SR</formula>
    </cfRule>
    <cfRule type="expression" dxfId="2006" priority="178">
      <formula>$G$1217&lt;&gt;0</formula>
    </cfRule>
    <cfRule type="expression" dxfId="2005" priority="177">
      <formula>#REF!=AIS_No_SR</formula>
    </cfRule>
  </conditionalFormatting>
  <conditionalFormatting sqref="E1228:E1229 E1231:E1234 D1237:H1242">
    <cfRule type="expression" dxfId="2004" priority="516">
      <formula>$E$1210=0</formula>
    </cfRule>
  </conditionalFormatting>
  <conditionalFormatting sqref="E1250">
    <cfRule type="expression" dxfId="2003" priority="32">
      <formula>$F$1250=0</formula>
    </cfRule>
  </conditionalFormatting>
  <conditionalFormatting sqref="E1253:E1260 E1262:E1265 D1268:H1273">
    <cfRule type="expression" dxfId="2002" priority="520">
      <formula>$E$1245=0</formula>
    </cfRule>
  </conditionalFormatting>
  <conditionalFormatting sqref="E1281">
    <cfRule type="expression" dxfId="2001" priority="31">
      <formula>$F$1281=0</formula>
    </cfRule>
  </conditionalFormatting>
  <conditionalFormatting sqref="E1302">
    <cfRule type="expression" dxfId="2000" priority="30">
      <formula>$F$1302=0</formula>
    </cfRule>
  </conditionalFormatting>
  <conditionalFormatting sqref="E1304:E1307 D1310:H1315">
    <cfRule type="expression" dxfId="1999" priority="517">
      <formula>$E$1297=0</formula>
    </cfRule>
  </conditionalFormatting>
  <conditionalFormatting sqref="E511:F519 E522 E525 E527:E530 D533:H538">
    <cfRule type="expression" dxfId="1998" priority="24">
      <formula>$E$507=0</formula>
    </cfRule>
  </conditionalFormatting>
  <conditionalFormatting sqref="F253:F256">
    <cfRule type="expression" dxfId="1997" priority="132">
      <formula>$E$244=0</formula>
    </cfRule>
    <cfRule type="expression" dxfId="1996" priority="131">
      <formula>OR($E$248=AIS_No_SR,$E$248=AIS_PS)</formula>
    </cfRule>
  </conditionalFormatting>
  <conditionalFormatting sqref="F618:F620">
    <cfRule type="expression" dxfId="1995" priority="36">
      <formula>$E$614=$K$612</formula>
    </cfRule>
  </conditionalFormatting>
  <conditionalFormatting sqref="F768">
    <cfRule type="expression" dxfId="1994" priority="534">
      <formula>$G$766=0</formula>
    </cfRule>
  </conditionalFormatting>
  <conditionalFormatting sqref="F1253:F1260">
    <cfRule type="expression" dxfId="1993" priority="519">
      <formula>$E$1245=0</formula>
    </cfRule>
  </conditionalFormatting>
  <conditionalFormatting sqref="G847:G849">
    <cfRule type="expression" dxfId="1992" priority="63">
      <formula>$Y847=AIS_Yes_SR</formula>
    </cfRule>
  </conditionalFormatting>
  <conditionalFormatting sqref="G884">
    <cfRule type="expression" dxfId="1991" priority="238">
      <formula>$Y884=AIS_Yes_SR</formula>
    </cfRule>
  </conditionalFormatting>
  <conditionalFormatting sqref="G912:G913">
    <cfRule type="expression" dxfId="1990" priority="60">
      <formula>$Y912=AIS_Yes_SR</formula>
    </cfRule>
  </conditionalFormatting>
  <conditionalFormatting sqref="G918:G924">
    <cfRule type="expression" dxfId="1989" priority="7252">
      <formula>#REF!&lt;&gt;"feil"</formula>
    </cfRule>
  </conditionalFormatting>
  <conditionalFormatting sqref="G1015">
    <cfRule type="expression" dxfId="1988" priority="222">
      <formula>$Y1015=AIS_Yes_SR</formula>
    </cfRule>
  </conditionalFormatting>
  <conditionalFormatting sqref="G1180">
    <cfRule type="expression" dxfId="1987" priority="197">
      <formula>$Y1180=AIS_Yes_SR</formula>
    </cfRule>
  </conditionalFormatting>
  <conditionalFormatting sqref="G1221">
    <cfRule type="expression" dxfId="1986" priority="184">
      <formula>$Y1221=AIS_Yes_SR</formula>
    </cfRule>
  </conditionalFormatting>
  <conditionalFormatting sqref="G824:H825">
    <cfRule type="expression" dxfId="1985" priority="232">
      <formula>$Y824=AIS_Yes_SR</formula>
    </cfRule>
  </conditionalFormatting>
  <conditionalFormatting sqref="H85">
    <cfRule type="expression" dxfId="1984" priority="356">
      <formula>$Y85=AIS_Yes_SR</formula>
    </cfRule>
  </conditionalFormatting>
  <conditionalFormatting sqref="H95">
    <cfRule type="expression" dxfId="1983" priority="352">
      <formula>$Y95=AIS_Yes_SR</formula>
    </cfRule>
  </conditionalFormatting>
  <conditionalFormatting sqref="H194:H195">
    <cfRule type="expression" dxfId="1982" priority="313">
      <formula>$Y194=AIS_Yes_SR</formula>
    </cfRule>
  </conditionalFormatting>
  <conditionalFormatting sqref="H219:H221">
    <cfRule type="expression" dxfId="1981" priority="306">
      <formula>$Y219=AIS_Yes_SR</formula>
    </cfRule>
  </conditionalFormatting>
  <conditionalFormatting sqref="H224">
    <cfRule type="expression" dxfId="1980" priority="310">
      <formula>$Y224=AIS_Yes_SR</formula>
    </cfRule>
  </conditionalFormatting>
  <conditionalFormatting sqref="H249:H250">
    <cfRule type="expression" dxfId="1979" priority="304">
      <formula>$Y249=AIS_Yes_SR</formula>
    </cfRule>
  </conditionalFormatting>
  <conditionalFormatting sqref="H300">
    <cfRule type="expression" dxfId="1978" priority="303">
      <formula>$Y300=AIS_Yes_SR</formula>
    </cfRule>
  </conditionalFormatting>
  <conditionalFormatting sqref="H303">
    <cfRule type="expression" dxfId="1977" priority="302">
      <formula>$Y303=AIS_Yes_SR</formula>
    </cfRule>
  </conditionalFormatting>
  <conditionalFormatting sqref="H346:H351">
    <cfRule type="expression" dxfId="1976" priority="263">
      <formula>$Y346=AIS_Yes_SR</formula>
    </cfRule>
  </conditionalFormatting>
  <conditionalFormatting sqref="H355">
    <cfRule type="expression" dxfId="1975" priority="294">
      <formula>$Y355=AIS_Yes_SR</formula>
    </cfRule>
  </conditionalFormatting>
  <conditionalFormatting sqref="H389:H390">
    <cfRule type="expression" dxfId="1974" priority="292">
      <formula>$Y389=AIS_Yes_SR</formula>
    </cfRule>
  </conditionalFormatting>
  <conditionalFormatting sqref="H411">
    <cfRule type="expression" dxfId="1973" priority="291">
      <formula>$Y411=AIS_Yes_SR</formula>
    </cfRule>
  </conditionalFormatting>
  <conditionalFormatting sqref="H453:H454">
    <cfRule type="expression" dxfId="1972" priority="287">
      <formula>$Y453=AIS_Yes_SR</formula>
    </cfRule>
  </conditionalFormatting>
  <conditionalFormatting sqref="H575:H576">
    <cfRule type="expression" dxfId="1971" priority="281">
      <formula>$Y575=AIS_Yes_SR</formula>
    </cfRule>
  </conditionalFormatting>
  <conditionalFormatting sqref="H849">
    <cfRule type="expression" dxfId="1970" priority="174">
      <formula>$Y849=AIS_Yes_SR</formula>
    </cfRule>
  </conditionalFormatting>
  <conditionalFormatting sqref="H911:H913">
    <cfRule type="expression" dxfId="1969" priority="59">
      <formula>$Y911=AIS_Yes_SR</formula>
    </cfRule>
  </conditionalFormatting>
  <conditionalFormatting sqref="H1411:H1412">
    <cfRule type="expression" dxfId="1968" priority="7244">
      <formula>#REF!=AIS_Yes_SR</formula>
    </cfRule>
  </conditionalFormatting>
  <dataValidations count="39">
    <dataValidation operator="lessThanOrEqual" allowBlank="1" showInputMessage="1" showErrorMessage="1" errorTitle="Invalid entry" error="Cannot award more credits than available" sqref="E116:E120 E227:E228 E253:E254 E618:E619 E627:E628 E1214:E1215 E1253 E1255:E1260 E1226 E64:E65 E1187:E1189 E1228 E474 E914 E917 E1324:E1337 E26:E27 E525 E739 D921:E924 E919:E920 F919:F924 E1077 F1187:F1192 E552 E554 E732:E736 E728 E101 E359:E360 E364:E367 E107:E113" xr:uid="{00000000-0002-0000-0300-00001E000000}"/>
    <dataValidation allowBlank="1" showErrorMessage="1" sqref="D981 D49 D78 D133 D158 D180 D211 D241 D269 D1315 D292 D316 D336 D381 D403 D424 D445 D467 D504 D605 D567 D641 D664 D686 D706 D756 D815 D937 D839 D961 D1004 D1035 D1119 D1143 D1090 D1242 D1273 D1294 D538 D1350 D786 D876 D901 D1059 D1167 D1205" xr:uid="{00000000-0002-0000-0300-000008000000}"/>
    <dataValidation allowBlank="1" showErrorMessage="1" promptTitle="Assessor comments/notes" sqref="D976 D44 D73 D128 D153 D175 D206 D236 D264 D1310 D287 D311 D331 D376 D398 D419 D440 D462 D499 D600 D562 D636 D659 D681 D701 D751 D810 D932 D834 D956 D999 D1030 D1114 D1138 D1085 D1237 D1268 D1289 D533 D1345 D781 D871 D896 D1054 D1162 D1200" xr:uid="{00000000-0002-0000-0300-000007000000}"/>
    <dataValidation allowBlank="1" showErrorMessage="1" promptTitle="Assessor comments/notes" prompt="Such information is not necessarily required for quality assurance purposes, but the provision of additional information may be of relevance to any third party interpreting the assessment result and/or evidence referenced for verification purposes." sqref="I1286:J1286" xr:uid="{00000000-0002-0000-0300-000003000000}"/>
    <dataValidation allowBlank="1" showInputMessage="1" showErrorMessage="1" promptTitle="Sorting" prompt="Sort from smallest to largest to get original sorting" sqref="A10" xr:uid="{00000000-0002-0000-0300-000002000000}"/>
    <dataValidation allowBlank="1" showInputMessage="1" showErrorMessage="1" promptTitle="Assessor comments/notes" prompt="Such information is not necessarily required for quality assurance purposes, but the provision of additional information may be of relevance to any third party interpreting the assessment result and/or evidence referenced for verification purposes." sqref="D337:H337 D425:H425 S424:AE424 H520" xr:uid="{00000000-0002-0000-0300-000001000000}"/>
    <dataValidation errorStyle="warning" showErrorMessage="1" errorTitle="BREEAM 2011" error="Please review, your data entry is invalid." sqref="I427:J431 I433:J446 D339:H339 D382:H382 D505:H505 I482:I519 I455:I480 F523:H525 D523:E523 I548:J567 I338:J347 J348 I448:I453 I349:J425 J448:J546 I521:I546" xr:uid="{00000000-0002-0000-0300-000000000000}"/>
    <dataValidation type="list" allowBlank="1" showInputMessage="1" showErrorMessage="1" sqref="H432" xr:uid="{532D00B0-76C6-4809-9732-1A8DE2D90D56}">
      <formula1>$AD$432:$AG$432</formula1>
    </dataValidation>
    <dataValidation type="list" allowBlank="1" showInputMessage="1" showErrorMessage="1" sqref="H352 H356" xr:uid="{A3048D76-F243-454F-A2BE-3EF96060770C}">
      <formula1>$AE$345:$AG$345</formula1>
    </dataValidation>
    <dataValidation type="list" allowBlank="1" showInputMessage="1" showErrorMessage="1" sqref="E220" xr:uid="{F67016F1-9EA3-4C43-A8BF-C9D8415B9C7D}">
      <formula1>$K$218:$K$221</formula1>
    </dataValidation>
    <dataValidation type="list" showErrorMessage="1" error="Invalid data entry, please retry." prompt="Please refer to the calculation procedures in the Additional Information section of the Wat01 assessment issue (in the BREEAM 2011 New Construction Scheme Document) for further detail about the Wat01 calculation options." sqref="E614" xr:uid="{00000000-0002-0000-0300-000015000000}">
      <formula1>$K$610:$K$612</formula1>
    </dataValidation>
    <dataValidation type="list" allowBlank="1" showInputMessage="1" showErrorMessage="1" sqref="E948" xr:uid="{1E047400-1CC2-466D-B70D-60821B37A178}">
      <formula1>$K$946:$K$948</formula1>
    </dataValidation>
    <dataValidation type="list" allowBlank="1" showInputMessage="1" showErrorMessage="1" sqref="E991" xr:uid="{7668FDF0-8B8A-4381-A1EF-6B3F154ACF0B}">
      <formula1>$K$986:$K$988</formula1>
    </dataValidation>
    <dataValidation type="list" allowBlank="1" showInputMessage="1" showErrorMessage="1" sqref="E1019" xr:uid="{790F1C8B-5A88-457C-AAB8-508308AA25AE}">
      <formula1>$K$1013:$K$1019</formula1>
    </dataValidation>
    <dataValidation type="list" allowBlank="1" showInputMessage="1" showErrorMessage="1" sqref="E1046" xr:uid="{13B1FAB3-EEDE-4B29-AE04-B5E4AB05E8A9}">
      <formula1>$K$1044:$K$1046</formula1>
    </dataValidation>
    <dataValidation type="list" allowBlank="1" showInputMessage="1" showErrorMessage="1" sqref="E1071" xr:uid="{BA9DB49B-E048-4478-9881-5CC78719D4C2}">
      <formula1>$K$1068:$K$1072</formula1>
    </dataValidation>
    <dataValidation type="list" allowBlank="1" showInputMessage="1" showErrorMessage="1" sqref="E1153" xr:uid="{D496EFCC-767E-4FB2-8F69-180984475012}">
      <formula1>$K$1151:$K$1153</formula1>
    </dataValidation>
    <dataValidation type="list" operator="lessThanOrEqual" allowBlank="1" showInputMessage="1" showErrorMessage="1" errorTitle="Invalid entry" error="Cannot award more credits than available" sqref="E1338" xr:uid="{00000000-0002-0000-0300-00000E000000}">
      <formula1>$K$1325:$K$1335</formula1>
    </dataValidation>
    <dataValidation type="list" operator="lessThanOrEqual" allowBlank="1" showInputMessage="1" showErrorMessage="1" errorTitle="Invalid entry" error="Cannot award more credits than available" sqref="E25" xr:uid="{A6009072-7B9E-4C7B-8F9E-09D3BE94034F}">
      <formula1>$K$23:$K$28</formula1>
    </dataValidation>
    <dataValidation type="list" operator="lessThanOrEqual" allowBlank="1" showErrorMessage="1" errorTitle="Invalid entry" error="Cannot award more credits than available" sqref="E575" xr:uid="{813FA433-E5DC-48DD-A3A2-40C289A24CF6}">
      <formula1>$K$568:$K$572</formula1>
    </dataValidation>
    <dataValidation type="list" operator="lessThanOrEqual" allowBlank="1" showErrorMessage="1" errorTitle="Invalid entry" error="Cannot award more credits than available" sqref="E576" xr:uid="{0AC545E8-A77B-4EF4-B701-D47FFB099572}">
      <formula1>$O$567:$O$578</formula1>
    </dataValidation>
    <dataValidation type="list" allowBlank="1" showInputMessage="1" showErrorMessage="1" sqref="E912" xr:uid="{60C9380B-FD02-46E4-844F-FDF4D8D0789E}">
      <formula1>$K$921:$K$925</formula1>
    </dataValidation>
    <dataValidation type="list" allowBlank="1" showInputMessage="1" showErrorMessage="1" sqref="E913" xr:uid="{E8EA7A3F-B551-43A1-8F0D-0B8CFE184699}">
      <formula1>$K$927:$K$931</formula1>
    </dataValidation>
    <dataValidation type="list" operator="lessThanOrEqual" allowBlank="1" showInputMessage="1" showErrorMessage="1" errorTitle="Invalid entry" error="Cannot award more credits than available" sqref="E1190:E1191" xr:uid="{244E20B4-8223-4857-BC85-0753051D9EF1}">
      <formula1>$K$1193:$K$1198</formula1>
    </dataValidation>
    <dataValidation type="list" operator="lessThanOrEqual" allowBlank="1" showInputMessage="1" showErrorMessage="1" errorTitle="Invalid entry" error="Cannot award more credits than available" sqref="E1192" xr:uid="{AA97D0B5-D351-4654-A2DA-6F4224600D34}">
      <formula1>$L$1193:$L$1198</formula1>
    </dataValidation>
    <dataValidation type="list" allowBlank="1" showInputMessage="1" showErrorMessage="1" sqref="E347" xr:uid="{DFD051D8-3FE9-4062-947C-E4E536A0AA48}">
      <formula1>$K$345:$K$352</formula1>
    </dataValidation>
    <dataValidation type="list" allowBlank="1" showInputMessage="1" showErrorMessage="1" sqref="E28:E29" xr:uid="{FFB2C2D2-CF2B-4945-8163-016C974BD723}">
      <formula1>$K$30:$K$36</formula1>
    </dataValidation>
    <dataValidation allowBlank="1" showInputMessage="1" showErrorMessage="1" prompt="Eksempel: Bygningsarb. steg 4 i juni 2022 - teknisk anlegg steg 3 i juni 2022." sqref="E32:E36" xr:uid="{8D7CF880-7FDF-4620-934A-41557A78CFF2}"/>
    <dataValidation type="list" operator="lessThanOrEqual" allowBlank="1" showInputMessage="1" showErrorMessage="1" errorTitle="Invalid entry" error="Cannot award more credits than available" sqref="E359" xr:uid="{C57BDADC-BA1E-47F5-91B4-982749522BBE}">
      <formula1>$K$358:$K$362</formula1>
    </dataValidation>
    <dataValidation type="list" allowBlank="1" showInputMessage="1" showErrorMessage="1" sqref="E361" xr:uid="{7C23B15B-4960-4085-8944-2B0AE14F595B}">
      <formula1>$L$358:$L$363</formula1>
    </dataValidation>
    <dataValidation type="list" allowBlank="1" showInputMessage="1" showErrorMessage="1" sqref="E362" xr:uid="{0328AFC6-9A94-4960-8928-793BD9DE1C1C}">
      <formula1>$M$358:$M$361</formula1>
    </dataValidation>
    <dataValidation type="list" allowBlank="1" showInputMessage="1" showErrorMessage="1" sqref="E363" xr:uid="{78F0CA6A-9E40-468A-9AC8-599787BBC0A5}">
      <formula1>$K$365:$K$367</formula1>
    </dataValidation>
    <dataValidation operator="lessThanOrEqual" allowBlank="1" showInputMessage="1" showErrorMessage="1" errorTitle="Invalid entry" error="Cannot award more credits than available" prompt="See Tra 01 Assessment criteria 3 and Methodology M5 Travel plan emissions evaluation" sqref="E551 E553" xr:uid="{49DBC8ED-97CC-4094-A5E3-D0E98FF20660}"/>
    <dataValidation type="list" operator="lessThanOrEqual" allowBlank="1" showInputMessage="1" showErrorMessage="1" errorTitle="Invalid entry" error="Cannot award more credits than available" sqref="E279" xr:uid="{00000000-0002-0000-0300-000010000000}">
      <formula1>$K$274:$K$278</formula1>
    </dataValidation>
    <dataValidation allowBlank="1" showInputMessage="1" showErrorMessage="1" prompt="BIM, excel, mm." sqref="E888" xr:uid="{92820BDD-6D70-48F0-B87D-08F17492D83D}"/>
    <dataValidation type="list" operator="lessThanOrEqual" allowBlank="1" showInputMessage="1" showErrorMessage="1" errorTitle="Invalid entry" error="Cannot award more credits than available" sqref="E740:E743" xr:uid="{EDE55548-61AA-476C-B53C-4E88EC95D3A0}">
      <formula1>$K$735:$K$742</formula1>
    </dataValidation>
    <dataValidation type="list" operator="lessThanOrEqual" allowBlank="1" showInputMessage="1" showErrorMessage="1" errorTitle="Invalid entry" error="Cannot award more credits than available" sqref="E729" xr:uid="{0DB81C40-12F6-49AA-9B00-1CA0326FC761}">
      <formula1>$K$720:$K$722</formula1>
    </dataValidation>
    <dataValidation type="list" operator="lessThanOrEqual" allowBlank="1" showInputMessage="1" showErrorMessage="1" errorTitle="Invalid entry" error="Cannot award more credits than available" sqref="F1186" xr:uid="{00000000-0002-0000-0300-000009000000}">
      <formula1>#REF!</formula1>
    </dataValidation>
    <dataValidation type="list" allowBlank="1" showInputMessage="1" showErrorMessage="1" sqref="E191" xr:uid="{2701CE8B-DBA8-4BF2-8571-B9B1D098197D}">
      <formula1>$K$189:$K$192</formula1>
    </dataValidation>
  </dataValidations>
  <pageMargins left="0.7" right="0.7" top="0.75" bottom="0.75" header="0.3" footer="0.3"/>
  <pageSetup paperSize="9" scale="59" fitToHeight="0" orientation="landscape" r:id="rId1"/>
  <ignoredErrors>
    <ignoredError sqref="E113 G848:G849 G823:G826 G912 E1042 E1097 G1180 G1221 E1249 E120"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9D97F7D3-5008-44A9-9E13-785F99F9636D}">
          <x14:formula1>
            <xm:f>Options!$B$3:$B$5</xm:f>
          </x14:formula1>
          <xm:sqref>E17:E22 E60:E61 E85 E56:E57 E91:E92 E95:E98 E140:E142 E165:E167 E883:E885 E218:E219 E198 E248:E250 E276 E224:E225 E323 E345:E346 E354:E355 E388:E390 E410:E411 E431:E432 E452:E454 E477 E480:E491 E522 E511:F519 E547:E548 E574 E648 E650 E671:E673 E693 E715 E718 E722:E724 E763 E766 E772:E773 E793 E796 E822:E826 E303 E88 E910:E911 E944:E945 E968 E1011 E1014:E1016 E1022 E1045 E1067 E1070 E1074 E1098 E1101:E1102 E1105:E1106 E1126 E1150 E1184 E1174:E1176 E1179:E1181 E1225 E1217 E916 E104 E145 E348:E351 E221 E299:E300 E846:E849 E852 E189:E190 E192:E195</xm:sqref>
        </x14:dataValidation>
        <x14:dataValidation type="list" allowBlank="1" showInputMessage="1" showErrorMessage="1" xr:uid="{198DB53A-26EF-4882-9D8B-5B9343BEB7EC}">
          <x14:formula1>
            <xm:f>Options!$B$3:$B$6</xm:f>
          </x14:formula1>
          <xm:sqref>E649 E651 E1154 E1220:E1222 E1250 E1281 E1302</xm:sqref>
        </x14:dataValidation>
        <x14:dataValidation type="list" allowBlank="1" showInputMessage="1" showErrorMessage="1" xr:uid="{1E5062F6-9881-4529-BF7D-1254324C9F82}">
          <x14:formula1>
            <xm:f>Options!$S$3:$S$106</xm:f>
          </x14:formula1>
          <xm:sqref>E620</xm:sqref>
        </x14:dataValidation>
        <x14:dataValidation type="list" allowBlank="1" showInputMessage="1" showErrorMessage="1" xr:uid="{BABF2DD0-B991-4EA3-8446-708E1B73C711}">
          <x14:formula1>
            <xm:f>Options!$Q$3:$Q$104</xm:f>
          </x14:formula1>
          <xm:sqref>E719 E725</xm:sqref>
        </x14:dataValidation>
        <x14:dataValidation type="list" allowBlank="1" showInputMessage="1" showErrorMessage="1" xr:uid="{A90D7047-8AD3-4DFE-90ED-12FF64CC31A3}">
          <x14:formula1>
            <xm:f>Options!$R$3:$R$34</xm:f>
          </x14:formula1>
          <xm:sqref>E767:E768 E799 E771</xm:sqref>
        </x14:dataValidation>
        <x14:dataValidation type="list" allowBlank="1" showInputMessage="1" showErrorMessage="1" xr:uid="{9BC8D3C7-B304-4FB4-82A6-420FC59DADE0}">
          <x14:formula1>
            <xm:f>Options!$Q$3:$Q$105</xm:f>
          </x14:formula1>
          <xm:sqref>E990</xm:sqref>
        </x14:dataValidation>
        <x14:dataValidation type="list" operator="lessThanOrEqual" allowBlank="1" showInputMessage="1" showErrorMessage="1" errorTitle="Invalid entry" error="Cannot award more credits than available" xr:uid="{68EA1214-8E8A-4043-8B0B-1963E4BE8AA7}">
          <x14:formula1>
            <xm:f>Options!$B$3:$B$6</xm:f>
          </x14:formula1>
          <xm:sqref>E579:E592</xm:sqref>
        </x14:dataValidation>
        <x14:dataValidation type="list" showErrorMessage="1" error="Invalid data entry, please retry." prompt="Please refer to the calculation procedures in the Additional Information section of the Wat01 assessment issue (in the BREEAM 2011 New Construction Scheme Document) for further detail about the Wat01 calculation options." xr:uid="{5BFA1EA6-F652-4D12-8FD2-955ED57B4F3C}">
          <x14:formula1>
            <xm:f>Options!$B$3:$B$5</xm:f>
          </x14:formula1>
          <xm:sqref>E615</xm:sqref>
        </x14:dataValidation>
        <x14:dataValidation type="list" operator="lessThanOrEqual" allowBlank="1" showInputMessage="1" showErrorMessage="1" errorTitle="Invalid entry" error="Cannot award more credits than available" prompt="Innen hvilke produktgrupper er bygningskomponenter ombrukt" xr:uid="{DE2658DC-A5F9-40AB-B8E0-3B8CC31576F3}">
          <x14:formula1>
            <xm:f>Options!$AB$2:$AB$41</xm:f>
          </x14:formula1>
          <xm:sqref>E855:E859 E862:E863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B832-835A-4EB2-B66B-28AC9FF488F5}">
  <dimension ref="A2:P335"/>
  <sheetViews>
    <sheetView showGridLines="0" zoomScaleNormal="100" workbookViewId="0">
      <selection activeCell="J18" sqref="J18"/>
    </sheetView>
  </sheetViews>
  <sheetFormatPr defaultRowHeight="15" x14ac:dyDescent="0.25"/>
  <cols>
    <col min="1" max="1" width="5.140625" customWidth="1"/>
    <col min="2" max="2" width="69.42578125" customWidth="1"/>
    <col min="5" max="5" width="25.140625" customWidth="1"/>
    <col min="6" max="6" width="8.7109375" customWidth="1"/>
    <col min="7" max="7" width="61.28515625" customWidth="1"/>
    <col min="8" max="8" width="28.140625" bestFit="1" customWidth="1"/>
    <col min="10" max="10" width="51.5703125" customWidth="1"/>
    <col min="11" max="11" width="5.42578125" hidden="1" customWidth="1"/>
    <col min="12" max="12" width="15" hidden="1" customWidth="1"/>
    <col min="13" max="13" width="14.28515625" hidden="1" customWidth="1"/>
    <col min="14" max="14" width="8.85546875" hidden="1" customWidth="1"/>
    <col min="15" max="16" width="9.140625" hidden="1" customWidth="1"/>
  </cols>
  <sheetData>
    <row r="2" spans="1:15" ht="41.25" customHeight="1" x14ac:dyDescent="0.25">
      <c r="B2" s="543" t="s">
        <v>1923</v>
      </c>
      <c r="C2" s="324"/>
      <c r="D2" s="324"/>
      <c r="E2" s="324"/>
      <c r="F2" s="324"/>
      <c r="G2" s="325"/>
      <c r="H2" s="474" t="str">
        <f>IF('Manuell filtrering og justering'!I2='Manuell filtrering og justering'!J2,"Bespoke","")</f>
        <v/>
      </c>
      <c r="K2" s="324"/>
      <c r="L2" s="325"/>
      <c r="M2" s="325"/>
      <c r="N2" s="325"/>
      <c r="O2" s="325"/>
    </row>
    <row r="4" spans="1:15" ht="18.75" hidden="1" x14ac:dyDescent="0.3">
      <c r="B4" s="417" t="s">
        <v>1725</v>
      </c>
      <c r="C4" s="417" t="s">
        <v>12</v>
      </c>
      <c r="D4" s="14"/>
    </row>
    <row r="5" spans="1:15" hidden="1" x14ac:dyDescent="0.25">
      <c r="A5" s="14"/>
      <c r="B5" s="14"/>
      <c r="C5" s="14"/>
      <c r="D5" s="14"/>
      <c r="E5" s="14"/>
      <c r="F5" s="14"/>
      <c r="G5" s="14"/>
      <c r="H5" s="14"/>
      <c r="I5" s="14"/>
      <c r="J5" s="14"/>
    </row>
    <row r="6" spans="1:15" ht="18.75" x14ac:dyDescent="0.3">
      <c r="A6" s="14"/>
      <c r="B6" s="396" t="s">
        <v>1220</v>
      </c>
      <c r="C6" s="5"/>
      <c r="D6" s="5"/>
      <c r="E6" s="5"/>
      <c r="F6" s="1070"/>
      <c r="G6" s="5"/>
      <c r="H6" s="5"/>
      <c r="I6" s="14"/>
      <c r="J6" s="14"/>
      <c r="K6" s="1070"/>
      <c r="L6" s="1070"/>
      <c r="M6" s="1070"/>
      <c r="N6" s="1070"/>
      <c r="O6" s="1070"/>
    </row>
    <row r="7" spans="1:15" x14ac:dyDescent="0.25">
      <c r="A7" s="14"/>
      <c r="B7" s="1"/>
      <c r="C7" s="1"/>
      <c r="D7" s="1"/>
      <c r="E7" s="1"/>
      <c r="F7" s="1"/>
      <c r="G7" s="1"/>
      <c r="H7" s="1"/>
      <c r="I7" s="14"/>
      <c r="J7" s="14"/>
      <c r="K7" s="1"/>
      <c r="L7" s="1"/>
      <c r="M7" s="1"/>
      <c r="N7" s="1"/>
      <c r="O7" s="1"/>
    </row>
    <row r="8" spans="1:15" ht="18.75" x14ac:dyDescent="0.3">
      <c r="A8" s="14"/>
      <c r="B8" s="1449"/>
      <c r="C8" s="1"/>
      <c r="D8" s="1"/>
      <c r="E8" s="1"/>
      <c r="F8" s="1450" t="s">
        <v>1129</v>
      </c>
      <c r="G8" s="1451" t="s">
        <v>1259</v>
      </c>
      <c r="H8" s="1452" t="s">
        <v>1746</v>
      </c>
      <c r="I8" s="14"/>
      <c r="J8" s="14"/>
      <c r="K8" s="1090" t="s">
        <v>1219</v>
      </c>
      <c r="L8" s="1089" t="s">
        <v>1218</v>
      </c>
      <c r="M8" s="1088" t="s">
        <v>1217</v>
      </c>
      <c r="N8" s="1087" t="s">
        <v>1216</v>
      </c>
      <c r="O8" s="1086" t="s">
        <v>1215</v>
      </c>
    </row>
    <row r="9" spans="1:15" ht="18.75" x14ac:dyDescent="0.3">
      <c r="A9" s="14"/>
      <c r="B9" s="1453" t="s">
        <v>87</v>
      </c>
      <c r="C9" s="1454"/>
      <c r="D9" s="1454"/>
      <c r="E9" s="1454"/>
      <c r="F9" s="1454"/>
      <c r="G9" s="1455"/>
      <c r="H9" s="1456"/>
      <c r="I9" s="14"/>
      <c r="J9" s="14"/>
      <c r="K9" s="954"/>
      <c r="L9" s="954"/>
      <c r="M9" s="1076"/>
      <c r="N9" s="954"/>
      <c r="O9" s="954"/>
    </row>
    <row r="10" spans="1:15" x14ac:dyDescent="0.25">
      <c r="A10" s="14"/>
      <c r="B10" s="1395" t="str">
        <f>'Assessment Issue Scoring'!D25</f>
        <v>Optional KPI: Contract type (This KPI is used to map contract type)</v>
      </c>
      <c r="C10" s="1396"/>
      <c r="D10" s="1457"/>
      <c r="E10" s="1458"/>
      <c r="F10" s="1394" t="s">
        <v>87</v>
      </c>
      <c r="G10" s="1459" t="str">
        <f>KPI_ny_01</f>
        <v>Please select</v>
      </c>
      <c r="H10" s="1394"/>
      <c r="I10" s="14"/>
      <c r="J10" s="14"/>
      <c r="K10" s="1073"/>
      <c r="L10" s="1073"/>
      <c r="M10" s="1073"/>
      <c r="N10" s="1074"/>
      <c r="O10" s="1073"/>
    </row>
    <row r="11" spans="1:15" x14ac:dyDescent="0.25">
      <c r="A11" s="14"/>
      <c r="B11" s="1395" t="s">
        <v>1983</v>
      </c>
      <c r="C11" s="1396"/>
      <c r="D11" s="1457"/>
      <c r="E11" s="1458"/>
      <c r="F11" s="1394" t="s">
        <v>87</v>
      </c>
      <c r="G11" s="1459">
        <f>KPI_ny_02</f>
        <v>0</v>
      </c>
      <c r="H11" s="1394" t="s">
        <v>1583</v>
      </c>
      <c r="I11" s="14"/>
      <c r="J11" s="14"/>
      <c r="K11" s="1073"/>
      <c r="L11" s="1073"/>
      <c r="M11" s="1073"/>
      <c r="N11" s="1074"/>
      <c r="O11" s="1073"/>
    </row>
    <row r="12" spans="1:15" x14ac:dyDescent="0.25">
      <c r="A12" s="14"/>
      <c r="B12" s="1395" t="s">
        <v>1984</v>
      </c>
      <c r="C12" s="1396"/>
      <c r="D12" s="1457"/>
      <c r="E12" s="1458"/>
      <c r="F12" s="1394" t="s">
        <v>87</v>
      </c>
      <c r="G12" s="1459">
        <f>KPI_ny_03</f>
        <v>0</v>
      </c>
      <c r="H12" s="1394" t="s">
        <v>1583</v>
      </c>
      <c r="I12" s="14"/>
      <c r="J12" s="14"/>
      <c r="K12" s="1073"/>
      <c r="L12" s="1073"/>
      <c r="M12" s="1073"/>
      <c r="N12" s="1074"/>
      <c r="O12" s="1073"/>
    </row>
    <row r="13" spans="1:15" x14ac:dyDescent="0.25">
      <c r="A13" s="14"/>
      <c r="B13" s="1395" t="s">
        <v>1584</v>
      </c>
      <c r="C13" s="1396"/>
      <c r="D13" s="1457"/>
      <c r="E13" s="1458"/>
      <c r="F13" s="1394" t="s">
        <v>87</v>
      </c>
      <c r="G13" s="1459" t="str">
        <f>KPI_ny_04</f>
        <v>Please select</v>
      </c>
      <c r="H13" s="1394"/>
      <c r="I13" s="14"/>
      <c r="J13" s="14"/>
      <c r="K13" s="1073"/>
      <c r="L13" s="1073"/>
      <c r="M13" s="1073"/>
      <c r="N13" s="1074"/>
      <c r="O13" s="1073"/>
    </row>
    <row r="14" spans="1:15" x14ac:dyDescent="0.25">
      <c r="A14" s="14"/>
      <c r="B14" s="1395" t="s">
        <v>1585</v>
      </c>
      <c r="C14" s="1396"/>
      <c r="D14" s="1457"/>
      <c r="E14" s="1458"/>
      <c r="F14" s="1394" t="s">
        <v>87</v>
      </c>
      <c r="G14" s="1459" t="str">
        <f>KPI_ny_05</f>
        <v>Please select</v>
      </c>
      <c r="H14" s="1394"/>
      <c r="I14" s="14"/>
      <c r="J14" s="14"/>
      <c r="K14" s="1073"/>
      <c r="L14" s="1073"/>
      <c r="M14" s="1073"/>
      <c r="N14" s="1074"/>
      <c r="O14" s="1073"/>
    </row>
    <row r="15" spans="1:15" x14ac:dyDescent="0.25">
      <c r="A15" s="14"/>
      <c r="B15" s="1395" t="s">
        <v>1707</v>
      </c>
      <c r="C15" s="1396"/>
      <c r="D15" s="1457"/>
      <c r="E15" s="1458"/>
      <c r="F15" s="1394" t="s">
        <v>87</v>
      </c>
      <c r="G15" s="1460">
        <f>KPI_ny_06</f>
        <v>0</v>
      </c>
      <c r="H15" s="1394"/>
      <c r="I15" s="14"/>
      <c r="J15" s="14"/>
      <c r="K15" s="1073"/>
      <c r="L15" s="1073"/>
      <c r="M15" s="1073"/>
      <c r="N15" s="1074"/>
      <c r="O15" s="1073"/>
    </row>
    <row r="16" spans="1:15" x14ac:dyDescent="0.25">
      <c r="A16" s="14"/>
      <c r="B16" s="1395" t="s">
        <v>1708</v>
      </c>
      <c r="C16" s="1396"/>
      <c r="D16" s="1457"/>
      <c r="E16" s="1458"/>
      <c r="F16" s="1394" t="s">
        <v>87</v>
      </c>
      <c r="G16" s="1460">
        <f>KPI_ny_08</f>
        <v>0</v>
      </c>
      <c r="H16" s="1394"/>
      <c r="I16" s="14"/>
      <c r="J16" s="14"/>
      <c r="K16" s="1073"/>
      <c r="L16" s="1073"/>
      <c r="M16" s="1073"/>
      <c r="N16" s="1074"/>
      <c r="O16" s="1073"/>
    </row>
    <row r="17" spans="1:15" x14ac:dyDescent="0.25">
      <c r="A17" s="14"/>
      <c r="B17" s="1395" t="s">
        <v>1709</v>
      </c>
      <c r="C17" s="1396"/>
      <c r="D17" s="1457"/>
      <c r="E17" s="1458"/>
      <c r="F17" s="1394" t="s">
        <v>87</v>
      </c>
      <c r="G17" s="1460">
        <f>KPI_ny_09</f>
        <v>0</v>
      </c>
      <c r="H17" s="1394"/>
      <c r="I17" s="14"/>
      <c r="J17" s="14"/>
      <c r="K17" s="1073"/>
      <c r="L17" s="1073"/>
      <c r="M17" s="1073"/>
      <c r="N17" s="1074"/>
      <c r="O17" s="1073"/>
    </row>
    <row r="18" spans="1:15" x14ac:dyDescent="0.25">
      <c r="A18" s="14"/>
      <c r="B18" s="1395" t="s">
        <v>1710</v>
      </c>
      <c r="C18" s="1396"/>
      <c r="D18" s="1457"/>
      <c r="E18" s="1458"/>
      <c r="F18" s="1394" t="s">
        <v>87</v>
      </c>
      <c r="G18" s="1460">
        <f>KPI_ny_10</f>
        <v>0</v>
      </c>
      <c r="H18" s="1394"/>
      <c r="I18" s="14"/>
      <c r="J18" s="14"/>
      <c r="K18" s="1073"/>
      <c r="L18" s="1073"/>
      <c r="M18" s="1073"/>
      <c r="N18" s="1074"/>
      <c r="O18" s="1073"/>
    </row>
    <row r="19" spans="1:15" x14ac:dyDescent="0.25">
      <c r="A19" s="14"/>
      <c r="B19" s="1395" t="s">
        <v>1711</v>
      </c>
      <c r="C19" s="1396"/>
      <c r="D19" s="1457"/>
      <c r="E19" s="1458"/>
      <c r="F19" s="1394" t="s">
        <v>87</v>
      </c>
      <c r="G19" s="1460">
        <f>KPI_ny_12</f>
        <v>0</v>
      </c>
      <c r="H19" s="1394"/>
      <c r="I19" s="14"/>
      <c r="J19" s="14"/>
      <c r="K19" s="1073"/>
      <c r="L19" s="1073"/>
      <c r="M19" s="1073"/>
      <c r="N19" s="1074"/>
      <c r="O19" s="1073"/>
    </row>
    <row r="20" spans="1:15" x14ac:dyDescent="0.25">
      <c r="A20" s="14"/>
      <c r="B20" s="14"/>
      <c r="C20" s="14"/>
      <c r="D20" s="14"/>
      <c r="E20" s="14"/>
      <c r="F20" s="14"/>
      <c r="G20" s="14"/>
      <c r="H20" s="14"/>
      <c r="I20" s="14"/>
      <c r="J20" s="14"/>
    </row>
    <row r="21" spans="1:15" ht="18.75" x14ac:dyDescent="0.3">
      <c r="A21" s="14"/>
      <c r="B21" s="1449"/>
      <c r="C21" s="1"/>
      <c r="D21" s="1"/>
      <c r="E21" s="1"/>
      <c r="F21" s="1450" t="s">
        <v>1129</v>
      </c>
      <c r="G21" s="1451" t="str">
        <f>$G$8</f>
        <v>KPI</v>
      </c>
      <c r="H21" s="1452" t="str">
        <f>$H$8</f>
        <v>Unit</v>
      </c>
      <c r="I21" s="14"/>
      <c r="J21" s="14"/>
      <c r="K21" s="1090" t="s">
        <v>1219</v>
      </c>
      <c r="L21" s="1089" t="s">
        <v>1218</v>
      </c>
      <c r="M21" s="1088" t="s">
        <v>1217</v>
      </c>
      <c r="N21" s="1087" t="s">
        <v>1216</v>
      </c>
      <c r="O21" s="1086" t="s">
        <v>1215</v>
      </c>
    </row>
    <row r="22" spans="1:15" ht="18.75" x14ac:dyDescent="0.3">
      <c r="A22" s="14"/>
      <c r="B22" s="1453" t="s">
        <v>88</v>
      </c>
      <c r="C22" s="1454"/>
      <c r="D22" s="1454"/>
      <c r="E22" s="1454"/>
      <c r="F22" s="1454"/>
      <c r="G22" s="1455"/>
      <c r="H22" s="1456"/>
      <c r="I22" s="14"/>
      <c r="J22" s="14"/>
      <c r="K22" s="954"/>
      <c r="L22" s="954"/>
      <c r="M22" s="1076"/>
      <c r="N22" s="954"/>
      <c r="O22" s="954"/>
    </row>
    <row r="23" spans="1:15" x14ac:dyDescent="0.25">
      <c r="A23" s="14"/>
      <c r="B23" s="1461" t="s">
        <v>1764</v>
      </c>
      <c r="C23" s="1462"/>
      <c r="D23" s="1463"/>
      <c r="E23" s="1464"/>
      <c r="F23" s="1394" t="s">
        <v>88</v>
      </c>
      <c r="G23" s="1459">
        <f>KPI_ny_13</f>
        <v>0</v>
      </c>
      <c r="H23" s="1394" t="s">
        <v>1149</v>
      </c>
      <c r="I23" s="14"/>
      <c r="J23" s="14"/>
      <c r="K23" s="1073"/>
      <c r="L23" s="1073"/>
      <c r="M23" s="1073"/>
      <c r="N23" s="1074"/>
      <c r="O23" s="1073"/>
    </row>
    <row r="24" spans="1:15" x14ac:dyDescent="0.25">
      <c r="A24" s="14"/>
      <c r="B24" s="1395" t="s">
        <v>1765</v>
      </c>
      <c r="C24" s="1396"/>
      <c r="D24" s="1457"/>
      <c r="E24" s="1458"/>
      <c r="F24" s="1394" t="s">
        <v>88</v>
      </c>
      <c r="G24" s="1459">
        <f>KPI_ny_14</f>
        <v>0</v>
      </c>
      <c r="H24" s="1394" t="s">
        <v>1591</v>
      </c>
      <c r="I24" s="14"/>
      <c r="J24" s="14"/>
      <c r="K24" s="1073"/>
      <c r="L24" s="1073"/>
      <c r="M24" s="1073"/>
      <c r="N24" s="1074"/>
      <c r="O24" s="1073"/>
    </row>
    <row r="25" spans="1:15" x14ac:dyDescent="0.25">
      <c r="A25" s="14"/>
      <c r="B25" s="14"/>
      <c r="C25" s="14"/>
      <c r="D25" s="14"/>
      <c r="E25" s="14"/>
      <c r="F25" s="14"/>
      <c r="G25" s="14"/>
      <c r="H25" s="14"/>
      <c r="I25" s="14"/>
      <c r="J25" s="14"/>
    </row>
    <row r="26" spans="1:15" ht="18.75" x14ac:dyDescent="0.3">
      <c r="A26" s="14"/>
      <c r="B26" s="1449"/>
      <c r="C26" s="1"/>
      <c r="D26" s="1"/>
      <c r="E26" s="1"/>
      <c r="F26" s="1450" t="s">
        <v>1129</v>
      </c>
      <c r="G26" s="1451" t="str">
        <f>$G$8</f>
        <v>KPI</v>
      </c>
      <c r="H26" s="1452" t="str">
        <f>$H$8</f>
        <v>Unit</v>
      </c>
      <c r="I26" s="14"/>
      <c r="J26" s="14"/>
      <c r="K26" s="1090" t="s">
        <v>1219</v>
      </c>
      <c r="L26" s="1089" t="s">
        <v>1218</v>
      </c>
      <c r="M26" s="1088" t="s">
        <v>1217</v>
      </c>
      <c r="N26" s="1087" t="s">
        <v>1216</v>
      </c>
      <c r="O26" s="1086" t="s">
        <v>1215</v>
      </c>
    </row>
    <row r="27" spans="1:15" ht="18.75" x14ac:dyDescent="0.3">
      <c r="A27" s="14"/>
      <c r="B27" s="1453" t="s">
        <v>89</v>
      </c>
      <c r="C27" s="1454"/>
      <c r="D27" s="1454"/>
      <c r="E27" s="1454"/>
      <c r="F27" s="1454"/>
      <c r="G27" s="1455"/>
      <c r="H27" s="1456"/>
      <c r="I27" s="14"/>
      <c r="J27" s="14"/>
      <c r="K27" s="954"/>
      <c r="L27" s="954"/>
      <c r="M27" s="1076"/>
      <c r="N27" s="954"/>
      <c r="O27" s="954"/>
    </row>
    <row r="28" spans="1:15" x14ac:dyDescent="0.25">
      <c r="A28" s="14"/>
      <c r="B28" s="1395" t="s">
        <v>1842</v>
      </c>
      <c r="C28" s="1396"/>
      <c r="D28" s="1457"/>
      <c r="E28" s="1458"/>
      <c r="F28" s="1394" t="s">
        <v>89</v>
      </c>
      <c r="G28" s="1459" t="str">
        <f>KPI_ny_15</f>
        <v>Please select</v>
      </c>
      <c r="H28" s="1394"/>
      <c r="I28" s="14"/>
      <c r="J28" s="14"/>
      <c r="K28" s="1073"/>
      <c r="L28" s="1073"/>
      <c r="M28" s="1073"/>
      <c r="N28" s="1074"/>
      <c r="O28" s="1073"/>
    </row>
    <row r="29" spans="1:15" x14ac:dyDescent="0.25">
      <c r="A29" s="14"/>
      <c r="B29" s="1395" t="s">
        <v>1712</v>
      </c>
      <c r="C29" s="1396"/>
      <c r="D29" s="1457"/>
      <c r="E29" s="1458"/>
      <c r="F29" s="1394" t="s">
        <v>89</v>
      </c>
      <c r="G29" s="1459">
        <f>KPI_ny_16</f>
        <v>0</v>
      </c>
      <c r="H29" s="1394" t="s">
        <v>1191</v>
      </c>
      <c r="I29" s="14"/>
      <c r="J29" s="14"/>
      <c r="K29" s="1073"/>
      <c r="L29" s="1073"/>
      <c r="M29" s="1073"/>
      <c r="N29" s="1074"/>
      <c r="O29" s="1073"/>
    </row>
    <row r="30" spans="1:15" x14ac:dyDescent="0.25">
      <c r="A30" s="14"/>
      <c r="B30" s="1395" t="s">
        <v>1713</v>
      </c>
      <c r="C30" s="1396"/>
      <c r="D30" s="1457"/>
      <c r="E30" s="1458"/>
      <c r="F30" s="1394" t="s">
        <v>89</v>
      </c>
      <c r="G30" s="1459">
        <f>KPI_ny_17</f>
        <v>0</v>
      </c>
      <c r="H30" s="1394" t="s">
        <v>1181</v>
      </c>
      <c r="I30" s="14"/>
      <c r="J30" s="14"/>
      <c r="K30" s="1073"/>
      <c r="L30" s="1073"/>
      <c r="M30" s="1073"/>
      <c r="N30" s="1074"/>
      <c r="O30" s="1073"/>
    </row>
    <row r="31" spans="1:15" x14ac:dyDescent="0.25">
      <c r="A31" s="14"/>
      <c r="B31" s="1395" t="s">
        <v>1714</v>
      </c>
      <c r="C31" s="1396"/>
      <c r="D31" s="1457"/>
      <c r="E31" s="1458"/>
      <c r="F31" s="1394" t="s">
        <v>89</v>
      </c>
      <c r="G31" s="1459">
        <f>KPI_ny_18</f>
        <v>0</v>
      </c>
      <c r="H31" s="1394" t="s">
        <v>1191</v>
      </c>
      <c r="I31" s="14"/>
      <c r="J31" s="14"/>
      <c r="K31" s="1073"/>
      <c r="L31" s="1073"/>
      <c r="M31" s="1073"/>
      <c r="N31" s="1074"/>
      <c r="O31" s="1073"/>
    </row>
    <row r="32" spans="1:15" x14ac:dyDescent="0.25">
      <c r="A32" s="14"/>
      <c r="B32" s="1395" t="s">
        <v>1715</v>
      </c>
      <c r="C32" s="1396"/>
      <c r="D32" s="1457"/>
      <c r="E32" s="1458"/>
      <c r="F32" s="1394" t="s">
        <v>89</v>
      </c>
      <c r="G32" s="1459">
        <f>KPI_ny_19</f>
        <v>0</v>
      </c>
      <c r="H32" s="1394" t="s">
        <v>1181</v>
      </c>
      <c r="I32" s="14"/>
      <c r="J32" s="14"/>
      <c r="K32" s="1073"/>
      <c r="L32" s="1073"/>
      <c r="M32" s="1073"/>
      <c r="N32" s="1074"/>
      <c r="O32" s="1073"/>
    </row>
    <row r="33" spans="1:15" x14ac:dyDescent="0.25">
      <c r="A33" s="14"/>
      <c r="B33" s="1395" t="s">
        <v>1716</v>
      </c>
      <c r="C33" s="1396"/>
      <c r="D33" s="1457"/>
      <c r="E33" s="1458"/>
      <c r="F33" s="1394" t="s">
        <v>89</v>
      </c>
      <c r="G33" s="1459">
        <f>KPI_ny_20</f>
        <v>0</v>
      </c>
      <c r="H33" s="1394" t="s">
        <v>1167</v>
      </c>
      <c r="I33" s="14"/>
      <c r="J33" s="14"/>
      <c r="K33" s="1073"/>
      <c r="L33" s="1073"/>
      <c r="M33" s="1073"/>
      <c r="N33" s="1074"/>
      <c r="O33" s="1073"/>
    </row>
    <row r="34" spans="1:15" x14ac:dyDescent="0.25">
      <c r="A34" s="14"/>
      <c r="B34" s="1395" t="s">
        <v>1717</v>
      </c>
      <c r="C34" s="1396"/>
      <c r="D34" s="1457"/>
      <c r="E34" s="1458"/>
      <c r="F34" s="1394" t="s">
        <v>89</v>
      </c>
      <c r="G34" s="1459">
        <f>KPI_ny_21</f>
        <v>0</v>
      </c>
      <c r="H34" s="1394" t="s">
        <v>1167</v>
      </c>
      <c r="I34" s="14"/>
      <c r="J34" s="14"/>
      <c r="K34" s="1073"/>
      <c r="L34" s="1073"/>
      <c r="M34" s="1073"/>
      <c r="N34" s="1074"/>
      <c r="O34" s="1073"/>
    </row>
    <row r="35" spans="1:15" x14ac:dyDescent="0.25">
      <c r="A35" s="14"/>
      <c r="B35" s="1395" t="s">
        <v>1718</v>
      </c>
      <c r="C35" s="1396"/>
      <c r="D35" s="1457"/>
      <c r="E35" s="1458"/>
      <c r="F35" s="1394" t="s">
        <v>89</v>
      </c>
      <c r="G35" s="1465">
        <f>KPI_ny_22</f>
        <v>0</v>
      </c>
      <c r="H35" s="1394" t="s">
        <v>1111</v>
      </c>
      <c r="I35" s="14"/>
      <c r="J35" s="14"/>
      <c r="K35" s="1073"/>
      <c r="L35" s="1073"/>
      <c r="M35" s="1073"/>
      <c r="N35" s="1074"/>
      <c r="O35" s="1073"/>
    </row>
    <row r="36" spans="1:15" x14ac:dyDescent="0.25">
      <c r="A36" s="14"/>
      <c r="B36" s="1395" t="s">
        <v>1747</v>
      </c>
      <c r="C36" s="1396"/>
      <c r="D36" s="1457"/>
      <c r="E36" s="1458"/>
      <c r="F36" s="1394" t="s">
        <v>89</v>
      </c>
      <c r="G36" s="1465">
        <f>KPI_ny_23</f>
        <v>0</v>
      </c>
      <c r="H36" s="1394" t="s">
        <v>1111</v>
      </c>
      <c r="I36" s="14"/>
      <c r="J36" s="14"/>
      <c r="K36" s="1073"/>
      <c r="L36" s="1073"/>
      <c r="M36" s="1073"/>
      <c r="N36" s="1074"/>
      <c r="O36" s="1073"/>
    </row>
    <row r="37" spans="1:15" x14ac:dyDescent="0.25">
      <c r="A37" s="14"/>
      <c r="B37" s="1395" t="s">
        <v>1719</v>
      </c>
      <c r="C37" s="1396"/>
      <c r="D37" s="1457"/>
      <c r="E37" s="1458"/>
      <c r="F37" s="1394" t="s">
        <v>89</v>
      </c>
      <c r="G37" s="1459">
        <f>KPI_ny_24</f>
        <v>0</v>
      </c>
      <c r="H37" s="1394" t="s">
        <v>1167</v>
      </c>
      <c r="I37" s="14"/>
      <c r="J37" s="14"/>
      <c r="K37" s="1073"/>
      <c r="L37" s="1073"/>
      <c r="M37" s="1073"/>
      <c r="N37" s="1074"/>
      <c r="O37" s="1073"/>
    </row>
    <row r="38" spans="1:15" x14ac:dyDescent="0.25">
      <c r="A38" s="14"/>
      <c r="B38" s="1395" t="s">
        <v>1720</v>
      </c>
      <c r="C38" s="1396"/>
      <c r="D38" s="1457"/>
      <c r="E38" s="1458"/>
      <c r="F38" s="1394" t="s">
        <v>89</v>
      </c>
      <c r="G38" s="1459">
        <f>KPI_ny_25</f>
        <v>0</v>
      </c>
      <c r="H38" s="1394" t="s">
        <v>1167</v>
      </c>
      <c r="I38" s="14"/>
      <c r="J38" s="14"/>
      <c r="K38" s="1073"/>
      <c r="L38" s="1073"/>
      <c r="M38" s="1073"/>
      <c r="N38" s="1074"/>
      <c r="O38" s="1073"/>
    </row>
    <row r="39" spans="1:15" x14ac:dyDescent="0.25">
      <c r="A39" s="14"/>
      <c r="B39" s="1395" t="s">
        <v>1721</v>
      </c>
      <c r="C39" s="1396"/>
      <c r="D39" s="1457"/>
      <c r="E39" s="1458"/>
      <c r="F39" s="1394" t="s">
        <v>89</v>
      </c>
      <c r="G39" s="1459">
        <f>KPI_ny_26</f>
        <v>0</v>
      </c>
      <c r="H39" s="1394" t="s">
        <v>1167</v>
      </c>
      <c r="I39" s="14"/>
      <c r="J39" s="14"/>
      <c r="K39" s="1073"/>
      <c r="L39" s="1073"/>
      <c r="M39" s="1073"/>
      <c r="N39" s="1074"/>
      <c r="O39" s="1073"/>
    </row>
    <row r="40" spans="1:15" x14ac:dyDescent="0.25">
      <c r="A40" s="14"/>
      <c r="B40" s="1395" t="s">
        <v>1722</v>
      </c>
      <c r="C40" s="1396"/>
      <c r="D40" s="1457"/>
      <c r="E40" s="1458"/>
      <c r="F40" s="1394" t="s">
        <v>89</v>
      </c>
      <c r="G40" s="1459">
        <f>KPI_ny_27</f>
        <v>0</v>
      </c>
      <c r="H40" s="1394" t="s">
        <v>1167</v>
      </c>
      <c r="I40" s="14"/>
      <c r="J40" s="14"/>
      <c r="K40" s="1073"/>
      <c r="L40" s="1073"/>
      <c r="M40" s="1073"/>
      <c r="N40" s="1074"/>
      <c r="O40" s="1073"/>
    </row>
    <row r="41" spans="1:15" x14ac:dyDescent="0.25">
      <c r="A41" s="14"/>
      <c r="B41" s="1395" t="s">
        <v>1723</v>
      </c>
      <c r="C41" s="1396"/>
      <c r="D41" s="1457"/>
      <c r="E41" s="1458"/>
      <c r="F41" s="1394" t="s">
        <v>89</v>
      </c>
      <c r="G41" s="1459">
        <f>KPI_ny_28</f>
        <v>0</v>
      </c>
      <c r="H41" s="1394" t="s">
        <v>1111</v>
      </c>
      <c r="I41" s="14"/>
      <c r="J41" s="14"/>
      <c r="K41" s="1073"/>
      <c r="L41" s="1073"/>
      <c r="M41" s="1073"/>
      <c r="N41" s="1074"/>
      <c r="O41" s="1073"/>
    </row>
    <row r="42" spans="1:15" x14ac:dyDescent="0.25">
      <c r="A42" s="14"/>
      <c r="B42" s="14"/>
      <c r="C42" s="14"/>
      <c r="D42" s="14"/>
      <c r="E42" s="14"/>
      <c r="F42" s="14"/>
      <c r="G42" s="14"/>
      <c r="H42" s="14"/>
      <c r="I42" s="14"/>
      <c r="J42" s="14"/>
    </row>
    <row r="43" spans="1:15" ht="18.75" x14ac:dyDescent="0.3">
      <c r="A43" s="14"/>
      <c r="B43" s="1449"/>
      <c r="C43" s="1"/>
      <c r="D43" s="1"/>
      <c r="E43" s="1"/>
      <c r="F43" s="1450" t="s">
        <v>1129</v>
      </c>
      <c r="G43" s="1451" t="str">
        <f>$G$8</f>
        <v>KPI</v>
      </c>
      <c r="H43" s="1452" t="str">
        <f>$H$8</f>
        <v>Unit</v>
      </c>
      <c r="I43" s="14"/>
      <c r="J43" s="14"/>
      <c r="K43" s="1090" t="s">
        <v>1219</v>
      </c>
      <c r="L43" s="1089" t="s">
        <v>1218</v>
      </c>
      <c r="M43" s="1088" t="s">
        <v>1217</v>
      </c>
      <c r="N43" s="1087" t="s">
        <v>1216</v>
      </c>
      <c r="O43" s="1086" t="s">
        <v>1215</v>
      </c>
    </row>
    <row r="44" spans="1:15" ht="18.75" x14ac:dyDescent="0.3">
      <c r="A44" s="14"/>
      <c r="B44" s="1453" t="s">
        <v>90</v>
      </c>
      <c r="C44" s="1454"/>
      <c r="D44" s="1454"/>
      <c r="E44" s="1454"/>
      <c r="F44" s="1454"/>
      <c r="G44" s="1455"/>
      <c r="H44" s="1456"/>
      <c r="I44" s="14"/>
      <c r="J44" s="14"/>
      <c r="K44" s="954"/>
      <c r="L44" s="954"/>
      <c r="M44" s="1076"/>
      <c r="N44" s="954"/>
      <c r="O44" s="954"/>
    </row>
    <row r="45" spans="1:15" x14ac:dyDescent="0.25">
      <c r="A45" s="14"/>
      <c r="B45" s="1395" t="s">
        <v>1592</v>
      </c>
      <c r="C45" s="1396"/>
      <c r="D45" s="1457"/>
      <c r="E45" s="1458"/>
      <c r="F45" s="1394" t="s">
        <v>90</v>
      </c>
      <c r="G45" s="1459" t="str">
        <f>KPI_ny_29</f>
        <v>Please select</v>
      </c>
      <c r="H45" s="1394"/>
      <c r="I45" s="14"/>
      <c r="J45" s="14"/>
      <c r="K45" s="1073"/>
      <c r="L45" s="1073"/>
      <c r="M45" s="1073"/>
      <c r="N45" s="1074"/>
      <c r="O45" s="1073"/>
    </row>
    <row r="46" spans="1:15" x14ac:dyDescent="0.25">
      <c r="A46" s="14"/>
      <c r="B46" s="14"/>
      <c r="C46" s="14"/>
      <c r="D46" s="14"/>
      <c r="E46" s="14"/>
      <c r="F46" s="14"/>
      <c r="G46" s="14"/>
      <c r="H46" s="14"/>
      <c r="I46" s="14"/>
      <c r="J46" s="14"/>
    </row>
    <row r="47" spans="1:15" ht="18.75" x14ac:dyDescent="0.3">
      <c r="A47" s="14"/>
      <c r="B47" s="1449"/>
      <c r="C47" s="1"/>
      <c r="D47" s="1"/>
      <c r="E47" s="1"/>
      <c r="F47" s="1450" t="s">
        <v>1129</v>
      </c>
      <c r="G47" s="1451" t="str">
        <f>$G$8</f>
        <v>KPI</v>
      </c>
      <c r="H47" s="1452" t="str">
        <f>$H$8</f>
        <v>Unit</v>
      </c>
      <c r="I47" s="14"/>
      <c r="J47" s="14"/>
      <c r="K47" s="1090" t="s">
        <v>1219</v>
      </c>
      <c r="L47" s="1089" t="s">
        <v>1218</v>
      </c>
      <c r="M47" s="1088" t="s">
        <v>1217</v>
      </c>
      <c r="N47" s="1087" t="s">
        <v>1216</v>
      </c>
      <c r="O47" s="1086" t="s">
        <v>1215</v>
      </c>
    </row>
    <row r="48" spans="1:15" ht="18.75" x14ac:dyDescent="0.3">
      <c r="A48" s="14"/>
      <c r="B48" s="1453" t="s">
        <v>112</v>
      </c>
      <c r="C48" s="1454"/>
      <c r="D48" s="1454"/>
      <c r="E48" s="1454"/>
      <c r="F48" s="1454"/>
      <c r="G48" s="1455"/>
      <c r="H48" s="1456"/>
      <c r="I48" s="14"/>
      <c r="J48" s="14"/>
      <c r="K48" s="954"/>
      <c r="L48" s="954"/>
      <c r="M48" s="1076"/>
      <c r="N48" s="954"/>
      <c r="O48" s="954"/>
    </row>
    <row r="49" spans="1:15" x14ac:dyDescent="0.25">
      <c r="A49" s="14"/>
      <c r="B49" s="1395" t="str">
        <f>'Assessment Issue Scoring'!D227</f>
        <v>Concentration levels of formaldehyde</v>
      </c>
      <c r="C49" s="1396"/>
      <c r="D49" s="1457"/>
      <c r="E49" s="1458"/>
      <c r="F49" s="1394" t="s">
        <v>112</v>
      </c>
      <c r="G49" s="1459">
        <f>KPI_ny_30</f>
        <v>0</v>
      </c>
      <c r="H49" s="1394" t="str">
        <f>'Assessment Issue Scoring'!F227</f>
        <v>µg/m3</v>
      </c>
      <c r="I49" s="14"/>
      <c r="J49" s="14"/>
      <c r="K49" s="1073"/>
      <c r="L49" s="1073"/>
      <c r="M49" s="1073"/>
      <c r="N49" s="1074"/>
      <c r="O49" s="1073"/>
    </row>
    <row r="50" spans="1:15" x14ac:dyDescent="0.25">
      <c r="A50" s="14"/>
      <c r="B50" s="1395" t="str">
        <f>'Assessment Issue Scoring'!D228</f>
        <v xml:space="preserve">Total volatile organic compound (TVOC) concentration </v>
      </c>
      <c r="C50" s="1396"/>
      <c r="D50" s="1457"/>
      <c r="E50" s="1458"/>
      <c r="F50" s="1394" t="s">
        <v>112</v>
      </c>
      <c r="G50" s="1459">
        <f>KPI_ny_31</f>
        <v>0</v>
      </c>
      <c r="H50" s="1394" t="str">
        <f>'Assessment Issue Scoring'!F228</f>
        <v>µg/m3</v>
      </c>
      <c r="I50" s="14"/>
      <c r="J50" s="14"/>
      <c r="K50" s="1073"/>
      <c r="L50" s="1073"/>
      <c r="M50" s="1073"/>
      <c r="N50" s="1074"/>
      <c r="O50" s="1073"/>
    </row>
    <row r="51" spans="1:15" x14ac:dyDescent="0.25">
      <c r="A51" s="14"/>
      <c r="B51" s="14"/>
      <c r="C51" s="14"/>
      <c r="D51" s="14"/>
      <c r="E51" s="14"/>
      <c r="F51" s="14"/>
      <c r="G51" s="14"/>
      <c r="H51" s="14"/>
      <c r="I51" s="14"/>
      <c r="J51" s="14"/>
    </row>
    <row r="52" spans="1:15" ht="18.75" x14ac:dyDescent="0.3">
      <c r="A52" s="14"/>
      <c r="B52" s="1449"/>
      <c r="C52" s="1"/>
      <c r="D52" s="1"/>
      <c r="E52" s="1"/>
      <c r="F52" s="1450" t="s">
        <v>1129</v>
      </c>
      <c r="G52" s="1451" t="str">
        <f>$G$8</f>
        <v>KPI</v>
      </c>
      <c r="H52" s="1452" t="str">
        <f>$H$8</f>
        <v>Unit</v>
      </c>
      <c r="I52" s="14"/>
      <c r="J52" s="14"/>
      <c r="K52" s="1090" t="s">
        <v>1219</v>
      </c>
      <c r="L52" s="1089" t="s">
        <v>1218</v>
      </c>
      <c r="M52" s="1088" t="s">
        <v>1217</v>
      </c>
      <c r="N52" s="1087" t="s">
        <v>1216</v>
      </c>
      <c r="O52" s="1086" t="s">
        <v>1215</v>
      </c>
    </row>
    <row r="53" spans="1:15" ht="18.75" x14ac:dyDescent="0.3">
      <c r="A53" s="14"/>
      <c r="B53" s="1453" t="s">
        <v>113</v>
      </c>
      <c r="C53" s="1454"/>
      <c r="D53" s="1454"/>
      <c r="E53" s="1454"/>
      <c r="F53" s="1454"/>
      <c r="G53" s="1455"/>
      <c r="H53" s="1456"/>
      <c r="I53" s="14"/>
      <c r="J53" s="14"/>
      <c r="K53" s="954"/>
      <c r="L53" s="954"/>
      <c r="M53" s="1076"/>
      <c r="N53" s="954"/>
      <c r="O53" s="954"/>
    </row>
    <row r="54" spans="1:15" x14ac:dyDescent="0.25">
      <c r="A54" s="14"/>
      <c r="B54" s="1395" t="str">
        <f>'Assessment Issue Scoring'!D253</f>
        <v>Predicted percentage dissatisfied (PPD)</v>
      </c>
      <c r="C54" s="1396"/>
      <c r="D54" s="1457"/>
      <c r="E54" s="1458"/>
      <c r="F54" s="1394" t="str">
        <f>B53</f>
        <v>Hea 03</v>
      </c>
      <c r="G54" s="1459">
        <f>KPI_ny_32</f>
        <v>0</v>
      </c>
      <c r="H54" s="1394" t="str">
        <f>'Assessment Issue Scoring'!F253</f>
        <v>%</v>
      </c>
      <c r="I54" s="14"/>
      <c r="J54" s="14"/>
      <c r="K54" s="1073"/>
      <c r="L54" s="1073"/>
      <c r="M54" s="1073"/>
      <c r="N54" s="1074"/>
      <c r="O54" s="1073"/>
    </row>
    <row r="55" spans="1:15" x14ac:dyDescent="0.25">
      <c r="A55" s="14"/>
      <c r="B55" s="1395" t="str">
        <f>'Assessment Issue Scoring'!D254</f>
        <v>Predicted mean vote (PMV)</v>
      </c>
      <c r="C55" s="1396"/>
      <c r="D55" s="1457"/>
      <c r="E55" s="1458"/>
      <c r="F55" s="1394" t="str">
        <f>F54</f>
        <v>Hea 03</v>
      </c>
      <c r="G55" s="1459">
        <f>KPI_ny_33</f>
        <v>0</v>
      </c>
      <c r="H55" s="1394" t="str">
        <f>'Assessment Issue Scoring'!F254</f>
        <v>PMV</v>
      </c>
      <c r="I55" s="14"/>
      <c r="J55" s="14"/>
      <c r="K55" s="1073"/>
      <c r="L55" s="1073"/>
      <c r="M55" s="1073"/>
      <c r="N55" s="1074"/>
      <c r="O55" s="1073"/>
    </row>
    <row r="56" spans="1:15" x14ac:dyDescent="0.25">
      <c r="A56" s="14"/>
      <c r="B56" s="1395" t="str">
        <f>'Assessment Issue Scoring'!D255</f>
        <v>Predicted percentage dissatisfied (PPD) - future climate change</v>
      </c>
      <c r="C56" s="1396"/>
      <c r="D56" s="1457"/>
      <c r="E56" s="1458"/>
      <c r="F56" s="1394" t="str">
        <f t="shared" ref="F56:F57" si="0">F55</f>
        <v>Hea 03</v>
      </c>
      <c r="G56" s="1459">
        <f>KPI_ny_34</f>
        <v>0</v>
      </c>
      <c r="H56" s="1394" t="str">
        <f>'Assessment Issue Scoring'!F255</f>
        <v>%</v>
      </c>
      <c r="I56" s="14"/>
      <c r="J56" s="14"/>
      <c r="K56" s="1073"/>
      <c r="L56" s="1073"/>
      <c r="M56" s="1073"/>
      <c r="N56" s="1074"/>
      <c r="O56" s="1073"/>
    </row>
    <row r="57" spans="1:15" x14ac:dyDescent="0.25">
      <c r="A57" s="14"/>
      <c r="B57" s="1395" t="str">
        <f>'Assessment Issue Scoring'!D256</f>
        <v>Predicted mean vote (PMV) - future climate change</v>
      </c>
      <c r="C57" s="1396"/>
      <c r="D57" s="1457"/>
      <c r="E57" s="1458"/>
      <c r="F57" s="1394" t="str">
        <f t="shared" si="0"/>
        <v>Hea 03</v>
      </c>
      <c r="G57" s="1459">
        <f>KPI_ny_35</f>
        <v>0</v>
      </c>
      <c r="H57" s="1394" t="str">
        <f>'Assessment Issue Scoring'!F256</f>
        <v>PMV</v>
      </c>
      <c r="I57" s="14"/>
      <c r="J57" s="14"/>
      <c r="K57" s="1073"/>
      <c r="L57" s="1073"/>
      <c r="M57" s="1073"/>
      <c r="N57" s="1074"/>
      <c r="O57" s="1073"/>
    </row>
    <row r="58" spans="1:15" x14ac:dyDescent="0.25">
      <c r="A58" s="14"/>
      <c r="B58" s="14"/>
      <c r="C58" s="14"/>
      <c r="D58" s="14"/>
      <c r="E58" s="14"/>
      <c r="F58" s="14"/>
      <c r="G58" s="14"/>
      <c r="H58" s="14"/>
      <c r="I58" s="14"/>
      <c r="J58" s="14"/>
    </row>
    <row r="59" spans="1:15" ht="18.75" x14ac:dyDescent="0.3">
      <c r="A59" s="14"/>
      <c r="B59" s="1449"/>
      <c r="C59" s="1"/>
      <c r="D59" s="1"/>
      <c r="E59" s="1"/>
      <c r="F59" s="1450" t="s">
        <v>1129</v>
      </c>
      <c r="G59" s="1451" t="str">
        <f>$G$8</f>
        <v>KPI</v>
      </c>
      <c r="H59" s="1452" t="str">
        <f>$H$8</f>
        <v>Unit</v>
      </c>
      <c r="I59" s="14"/>
      <c r="J59" s="14"/>
      <c r="K59" s="1090" t="s">
        <v>1219</v>
      </c>
      <c r="L59" s="1089" t="s">
        <v>1218</v>
      </c>
      <c r="M59" s="1088" t="s">
        <v>1217</v>
      </c>
      <c r="N59" s="1087" t="s">
        <v>1216</v>
      </c>
      <c r="O59" s="1086" t="s">
        <v>1215</v>
      </c>
    </row>
    <row r="60" spans="1:15" ht="18.75" x14ac:dyDescent="0.3">
      <c r="A60" s="14"/>
      <c r="B60" s="1453" t="s">
        <v>115</v>
      </c>
      <c r="C60" s="1454"/>
      <c r="D60" s="1454"/>
      <c r="E60" s="1454"/>
      <c r="F60" s="1454"/>
      <c r="G60" s="1455"/>
      <c r="H60" s="1456"/>
      <c r="I60" s="14"/>
      <c r="J60" s="14"/>
      <c r="K60" s="954"/>
      <c r="L60" s="954"/>
      <c r="M60" s="1076"/>
      <c r="N60" s="954"/>
      <c r="O60" s="954"/>
    </row>
    <row r="61" spans="1:15" x14ac:dyDescent="0.25">
      <c r="A61" s="14"/>
      <c r="B61" s="1395" t="str">
        <f>'Assessment Issue Scoring'!D279</f>
        <v>Noise class requirements, NS8175:2019 (category 1)</v>
      </c>
      <c r="C61" s="1396"/>
      <c r="D61" s="1457"/>
      <c r="E61" s="1458"/>
      <c r="F61" s="1394" t="str">
        <f>B60</f>
        <v>Hea 05</v>
      </c>
      <c r="G61" s="1459" t="str">
        <f>KPI_ny_36</f>
        <v>Please select</v>
      </c>
      <c r="H61" s="1394"/>
      <c r="I61" s="14"/>
      <c r="J61" s="14"/>
      <c r="K61" s="1073"/>
      <c r="L61" s="1073"/>
      <c r="M61" s="1073"/>
      <c r="N61" s="1074"/>
      <c r="O61" s="1073"/>
    </row>
    <row r="62" spans="1:15" x14ac:dyDescent="0.25">
      <c r="A62" s="14"/>
      <c r="B62" s="14"/>
      <c r="C62" s="14"/>
      <c r="D62" s="14"/>
      <c r="E62" s="14"/>
      <c r="F62" s="14"/>
      <c r="G62" s="14"/>
      <c r="H62" s="14"/>
      <c r="I62" s="14"/>
      <c r="J62" s="14"/>
    </row>
    <row r="63" spans="1:15" ht="18.75" x14ac:dyDescent="0.3">
      <c r="A63" s="14"/>
      <c r="B63" s="1449"/>
      <c r="C63" s="1"/>
      <c r="D63" s="1"/>
      <c r="E63" s="1"/>
      <c r="F63" s="1450" t="s">
        <v>1129</v>
      </c>
      <c r="G63" s="1451" t="str">
        <f>$G$8</f>
        <v>KPI</v>
      </c>
      <c r="H63" s="1452" t="str">
        <f>$H$8</f>
        <v>Unit</v>
      </c>
      <c r="I63" s="14"/>
      <c r="J63" s="14"/>
      <c r="K63" s="1090" t="s">
        <v>1219</v>
      </c>
      <c r="L63" s="1089" t="s">
        <v>1218</v>
      </c>
      <c r="M63" s="1088" t="s">
        <v>1217</v>
      </c>
      <c r="N63" s="1087" t="s">
        <v>1216</v>
      </c>
      <c r="O63" s="1086" t="s">
        <v>1215</v>
      </c>
    </row>
    <row r="64" spans="1:15" ht="18.75" x14ac:dyDescent="0.3">
      <c r="A64" s="14"/>
      <c r="B64" s="1453" t="s">
        <v>129</v>
      </c>
      <c r="C64" s="1454"/>
      <c r="D64" s="1454"/>
      <c r="E64" s="1454"/>
      <c r="F64" s="1454"/>
      <c r="G64" s="1455"/>
      <c r="H64" s="1456"/>
      <c r="I64" s="14"/>
      <c r="J64" s="14"/>
      <c r="K64" s="954"/>
      <c r="L64" s="954"/>
      <c r="M64" s="1076"/>
      <c r="N64" s="954"/>
      <c r="O64" s="954"/>
    </row>
    <row r="65" spans="1:15" x14ac:dyDescent="0.25">
      <c r="A65" s="14"/>
      <c r="B65" s="1395" t="str">
        <f>'Assessment Issue Scoring'!D358</f>
        <v>The reduction in NOK resulting from the chosen energy supply</v>
      </c>
      <c r="C65" s="1396"/>
      <c r="D65" s="1457"/>
      <c r="E65" s="1458"/>
      <c r="F65" s="1394" t="str">
        <f>B64</f>
        <v>Ene 01</v>
      </c>
      <c r="G65" s="1459">
        <f>'Assessment Issue Scoring'!E358</f>
        <v>0</v>
      </c>
      <c r="H65" s="1394" t="str">
        <f>'Assessment Issue Scoring'!F358</f>
        <v>mill NOK/year</v>
      </c>
      <c r="I65" s="14"/>
      <c r="J65" s="14"/>
      <c r="K65" s="1073"/>
      <c r="L65" s="1073"/>
      <c r="M65" s="1073"/>
      <c r="N65" s="1074"/>
      <c r="O65" s="1073"/>
    </row>
    <row r="66" spans="1:15" x14ac:dyDescent="0.25">
      <c r="A66" s="14"/>
      <c r="B66" s="1395" t="str">
        <f>'Assessment Issue Scoring'!D359</f>
        <v>Main energy source for baseload (valgt hovedenergiforsyningsløsning (grunnlast))</v>
      </c>
      <c r="C66" s="1396"/>
      <c r="D66" s="1457"/>
      <c r="E66" s="1458"/>
      <c r="F66" s="1394" t="str">
        <f t="shared" ref="F66:F74" si="1">F65</f>
        <v>Ene 01</v>
      </c>
      <c r="G66" s="1459">
        <f>'Assessment Issue Scoring'!E359</f>
        <v>0</v>
      </c>
      <c r="H66" s="1466"/>
      <c r="I66" s="14"/>
      <c r="J66" s="14"/>
      <c r="K66" s="1073"/>
      <c r="L66" s="1073"/>
      <c r="M66" s="1073"/>
      <c r="N66" s="1074"/>
      <c r="O66" s="1073"/>
    </row>
    <row r="67" spans="1:15" x14ac:dyDescent="0.25">
      <c r="A67" s="14"/>
      <c r="B67" s="1395" t="str">
        <f>'Assessment Issue Scoring'!D360</f>
        <v>Calculated net energy demand</v>
      </c>
      <c r="C67" s="1396"/>
      <c r="D67" s="1457"/>
      <c r="E67" s="1458"/>
      <c r="F67" s="1394" t="str">
        <f t="shared" si="1"/>
        <v>Ene 01</v>
      </c>
      <c r="G67" s="1459">
        <f>'Assessment Issue Scoring'!E360</f>
        <v>0</v>
      </c>
      <c r="H67" s="1394" t="str">
        <f>'Assessment Issue Scoring'!F360</f>
        <v/>
      </c>
      <c r="I67" s="14"/>
      <c r="J67" s="14"/>
      <c r="K67" s="1073"/>
      <c r="L67" s="1073"/>
      <c r="M67" s="1073"/>
      <c r="N67" s="1074"/>
      <c r="O67" s="1073"/>
    </row>
    <row r="68" spans="1:15" x14ac:dyDescent="0.25">
      <c r="A68" s="14"/>
      <c r="B68" s="1395" t="str">
        <f>'Assessment Issue Scoring'!D361</f>
        <v xml:space="preserve">Heating grade </v>
      </c>
      <c r="C68" s="1396"/>
      <c r="D68" s="1457"/>
      <c r="E68" s="1458"/>
      <c r="F68" s="1394" t="str">
        <f t="shared" si="1"/>
        <v>Ene 01</v>
      </c>
      <c r="G68" s="1459" t="str">
        <f>'Assessment Issue Scoring'!E361</f>
        <v>Please select</v>
      </c>
      <c r="H68" s="1394"/>
      <c r="I68" s="14"/>
      <c r="J68" s="14"/>
      <c r="K68" s="1073"/>
      <c r="L68" s="1073"/>
      <c r="M68" s="1073"/>
      <c r="N68" s="1074"/>
      <c r="O68" s="1073"/>
    </row>
    <row r="69" spans="1:15" x14ac:dyDescent="0.25">
      <c r="A69" s="14"/>
      <c r="B69" s="1395" t="str">
        <f>'Assessment Issue Scoring'!D362</f>
        <v xml:space="preserve">Energy grade </v>
      </c>
      <c r="C69" s="1396"/>
      <c r="D69" s="1457"/>
      <c r="E69" s="1458"/>
      <c r="F69" s="1394" t="str">
        <f t="shared" si="1"/>
        <v>Ene 01</v>
      </c>
      <c r="G69" s="1459" t="str">
        <f>'Assessment Issue Scoring'!E362</f>
        <v>Please select</v>
      </c>
      <c r="H69" s="1394"/>
      <c r="I69" s="14"/>
      <c r="J69" s="14"/>
      <c r="K69" s="1073"/>
      <c r="L69" s="1073"/>
      <c r="M69" s="1073"/>
      <c r="N69" s="1074"/>
      <c r="O69" s="1073"/>
    </row>
    <row r="70" spans="1:15" x14ac:dyDescent="0.25">
      <c r="A70" s="14"/>
      <c r="B70" s="1395" t="str">
        <f>'Assessment Issue Scoring'!D363</f>
        <v>Proportion of heat</v>
      </c>
      <c r="C70" s="1396"/>
      <c r="D70" s="1457"/>
      <c r="E70" s="1458"/>
      <c r="F70" s="1394" t="str">
        <f t="shared" si="1"/>
        <v>Ene 01</v>
      </c>
      <c r="G70" s="1459" t="str">
        <f>'Assessment Issue Scoring'!E363</f>
        <v>Please select</v>
      </c>
      <c r="H70" s="1394"/>
      <c r="I70" s="14"/>
      <c r="J70" s="14"/>
      <c r="K70" s="1073"/>
      <c r="L70" s="1073"/>
      <c r="M70" s="1073"/>
      <c r="N70" s="1074"/>
      <c r="O70" s="1073"/>
    </row>
    <row r="71" spans="1:15" x14ac:dyDescent="0.25">
      <c r="A71" s="14"/>
      <c r="B71" s="1395" t="str">
        <f>'Assessment Issue Scoring'!D364</f>
        <v>Greenhouse gas emissions - B6, delivered energy based on TEK 17 energy framework (reference)</v>
      </c>
      <c r="C71" s="1396"/>
      <c r="D71" s="1457"/>
      <c r="E71" s="1458"/>
      <c r="F71" s="1394" t="str">
        <f t="shared" si="1"/>
        <v>Ene 01</v>
      </c>
      <c r="G71" s="1459">
        <f>'Assessment Issue Scoring'!E364</f>
        <v>0</v>
      </c>
      <c r="H71" s="1394" t="str">
        <f>'Assessment Issue Scoring'!F364</f>
        <v>kg CO2 eq/yr/m2</v>
      </c>
      <c r="I71" s="14"/>
      <c r="J71" s="14"/>
      <c r="K71" s="1073"/>
      <c r="L71" s="1073"/>
      <c r="M71" s="1073"/>
      <c r="N71" s="1074"/>
      <c r="O71" s="1073"/>
    </row>
    <row r="72" spans="1:15" x14ac:dyDescent="0.25">
      <c r="A72" s="14"/>
      <c r="B72" s="1395" t="str">
        <f>'Assessment Issue Scoring'!D365</f>
        <v>Greenhouse gas emissions - B6, calculated delivered energy</v>
      </c>
      <c r="C72" s="1396"/>
      <c r="D72" s="1457"/>
      <c r="E72" s="1458"/>
      <c r="F72" s="1394" t="str">
        <f t="shared" si="1"/>
        <v>Ene 01</v>
      </c>
      <c r="G72" s="1459">
        <f>'Assessment Issue Scoring'!E365</f>
        <v>0</v>
      </c>
      <c r="H72" s="1394" t="str">
        <f>'Assessment Issue Scoring'!F365</f>
        <v>kg CO2 eq/yr/m2</v>
      </c>
      <c r="I72" s="14"/>
      <c r="J72" s="14"/>
      <c r="K72" s="1073"/>
      <c r="L72" s="1073"/>
      <c r="M72" s="1073"/>
      <c r="N72" s="1074"/>
      <c r="O72" s="1073"/>
    </row>
    <row r="73" spans="1:15" x14ac:dyDescent="0.25">
      <c r="A73" s="14"/>
      <c r="B73" s="1395" t="str">
        <f>'Assessment Issue Scoring'!D366</f>
        <v>Reduction: Greenhouse gas emissions B6</v>
      </c>
      <c r="C73" s="1396"/>
      <c r="D73" s="1457"/>
      <c r="E73" s="1458"/>
      <c r="F73" s="1394" t="str">
        <f t="shared" si="1"/>
        <v>Ene 01</v>
      </c>
      <c r="G73" s="1467">
        <f>'Assessment Issue Scoring'!E366</f>
        <v>0</v>
      </c>
      <c r="H73" s="1394" t="str">
        <f>'Assessment Issue Scoring'!F366</f>
        <v>%</v>
      </c>
      <c r="I73" s="14"/>
      <c r="J73" s="14"/>
      <c r="K73" s="1073"/>
      <c r="L73" s="1073"/>
      <c r="M73" s="1073"/>
      <c r="N73" s="1074"/>
      <c r="O73" s="1073"/>
    </row>
    <row r="74" spans="1:15" x14ac:dyDescent="0.25">
      <c r="A74" s="14"/>
      <c r="B74" s="1395" t="str">
        <f>'Assessment Issue Scoring'!D367</f>
        <v>Calculated reduction of the building's net energy demand compared with the energy requirements of TEK 17</v>
      </c>
      <c r="C74" s="1396"/>
      <c r="D74" s="1457"/>
      <c r="E74" s="1458"/>
      <c r="F74" s="1394" t="str">
        <f t="shared" si="1"/>
        <v>Ene 01</v>
      </c>
      <c r="G74" s="1459">
        <f>'Assessment Issue Scoring'!E367</f>
        <v>0</v>
      </c>
      <c r="H74" s="1394" t="str">
        <f>'Assessment Issue Scoring'!F367</f>
        <v/>
      </c>
      <c r="I74" s="14"/>
      <c r="J74" s="14"/>
      <c r="K74" s="1073"/>
      <c r="L74" s="1073"/>
      <c r="M74" s="1073"/>
      <c r="N74" s="1074"/>
      <c r="O74" s="1073"/>
    </row>
    <row r="75" spans="1:15" x14ac:dyDescent="0.25">
      <c r="A75" s="14"/>
      <c r="B75" s="1395" t="str">
        <f>'Assessment Issue Scoring'!D368</f>
        <v>Reduced net energy measured against nationally defined nZEB</v>
      </c>
      <c r="C75" s="1396"/>
      <c r="D75" s="1457"/>
      <c r="E75" s="1458"/>
      <c r="F75" s="1394" t="str">
        <f t="shared" ref="F75" si="2">F74</f>
        <v>Ene 01</v>
      </c>
      <c r="G75" s="1467">
        <f>'Assessment Issue Scoring'!E368</f>
        <v>0</v>
      </c>
      <c r="H75" s="1394" t="str">
        <f>'Assessment Issue Scoring'!F368</f>
        <v>%</v>
      </c>
      <c r="I75" s="14"/>
      <c r="J75" s="14"/>
      <c r="K75" s="1073"/>
      <c r="L75" s="1073"/>
      <c r="M75" s="1073"/>
      <c r="N75" s="1074"/>
      <c r="O75" s="1073"/>
    </row>
    <row r="76" spans="1:15" x14ac:dyDescent="0.25">
      <c r="A76" s="14"/>
      <c r="B76" s="14"/>
      <c r="C76" s="14"/>
      <c r="D76" s="14"/>
      <c r="E76" s="14"/>
      <c r="F76" s="14"/>
      <c r="G76" s="14"/>
      <c r="H76" s="14"/>
      <c r="I76" s="14"/>
      <c r="J76" s="14"/>
    </row>
    <row r="77" spans="1:15" ht="18.75" x14ac:dyDescent="0.3">
      <c r="A77" s="14"/>
      <c r="B77" s="1449"/>
      <c r="C77" s="1"/>
      <c r="D77" s="1"/>
      <c r="E77" s="1"/>
      <c r="F77" s="1450" t="s">
        <v>1129</v>
      </c>
      <c r="G77" s="1451" t="str">
        <f>$G$8</f>
        <v>KPI</v>
      </c>
      <c r="H77" s="1452" t="str">
        <f>$H$8</f>
        <v>Unit</v>
      </c>
      <c r="I77" s="14"/>
      <c r="J77" s="14"/>
      <c r="K77" s="1090" t="s">
        <v>1219</v>
      </c>
      <c r="L77" s="1089" t="s">
        <v>1218</v>
      </c>
      <c r="M77" s="1088" t="s">
        <v>1217</v>
      </c>
      <c r="N77" s="1087" t="s">
        <v>1216</v>
      </c>
      <c r="O77" s="1086" t="s">
        <v>1215</v>
      </c>
    </row>
    <row r="78" spans="1:15" ht="18.75" x14ac:dyDescent="0.3">
      <c r="A78" s="14"/>
      <c r="B78" s="1453" t="s">
        <v>136</v>
      </c>
      <c r="C78" s="1454"/>
      <c r="D78" s="1454"/>
      <c r="E78" s="1454"/>
      <c r="F78" s="1454"/>
      <c r="G78" s="1455"/>
      <c r="H78" s="1456"/>
      <c r="I78" s="14"/>
      <c r="J78" s="14"/>
      <c r="K78" s="954"/>
      <c r="L78" s="954"/>
      <c r="M78" s="1076"/>
      <c r="N78" s="954"/>
      <c r="O78" s="954"/>
    </row>
    <row r="79" spans="1:15" x14ac:dyDescent="0.25">
      <c r="A79" s="14"/>
      <c r="B79" s="1395" t="str">
        <f>'Assessment Issue Scoring'!D525</f>
        <v>Share of energy consumption is unregulated?</v>
      </c>
      <c r="C79" s="1396"/>
      <c r="D79" s="1457"/>
      <c r="E79" s="1458"/>
      <c r="F79" s="1394" t="str">
        <f>B78</f>
        <v>Ene 08</v>
      </c>
      <c r="G79" s="1459">
        <f>'Assessment Issue Scoring'!E525</f>
        <v>0</v>
      </c>
      <c r="H79" s="1394" t="str">
        <f>'Assessment Issue Scoring'!F525</f>
        <v>%</v>
      </c>
      <c r="I79" s="14"/>
      <c r="J79" s="14"/>
      <c r="K79" s="1073"/>
      <c r="L79" s="1073"/>
      <c r="M79" s="1073"/>
      <c r="N79" s="1074"/>
      <c r="O79" s="1073"/>
    </row>
    <row r="80" spans="1:15" x14ac:dyDescent="0.25">
      <c r="A80" s="14"/>
      <c r="B80" s="14"/>
      <c r="C80" s="14"/>
      <c r="D80" s="14"/>
      <c r="E80" s="14"/>
      <c r="F80" s="14"/>
      <c r="G80" s="14"/>
      <c r="H80" s="14"/>
      <c r="I80" s="14"/>
      <c r="J80" s="14"/>
    </row>
    <row r="81" spans="1:15" ht="18.75" x14ac:dyDescent="0.3">
      <c r="A81" s="14"/>
      <c r="B81" s="1449"/>
      <c r="C81" s="1"/>
      <c r="D81" s="1"/>
      <c r="E81" s="1"/>
      <c r="F81" s="1450" t="s">
        <v>1129</v>
      </c>
      <c r="G81" s="1451" t="str">
        <f>$G$8</f>
        <v>KPI</v>
      </c>
      <c r="H81" s="1452" t="str">
        <f>$H$8</f>
        <v>Unit</v>
      </c>
      <c r="I81" s="14"/>
      <c r="J81" s="14"/>
      <c r="K81" s="1090" t="s">
        <v>1219</v>
      </c>
      <c r="L81" s="1089" t="s">
        <v>1218</v>
      </c>
      <c r="M81" s="1088" t="s">
        <v>1217</v>
      </c>
      <c r="N81" s="1087" t="s">
        <v>1216</v>
      </c>
      <c r="O81" s="1086" t="s">
        <v>1215</v>
      </c>
    </row>
    <row r="82" spans="1:15" ht="18.75" x14ac:dyDescent="0.3">
      <c r="A82" s="14"/>
      <c r="B82" s="1453" t="s">
        <v>141</v>
      </c>
      <c r="C82" s="1454"/>
      <c r="D82" s="1454"/>
      <c r="E82" s="1454"/>
      <c r="F82" s="1454"/>
      <c r="G82" s="1455"/>
      <c r="H82" s="1456"/>
      <c r="I82" s="14"/>
      <c r="J82" s="14"/>
      <c r="K82" s="954"/>
      <c r="L82" s="954"/>
      <c r="M82" s="1076"/>
      <c r="N82" s="954"/>
      <c r="O82" s="954"/>
    </row>
    <row r="83" spans="1:15" x14ac:dyDescent="0.25">
      <c r="A83" s="14"/>
      <c r="B83" s="1395" t="str">
        <f>'Assessment Issue Scoring'!D551</f>
        <v>Greenhouse gas emissions - B8, operational transport in building - without measures in criterion 3</v>
      </c>
      <c r="C83" s="1396"/>
      <c r="D83" s="1457"/>
      <c r="E83" s="1458"/>
      <c r="F83" s="1394" t="str">
        <f>B82</f>
        <v>Tra 01</v>
      </c>
      <c r="G83" s="1459">
        <f>'Assessment Issue Scoring'!E551</f>
        <v>0</v>
      </c>
      <c r="H83" s="1394" t="str">
        <f>'Assessment Issue Scoring'!F551</f>
        <v>CO2 eq/yr/m2</v>
      </c>
      <c r="I83" s="14"/>
      <c r="J83" s="14"/>
      <c r="K83" s="1073"/>
      <c r="L83" s="1073"/>
      <c r="M83" s="1073"/>
      <c r="N83" s="1074"/>
      <c r="O83" s="1073"/>
    </row>
    <row r="84" spans="1:15" x14ac:dyDescent="0.25">
      <c r="A84" s="14"/>
      <c r="B84" s="1395" t="str">
        <f>'Assessment Issue Scoring'!D552</f>
        <v>Greenhouse gas emissions - B8, operational transport in building - including measures in criterion 3</v>
      </c>
      <c r="C84" s="1396"/>
      <c r="D84" s="1457"/>
      <c r="E84" s="1458"/>
      <c r="F84" s="1394" t="str">
        <f t="shared" ref="F84:F86" si="3">F83</f>
        <v>Tra 01</v>
      </c>
      <c r="G84" s="1459">
        <f>'Assessment Issue Scoring'!E552</f>
        <v>0</v>
      </c>
      <c r="H84" s="1394" t="str">
        <f>'Assessment Issue Scoring'!F552</f>
        <v>CO2 eq/yr/m2</v>
      </c>
      <c r="I84" s="14"/>
      <c r="J84" s="14"/>
      <c r="K84" s="1073"/>
      <c r="L84" s="1073"/>
      <c r="M84" s="1073"/>
      <c r="N84" s="1074"/>
      <c r="O84" s="1073"/>
    </row>
    <row r="85" spans="1:15" x14ac:dyDescent="0.25">
      <c r="A85" s="14"/>
      <c r="B85" s="1395" t="str">
        <f>'Assessment Issue Scoring'!D553</f>
        <v>Reduction: Greenhouse gas emissions B8</v>
      </c>
      <c r="C85" s="1396"/>
      <c r="D85" s="1457"/>
      <c r="E85" s="1458"/>
      <c r="F85" s="1394" t="str">
        <f t="shared" si="3"/>
        <v>Tra 01</v>
      </c>
      <c r="G85" s="1459">
        <f>'Assessment Issue Scoring'!E553</f>
        <v>0</v>
      </c>
      <c r="H85" s="1394" t="str">
        <f>'Assessment Issue Scoring'!F553</f>
        <v>%</v>
      </c>
      <c r="I85" s="14"/>
      <c r="J85" s="14"/>
      <c r="K85" s="1073"/>
      <c r="L85" s="1073"/>
      <c r="M85" s="1073"/>
      <c r="N85" s="1074"/>
      <c r="O85" s="1073"/>
    </row>
    <row r="86" spans="1:15" x14ac:dyDescent="0.25">
      <c r="A86" s="14"/>
      <c r="B86" s="1395" t="str">
        <f>'Assessment Issue Scoring'!D554</f>
        <v>Calculated Public Transport Accessibility Index (AI) score</v>
      </c>
      <c r="C86" s="1396"/>
      <c r="D86" s="1457"/>
      <c r="E86" s="1458"/>
      <c r="F86" s="1394" t="str">
        <f t="shared" si="3"/>
        <v>Tra 01</v>
      </c>
      <c r="G86" s="1459">
        <f>'Assessment Issue Scoring'!E554</f>
        <v>0</v>
      </c>
      <c r="H86" s="1394">
        <f>'Assessment Issue Scoring'!F554</f>
        <v>0</v>
      </c>
      <c r="I86" s="14"/>
      <c r="J86" s="14"/>
      <c r="K86" s="1073"/>
      <c r="L86" s="1073"/>
      <c r="M86" s="1073"/>
      <c r="N86" s="1074"/>
      <c r="O86" s="1073"/>
    </row>
    <row r="87" spans="1:15" x14ac:dyDescent="0.25">
      <c r="A87" s="14"/>
      <c r="B87" s="14"/>
      <c r="C87" s="14"/>
      <c r="D87" s="14"/>
      <c r="E87" s="14"/>
      <c r="F87" s="14"/>
      <c r="G87" s="14"/>
      <c r="H87" s="14"/>
      <c r="I87" s="14"/>
      <c r="J87" s="14"/>
    </row>
    <row r="88" spans="1:15" ht="18.75" x14ac:dyDescent="0.3">
      <c r="A88" s="14"/>
      <c r="B88" s="1449"/>
      <c r="C88" s="1"/>
      <c r="D88" s="1"/>
      <c r="E88" s="1"/>
      <c r="F88" s="1450" t="s">
        <v>1129</v>
      </c>
      <c r="G88" s="1451" t="str">
        <f>$G$8</f>
        <v>KPI</v>
      </c>
      <c r="H88" s="1452" t="str">
        <f>$H$8</f>
        <v>Unit</v>
      </c>
      <c r="I88" s="14"/>
      <c r="J88" s="14"/>
      <c r="K88" s="1090" t="s">
        <v>1219</v>
      </c>
      <c r="L88" s="1089" t="s">
        <v>1218</v>
      </c>
      <c r="M88" s="1088" t="s">
        <v>1217</v>
      </c>
      <c r="N88" s="1087" t="s">
        <v>1216</v>
      </c>
      <c r="O88" s="1086" t="s">
        <v>1215</v>
      </c>
    </row>
    <row r="89" spans="1:15" ht="18.75" x14ac:dyDescent="0.3">
      <c r="A89" s="14"/>
      <c r="B89" s="1453" t="s">
        <v>142</v>
      </c>
      <c r="C89" s="1454"/>
      <c r="D89" s="1454"/>
      <c r="E89" s="1454"/>
      <c r="F89" s="1454"/>
      <c r="G89" s="1455"/>
      <c r="H89" s="1456"/>
      <c r="I89" s="14"/>
      <c r="J89" s="14"/>
      <c r="K89" s="954"/>
      <c r="L89" s="954"/>
      <c r="M89" s="1076"/>
      <c r="N89" s="954"/>
      <c r="O89" s="954"/>
    </row>
    <row r="90" spans="1:15" x14ac:dyDescent="0.25">
      <c r="A90" s="14"/>
      <c r="B90" s="1395" t="str">
        <f>'Assessment Issue Scoring'!D579</f>
        <v>1a - Home office</v>
      </c>
      <c r="C90" s="1396"/>
      <c r="D90" s="1457"/>
      <c r="E90" s="1458"/>
      <c r="F90" s="1394" t="str">
        <f>B89</f>
        <v>Tra 02</v>
      </c>
      <c r="G90" s="1459">
        <f>'Assessment Issue Scoring'!E579</f>
        <v>0</v>
      </c>
      <c r="H90" s="1394"/>
      <c r="I90" s="14"/>
      <c r="J90" s="14"/>
      <c r="K90" s="1073"/>
      <c r="L90" s="1073"/>
      <c r="M90" s="1073"/>
      <c r="N90" s="1074"/>
      <c r="O90" s="1073"/>
    </row>
    <row r="91" spans="1:15" x14ac:dyDescent="0.25">
      <c r="A91" s="14"/>
      <c r="B91" s="1395" t="str">
        <f>'Assessment Issue Scoring'!D580</f>
        <v>1b - Local community office</v>
      </c>
      <c r="C91" s="1396"/>
      <c r="D91" s="1457"/>
      <c r="E91" s="1458"/>
      <c r="F91" s="1394" t="str">
        <f t="shared" ref="F91:F103" si="4">F90</f>
        <v>Tra 02</v>
      </c>
      <c r="G91" s="1459">
        <f>'Assessment Issue Scoring'!E580</f>
        <v>0</v>
      </c>
      <c r="H91" s="1394"/>
      <c r="I91" s="14"/>
      <c r="J91" s="14"/>
      <c r="K91" s="1073"/>
      <c r="L91" s="1073"/>
      <c r="M91" s="1073"/>
      <c r="N91" s="1074"/>
      <c r="O91" s="1073"/>
    </row>
    <row r="92" spans="1:15" x14ac:dyDescent="0.25">
      <c r="A92" s="14"/>
      <c r="B92" s="1395" t="str">
        <f>'Assessment Issue Scoring'!D581</f>
        <v>2 - Existing amenities</v>
      </c>
      <c r="C92" s="1396"/>
      <c r="D92" s="1457"/>
      <c r="E92" s="1458"/>
      <c r="F92" s="1394" t="str">
        <f t="shared" si="4"/>
        <v>Tra 02</v>
      </c>
      <c r="G92" s="1459">
        <f>'Assessment Issue Scoring'!E581</f>
        <v>0</v>
      </c>
      <c r="H92" s="1394"/>
      <c r="I92" s="14"/>
      <c r="J92" s="14"/>
      <c r="K92" s="1073"/>
      <c r="L92" s="1073"/>
      <c r="M92" s="1073"/>
      <c r="N92" s="1074"/>
      <c r="O92" s="1073"/>
    </row>
    <row r="93" spans="1:15" x14ac:dyDescent="0.25">
      <c r="A93" s="14"/>
      <c r="B93" s="1395" t="str">
        <f>'Assessment Issue Scoring'!D582</f>
        <v>3 - Enhanced amenities</v>
      </c>
      <c r="C93" s="1396"/>
      <c r="D93" s="1457"/>
      <c r="E93" s="1458"/>
      <c r="F93" s="1394" t="str">
        <f t="shared" si="4"/>
        <v>Tra 02</v>
      </c>
      <c r="G93" s="1459">
        <f>'Assessment Issue Scoring'!E582</f>
        <v>0</v>
      </c>
      <c r="H93" s="1394"/>
      <c r="I93" s="14"/>
      <c r="J93" s="14"/>
      <c r="K93" s="1073"/>
      <c r="L93" s="1073"/>
      <c r="M93" s="1073"/>
      <c r="N93" s="1074"/>
      <c r="O93" s="1073"/>
    </row>
    <row r="94" spans="1:15" x14ac:dyDescent="0.25">
      <c r="A94" s="14"/>
      <c r="B94" s="1395" t="str">
        <f>'Assessment Issue Scoring'!D583</f>
        <v>4 - Consult with the local authority (LA)</v>
      </c>
      <c r="C94" s="1396"/>
      <c r="D94" s="1457"/>
      <c r="E94" s="1458"/>
      <c r="F94" s="1394" t="str">
        <f t="shared" si="4"/>
        <v>Tra 02</v>
      </c>
      <c r="G94" s="1459">
        <f>'Assessment Issue Scoring'!E583</f>
        <v>0</v>
      </c>
      <c r="H94" s="1394"/>
      <c r="I94" s="14"/>
      <c r="J94" s="14"/>
      <c r="K94" s="1073"/>
      <c r="L94" s="1073"/>
      <c r="M94" s="1073"/>
      <c r="N94" s="1074"/>
      <c r="O94" s="1073"/>
    </row>
    <row r="95" spans="1:15" x14ac:dyDescent="0.25">
      <c r="A95" s="14"/>
      <c r="B95" s="1395" t="str">
        <f>'Assessment Issue Scoring'!D584</f>
        <v>5 - Cycle storage</v>
      </c>
      <c r="C95" s="1396"/>
      <c r="D95" s="1457"/>
      <c r="E95" s="1458"/>
      <c r="F95" s="1394" t="str">
        <f t="shared" si="4"/>
        <v>Tra 02</v>
      </c>
      <c r="G95" s="1459">
        <f>'Assessment Issue Scoring'!E584</f>
        <v>0</v>
      </c>
      <c r="H95" s="1394"/>
      <c r="I95" s="14"/>
      <c r="J95" s="14"/>
      <c r="K95" s="1073"/>
      <c r="L95" s="1073"/>
      <c r="M95" s="1073"/>
      <c r="N95" s="1074"/>
      <c r="O95" s="1073"/>
    </row>
    <row r="96" spans="1:15" x14ac:dyDescent="0.25">
      <c r="A96" s="14"/>
      <c r="B96" s="1395" t="str">
        <f>'Assessment Issue Scoring'!D585</f>
        <v>6 - Cyclists’ facilities</v>
      </c>
      <c r="C96" s="1396"/>
      <c r="D96" s="1457"/>
      <c r="E96" s="1458"/>
      <c r="F96" s="1394" t="str">
        <f t="shared" si="4"/>
        <v>Tra 02</v>
      </c>
      <c r="G96" s="1459">
        <f>'Assessment Issue Scoring'!E585</f>
        <v>0</v>
      </c>
      <c r="H96" s="1394"/>
      <c r="I96" s="14"/>
      <c r="J96" s="14"/>
      <c r="K96" s="1073"/>
      <c r="L96" s="1073"/>
      <c r="M96" s="1073"/>
      <c r="N96" s="1074"/>
      <c r="O96" s="1073"/>
    </row>
    <row r="97" spans="1:15" x14ac:dyDescent="0.25">
      <c r="A97" s="14"/>
      <c r="B97" s="1395" t="str">
        <f>'Assessment Issue Scoring'!D586</f>
        <v>7 - Existing Accessibility Index</v>
      </c>
      <c r="C97" s="1396"/>
      <c r="D97" s="1457"/>
      <c r="E97" s="1458"/>
      <c r="F97" s="1394" t="str">
        <f t="shared" si="4"/>
        <v>Tra 02</v>
      </c>
      <c r="G97" s="1459">
        <f>'Assessment Issue Scoring'!E586</f>
        <v>0</v>
      </c>
      <c r="H97" s="1394"/>
      <c r="I97" s="14"/>
      <c r="J97" s="14"/>
      <c r="K97" s="1073"/>
      <c r="L97" s="1073"/>
      <c r="M97" s="1073"/>
      <c r="N97" s="1074"/>
      <c r="O97" s="1073"/>
    </row>
    <row r="98" spans="1:15" x14ac:dyDescent="0.25">
      <c r="A98" s="14"/>
      <c r="B98" s="1395" t="str">
        <f>'Assessment Issue Scoring'!D587</f>
        <v>8 - Improved Accessibility Index</v>
      </c>
      <c r="C98" s="1396"/>
      <c r="D98" s="1457"/>
      <c r="E98" s="1458"/>
      <c r="F98" s="1394" t="str">
        <f t="shared" si="4"/>
        <v>Tra 02</v>
      </c>
      <c r="G98" s="1459">
        <f>'Assessment Issue Scoring'!E587</f>
        <v>0</v>
      </c>
      <c r="H98" s="1394"/>
      <c r="I98" s="14"/>
      <c r="J98" s="14"/>
      <c r="K98" s="1073"/>
      <c r="L98" s="1073"/>
      <c r="M98" s="1073"/>
      <c r="N98" s="1074"/>
      <c r="O98" s="1073"/>
    </row>
    <row r="99" spans="1:15" x14ac:dyDescent="0.25">
      <c r="A99" s="14"/>
      <c r="B99" s="1395" t="str">
        <f>'Assessment Issue Scoring'!D588</f>
        <v>9 - Public transportation information system</v>
      </c>
      <c r="C99" s="1396"/>
      <c r="D99" s="1457"/>
      <c r="E99" s="1458"/>
      <c r="F99" s="1394" t="str">
        <f t="shared" si="4"/>
        <v>Tra 02</v>
      </c>
      <c r="G99" s="1459">
        <f>'Assessment Issue Scoring'!E588</f>
        <v>0</v>
      </c>
      <c r="H99" s="1394"/>
      <c r="I99" s="14"/>
      <c r="J99" s="14"/>
      <c r="K99" s="1073"/>
      <c r="L99" s="1073"/>
      <c r="M99" s="1073"/>
      <c r="N99" s="1074"/>
      <c r="O99" s="1073"/>
    </row>
    <row r="100" spans="1:15" x14ac:dyDescent="0.25">
      <c r="A100" s="14"/>
      <c r="B100" s="1395" t="str">
        <f>'Assessment Issue Scoring'!D589</f>
        <v>10 - The development is without parking</v>
      </c>
      <c r="C100" s="1396"/>
      <c r="D100" s="1457"/>
      <c r="E100" s="1458"/>
      <c r="F100" s="1394" t="str">
        <f t="shared" si="4"/>
        <v>Tra 02</v>
      </c>
      <c r="G100" s="1459">
        <f>'Assessment Issue Scoring'!E589</f>
        <v>0</v>
      </c>
      <c r="H100" s="1394"/>
      <c r="I100" s="14"/>
      <c r="J100" s="14"/>
      <c r="K100" s="1073"/>
      <c r="L100" s="1073"/>
      <c r="M100" s="1073"/>
      <c r="N100" s="1074"/>
      <c r="O100" s="1073"/>
    </row>
    <row r="101" spans="1:15" x14ac:dyDescent="0.25">
      <c r="A101" s="14"/>
      <c r="B101" s="1395" t="str">
        <f>'Assessment Issue Scoring'!D590</f>
        <v>11 - EV charging stations</v>
      </c>
      <c r="C101" s="1396"/>
      <c r="D101" s="1457"/>
      <c r="E101" s="1458"/>
      <c r="F101" s="1394" t="str">
        <f t="shared" si="4"/>
        <v>Tra 02</v>
      </c>
      <c r="G101" s="1459">
        <f>'Assessment Issue Scoring'!E590</f>
        <v>0</v>
      </c>
      <c r="H101" s="1394"/>
      <c r="I101" s="14"/>
      <c r="J101" s="14"/>
      <c r="K101" s="1073"/>
      <c r="L101" s="1073"/>
      <c r="M101" s="1073"/>
      <c r="N101" s="1074"/>
      <c r="O101" s="1073"/>
    </row>
    <row r="102" spans="1:15" x14ac:dyDescent="0.25">
      <c r="A102" s="14"/>
      <c r="B102" s="1395" t="str">
        <f>'Assessment Issue Scoring'!D591</f>
        <v>12 - Carpool</v>
      </c>
      <c r="C102" s="1396"/>
      <c r="D102" s="1457"/>
      <c r="E102" s="1458"/>
      <c r="F102" s="1394" t="str">
        <f t="shared" si="4"/>
        <v>Tra 02</v>
      </c>
      <c r="G102" s="1459">
        <f>'Assessment Issue Scoring'!E591</f>
        <v>0</v>
      </c>
      <c r="H102" s="1394"/>
      <c r="I102" s="14"/>
      <c r="J102" s="14"/>
      <c r="K102" s="1073"/>
      <c r="L102" s="1073"/>
      <c r="M102" s="1073"/>
      <c r="N102" s="1074"/>
      <c r="O102" s="1073"/>
    </row>
    <row r="103" spans="1:15" x14ac:dyDescent="0.25">
      <c r="A103" s="14"/>
      <c r="B103" s="1395" t="str">
        <f>'Assessment Issue Scoring'!D592</f>
        <v>13 - Site-specific improvement measure</v>
      </c>
      <c r="C103" s="1396"/>
      <c r="D103" s="1457"/>
      <c r="E103" s="1458"/>
      <c r="F103" s="1394" t="str">
        <f t="shared" si="4"/>
        <v>Tra 02</v>
      </c>
      <c r="G103" s="1459">
        <f>'Assessment Issue Scoring'!E592</f>
        <v>0</v>
      </c>
      <c r="H103" s="1394"/>
      <c r="I103" s="14"/>
      <c r="J103" s="14"/>
      <c r="K103" s="1073"/>
      <c r="L103" s="1073"/>
      <c r="M103" s="1073"/>
      <c r="N103" s="1074"/>
      <c r="O103" s="1073"/>
    </row>
    <row r="104" spans="1:15" x14ac:dyDescent="0.25">
      <c r="A104" s="14"/>
      <c r="B104" s="14"/>
      <c r="C104" s="14"/>
      <c r="D104" s="14"/>
      <c r="E104" s="14"/>
      <c r="F104" s="14"/>
      <c r="G104" s="14"/>
      <c r="H104" s="14"/>
      <c r="I104" s="14"/>
      <c r="J104" s="14"/>
    </row>
    <row r="105" spans="1:15" ht="18.75" x14ac:dyDescent="0.3">
      <c r="A105" s="14"/>
      <c r="B105" s="1449"/>
      <c r="C105" s="1"/>
      <c r="D105" s="1"/>
      <c r="E105" s="1"/>
      <c r="F105" s="1450" t="s">
        <v>1129</v>
      </c>
      <c r="G105" s="1451" t="str">
        <f>$G$8</f>
        <v>KPI</v>
      </c>
      <c r="H105" s="1452" t="str">
        <f>$H$8</f>
        <v>Unit</v>
      </c>
      <c r="I105" s="14"/>
      <c r="J105" s="14"/>
      <c r="K105" s="1090" t="s">
        <v>1219</v>
      </c>
      <c r="L105" s="1089" t="s">
        <v>1218</v>
      </c>
      <c r="M105" s="1088" t="s">
        <v>1217</v>
      </c>
      <c r="N105" s="1087" t="s">
        <v>1216</v>
      </c>
      <c r="O105" s="1086" t="s">
        <v>1215</v>
      </c>
    </row>
    <row r="106" spans="1:15" ht="18.75" x14ac:dyDescent="0.3">
      <c r="A106" s="14"/>
      <c r="B106" s="1453" t="s">
        <v>163</v>
      </c>
      <c r="C106" s="1454"/>
      <c r="D106" s="1454"/>
      <c r="E106" s="1454"/>
      <c r="F106" s="1454"/>
      <c r="G106" s="1455"/>
      <c r="H106" s="1456"/>
      <c r="I106" s="14"/>
      <c r="J106" s="14"/>
      <c r="K106" s="954"/>
      <c r="L106" s="954"/>
      <c r="M106" s="1076"/>
      <c r="N106" s="954"/>
      <c r="O106" s="954"/>
    </row>
    <row r="107" spans="1:15" x14ac:dyDescent="0.25">
      <c r="A107" s="14"/>
      <c r="B107" s="1395" t="str">
        <f>'Assessment Issue Scoring'!D627</f>
        <v xml:space="preserve">Total net Water Consumption </v>
      </c>
      <c r="C107" s="1396"/>
      <c r="D107" s="1457"/>
      <c r="E107" s="1458"/>
      <c r="F107" s="1394" t="str">
        <f>B106</f>
        <v>Wat 01</v>
      </c>
      <c r="G107" s="1459">
        <f>'Assessment Issue Scoring'!E627</f>
        <v>0</v>
      </c>
      <c r="H107" s="1394" t="str">
        <f>'Assessment Issue Scoring'!F627</f>
        <v>m3/person/yr</v>
      </c>
      <c r="I107" s="14"/>
      <c r="J107" s="14"/>
      <c r="K107" s="1073"/>
      <c r="L107" s="1073"/>
      <c r="M107" s="1073"/>
      <c r="N107" s="1074"/>
      <c r="O107" s="1073"/>
    </row>
    <row r="108" spans="1:15" x14ac:dyDescent="0.25">
      <c r="A108" s="14"/>
      <c r="B108" s="1395" t="str">
        <f>'Assessment Issue Scoring'!D628</f>
        <v>Default building occupancy</v>
      </c>
      <c r="C108" s="1396"/>
      <c r="D108" s="1457"/>
      <c r="E108" s="1458"/>
      <c r="F108" s="1394" t="str">
        <f t="shared" ref="F108" si="5">F107</f>
        <v>Wat 01</v>
      </c>
      <c r="G108" s="1459">
        <f>'Assessment Issue Scoring'!E628</f>
        <v>0</v>
      </c>
      <c r="H108" s="1394" t="str">
        <f>'Assessment Issue Scoring'!F628</f>
        <v>persons</v>
      </c>
      <c r="I108" s="14"/>
      <c r="J108" s="14"/>
      <c r="K108" s="1073"/>
      <c r="L108" s="1073"/>
      <c r="M108" s="1073"/>
      <c r="N108" s="1074"/>
      <c r="O108" s="1073"/>
    </row>
    <row r="109" spans="1:15" x14ac:dyDescent="0.25">
      <c r="A109" s="14"/>
      <c r="B109" s="14"/>
      <c r="C109" s="14"/>
      <c r="D109" s="14"/>
      <c r="E109" s="14"/>
      <c r="F109" s="14"/>
      <c r="G109" s="14"/>
      <c r="H109" s="14"/>
      <c r="I109" s="14"/>
      <c r="J109" s="14"/>
    </row>
    <row r="110" spans="1:15" ht="18.75" x14ac:dyDescent="0.3">
      <c r="A110" s="14"/>
      <c r="B110" s="1449"/>
      <c r="C110" s="1"/>
      <c r="D110" s="1"/>
      <c r="E110" s="1"/>
      <c r="F110" s="1450" t="s">
        <v>1129</v>
      </c>
      <c r="G110" s="1451" t="str">
        <f>$G$8</f>
        <v>KPI</v>
      </c>
      <c r="H110" s="1452" t="str">
        <f>$H$8</f>
        <v>Unit</v>
      </c>
      <c r="I110" s="14"/>
      <c r="J110" s="14"/>
      <c r="K110" s="1090" t="s">
        <v>1219</v>
      </c>
      <c r="L110" s="1089" t="s">
        <v>1218</v>
      </c>
      <c r="M110" s="1088" t="s">
        <v>1217</v>
      </c>
      <c r="N110" s="1087" t="s">
        <v>1216</v>
      </c>
      <c r="O110" s="1086" t="s">
        <v>1215</v>
      </c>
    </row>
    <row r="111" spans="1:15" ht="18.75" x14ac:dyDescent="0.3">
      <c r="A111" s="14"/>
      <c r="B111" s="1453" t="s">
        <v>167</v>
      </c>
      <c r="C111" s="1454"/>
      <c r="D111" s="1454"/>
      <c r="E111" s="1454"/>
      <c r="F111" s="1454"/>
      <c r="G111" s="1455"/>
      <c r="H111" s="1456"/>
      <c r="I111" s="14"/>
      <c r="J111" s="14"/>
      <c r="K111" s="954"/>
      <c r="L111" s="954"/>
      <c r="M111" s="1076"/>
      <c r="N111" s="954"/>
      <c r="O111" s="954"/>
    </row>
    <row r="112" spans="1:15" x14ac:dyDescent="0.25">
      <c r="A112" s="14"/>
      <c r="B112" s="1395" t="s">
        <v>1985</v>
      </c>
      <c r="C112" s="1396"/>
      <c r="D112" s="1457"/>
      <c r="E112" s="1458"/>
      <c r="F112" s="1394" t="str">
        <f>B111</f>
        <v>Mat 01</v>
      </c>
      <c r="G112" s="1459">
        <f>'Assessment Issue Scoring'!E728</f>
        <v>0</v>
      </c>
      <c r="H112" s="1394" t="str">
        <f>'Assessment Issue Scoring'!F728</f>
        <v>kg CO2 e/m2 BTA/yr</v>
      </c>
      <c r="I112" s="14"/>
      <c r="J112" s="14"/>
      <c r="K112" s="1073"/>
      <c r="L112" s="1073"/>
      <c r="M112" s="1073"/>
      <c r="N112" s="1074"/>
      <c r="O112" s="1073"/>
    </row>
    <row r="113" spans="1:15" x14ac:dyDescent="0.25">
      <c r="A113" s="14"/>
      <c r="B113" s="1395" t="str">
        <f>'Assessment Issue Scoring'!D729</f>
        <v>Reference value is based on</v>
      </c>
      <c r="C113" s="1396"/>
      <c r="D113" s="1457"/>
      <c r="E113" s="1458"/>
      <c r="F113" s="1394" t="str">
        <f>F112</f>
        <v>Mat 01</v>
      </c>
      <c r="G113" s="1459" t="str">
        <f>'Assessment Issue Scoring'!E729</f>
        <v>Please select</v>
      </c>
      <c r="H113" s="1394"/>
      <c r="I113" s="14"/>
      <c r="J113" s="14"/>
      <c r="K113" s="1073"/>
      <c r="L113" s="1073"/>
      <c r="M113" s="1073"/>
      <c r="N113" s="1074"/>
      <c r="O113" s="1073"/>
    </row>
    <row r="114" spans="1:15" x14ac:dyDescent="0.25">
      <c r="A114" s="14"/>
      <c r="B114" s="1395" t="str">
        <f>'Assessment Issue Scoring'!D732</f>
        <v>Production of materials (not including ground and foundations (21) or other electric power installations (49))</v>
      </c>
      <c r="C114" s="1396"/>
      <c r="D114" s="1457"/>
      <c r="E114" s="1458"/>
      <c r="F114" s="1394" t="str">
        <f>F112</f>
        <v>Mat 01</v>
      </c>
      <c r="G114" s="1459">
        <f>'Assessment Issue Scoring'!E732</f>
        <v>0</v>
      </c>
      <c r="H114" s="1394" t="str">
        <f>'Assessment Issue Scoring'!F732</f>
        <v>kg CO2 e/m2yr</v>
      </c>
      <c r="I114" s="14"/>
      <c r="J114" s="14"/>
      <c r="K114" s="1073"/>
      <c r="L114" s="1073"/>
      <c r="M114" s="1073"/>
      <c r="N114" s="1074"/>
      <c r="O114" s="1073"/>
    </row>
    <row r="115" spans="1:15" x14ac:dyDescent="0.25">
      <c r="A115" s="14"/>
      <c r="B115" s="1395" t="s">
        <v>1986</v>
      </c>
      <c r="C115" s="1396"/>
      <c r="D115" s="1457"/>
      <c r="E115" s="1458"/>
      <c r="F115" s="1394" t="str">
        <f t="shared" ref="F115:F123" si="6">F114</f>
        <v>Mat 01</v>
      </c>
      <c r="G115" s="1459">
        <f>'Assessment Issue Scoring'!E733</f>
        <v>0</v>
      </c>
      <c r="H115" s="1394" t="str">
        <f>'Assessment Issue Scoring'!F733</f>
        <v>kg CO2 e/m2yr</v>
      </c>
      <c r="I115" s="14"/>
      <c r="J115" s="14"/>
      <c r="K115" s="1073"/>
      <c r="L115" s="1073"/>
      <c r="M115" s="1073"/>
      <c r="N115" s="1074"/>
      <c r="O115" s="1073"/>
    </row>
    <row r="116" spans="1:15" x14ac:dyDescent="0.25">
      <c r="A116" s="14"/>
      <c r="B116" s="1395" t="s">
        <v>1987</v>
      </c>
      <c r="C116" s="1396"/>
      <c r="D116" s="1457"/>
      <c r="E116" s="1458"/>
      <c r="F116" s="1394" t="str">
        <f t="shared" si="6"/>
        <v>Mat 01</v>
      </c>
      <c r="G116" s="1459">
        <f>'Assessment Issue Scoring'!E734</f>
        <v>0</v>
      </c>
      <c r="H116" s="1394" t="str">
        <f>'Assessment Issue Scoring'!F734</f>
        <v>kg CO2 e/m2yr</v>
      </c>
      <c r="I116" s="14"/>
      <c r="J116" s="14"/>
      <c r="K116" s="1073"/>
      <c r="L116" s="1073"/>
      <c r="M116" s="1073"/>
      <c r="N116" s="1074"/>
      <c r="O116" s="1073"/>
    </row>
    <row r="117" spans="1:15" x14ac:dyDescent="0.25">
      <c r="A117" s="14"/>
      <c r="B117" s="1395" t="s">
        <v>204</v>
      </c>
      <c r="C117" s="1396"/>
      <c r="D117" s="1457"/>
      <c r="E117" s="1458"/>
      <c r="F117" s="1394" t="str">
        <f>F116</f>
        <v>Mat 01</v>
      </c>
      <c r="G117" s="1459">
        <f>'Assessment Issue Scoring'!E735</f>
        <v>0</v>
      </c>
      <c r="H117" s="1394" t="str">
        <f>'Assessment Issue Scoring'!F735</f>
        <v>kg CO2 e/m2yr</v>
      </c>
      <c r="I117" s="14"/>
      <c r="J117" s="14"/>
      <c r="K117" s="1073"/>
      <c r="L117" s="1073"/>
      <c r="M117" s="1073"/>
      <c r="N117" s="1074"/>
      <c r="O117" s="1073"/>
    </row>
    <row r="118" spans="1:15" x14ac:dyDescent="0.25">
      <c r="A118" s="14"/>
      <c r="B118" s="1395" t="s">
        <v>1988</v>
      </c>
      <c r="C118" s="1396"/>
      <c r="D118" s="1457"/>
      <c r="E118" s="1458"/>
      <c r="F118" s="1394" t="str">
        <f t="shared" si="6"/>
        <v>Mat 01</v>
      </c>
      <c r="G118" s="1467">
        <f>'Assessment Issue Scoring'!E736</f>
        <v>0</v>
      </c>
      <c r="H118" s="1394" t="str">
        <f>'Assessment Issue Scoring'!F736</f>
        <v>%</v>
      </c>
      <c r="I118" s="14"/>
      <c r="J118" s="14"/>
      <c r="K118" s="1073"/>
      <c r="L118" s="1073"/>
      <c r="M118" s="1073"/>
      <c r="N118" s="1074"/>
      <c r="O118" s="1073"/>
    </row>
    <row r="119" spans="1:15" x14ac:dyDescent="0.25">
      <c r="A119" s="14"/>
      <c r="B119" s="1395" t="str">
        <f>'Assessment Issue Scoring'!D739</f>
        <v>Indicator 1</v>
      </c>
      <c r="C119" s="1396"/>
      <c r="D119" s="1457"/>
      <c r="E119" s="1458"/>
      <c r="F119" s="1394" t="str">
        <f t="shared" si="6"/>
        <v>Mat 01</v>
      </c>
      <c r="G119" s="1459" t="str">
        <f>'Assessment Issue Scoring'!E739</f>
        <v>GWP (kg CO2-eq)</v>
      </c>
      <c r="H119" s="1394"/>
      <c r="I119" s="14"/>
      <c r="J119" s="14"/>
      <c r="K119" s="1073"/>
      <c r="L119" s="1073"/>
      <c r="M119" s="1073"/>
      <c r="N119" s="1074"/>
      <c r="O119" s="1073"/>
    </row>
    <row r="120" spans="1:15" x14ac:dyDescent="0.25">
      <c r="A120" s="14"/>
      <c r="B120" s="1395" t="str">
        <f>'Assessment Issue Scoring'!D740</f>
        <v>Indicator 2</v>
      </c>
      <c r="C120" s="1396"/>
      <c r="D120" s="1457"/>
      <c r="E120" s="1458"/>
      <c r="F120" s="1394" t="str">
        <f t="shared" si="6"/>
        <v>Mat 01</v>
      </c>
      <c r="G120" s="1459" t="str">
        <f>'Assessment Issue Scoring'!E740</f>
        <v>Please select</v>
      </c>
      <c r="H120" s="1394"/>
      <c r="I120" s="14"/>
      <c r="J120" s="14"/>
      <c r="K120" s="1073"/>
      <c r="L120" s="1073"/>
      <c r="M120" s="1073"/>
      <c r="N120" s="1074"/>
      <c r="O120" s="1073"/>
    </row>
    <row r="121" spans="1:15" x14ac:dyDescent="0.25">
      <c r="A121" s="14"/>
      <c r="B121" s="1395" t="str">
        <f>'Assessment Issue Scoring'!D741</f>
        <v>Indicator 3</v>
      </c>
      <c r="C121" s="1396"/>
      <c r="D121" s="1457"/>
      <c r="E121" s="1458"/>
      <c r="F121" s="1394" t="str">
        <f t="shared" si="6"/>
        <v>Mat 01</v>
      </c>
      <c r="G121" s="1459" t="str">
        <f>'Assessment Issue Scoring'!E741</f>
        <v>Please select</v>
      </c>
      <c r="H121" s="1394"/>
      <c r="I121" s="14"/>
      <c r="J121" s="14"/>
      <c r="K121" s="1073"/>
      <c r="L121" s="1073"/>
      <c r="M121" s="1073"/>
      <c r="N121" s="1074"/>
      <c r="O121" s="1073"/>
    </row>
    <row r="122" spans="1:15" x14ac:dyDescent="0.25">
      <c r="A122" s="14"/>
      <c r="B122" s="1395" t="str">
        <f>'Assessment Issue Scoring'!D742</f>
        <v>Indicator 4</v>
      </c>
      <c r="C122" s="1396"/>
      <c r="D122" s="1457"/>
      <c r="E122" s="1458"/>
      <c r="F122" s="1394" t="str">
        <f t="shared" si="6"/>
        <v>Mat 01</v>
      </c>
      <c r="G122" s="1459" t="str">
        <f>'Assessment Issue Scoring'!E742</f>
        <v>Please select</v>
      </c>
      <c r="H122" s="1394"/>
      <c r="I122" s="14"/>
      <c r="J122" s="14"/>
      <c r="K122" s="1073"/>
      <c r="L122" s="1073"/>
      <c r="M122" s="1073"/>
      <c r="N122" s="1074"/>
      <c r="O122" s="1073"/>
    </row>
    <row r="123" spans="1:15" x14ac:dyDescent="0.25">
      <c r="A123" s="14"/>
      <c r="B123" s="1395" t="str">
        <f>'Assessment Issue Scoring'!D743</f>
        <v>Indicator 5</v>
      </c>
      <c r="C123" s="1396"/>
      <c r="D123" s="1457"/>
      <c r="E123" s="1458"/>
      <c r="F123" s="1394" t="str">
        <f t="shared" si="6"/>
        <v>Mat 01</v>
      </c>
      <c r="G123" s="1459" t="str">
        <f>'Assessment Issue Scoring'!E743</f>
        <v>Please select</v>
      </c>
      <c r="H123" s="1394"/>
      <c r="I123" s="14"/>
      <c r="J123" s="14"/>
      <c r="K123" s="1073"/>
      <c r="L123" s="1073"/>
      <c r="M123" s="1073"/>
      <c r="N123" s="1074"/>
      <c r="O123" s="1073"/>
    </row>
    <row r="124" spans="1:15" x14ac:dyDescent="0.25">
      <c r="A124" s="14"/>
      <c r="B124" s="14"/>
      <c r="C124" s="14"/>
      <c r="D124" s="14"/>
      <c r="E124" s="14"/>
      <c r="F124" s="14"/>
      <c r="G124" s="14"/>
      <c r="H124" s="14"/>
      <c r="I124" s="14"/>
      <c r="J124" s="14"/>
    </row>
    <row r="125" spans="1:15" ht="18.75" x14ac:dyDescent="0.3">
      <c r="A125" s="14"/>
      <c r="B125" s="1449"/>
      <c r="C125" s="1"/>
      <c r="D125" s="1"/>
      <c r="E125" s="1"/>
      <c r="F125" s="1450" t="s">
        <v>1129</v>
      </c>
      <c r="G125" s="1451" t="str">
        <f>$G$8</f>
        <v>KPI</v>
      </c>
      <c r="H125" s="1452" t="str">
        <f>$H$8</f>
        <v>Unit</v>
      </c>
      <c r="I125" s="14"/>
      <c r="J125" s="14"/>
      <c r="K125" s="1090" t="s">
        <v>1219</v>
      </c>
      <c r="L125" s="1089" t="s">
        <v>1218</v>
      </c>
      <c r="M125" s="1088" t="s">
        <v>1217</v>
      </c>
      <c r="N125" s="1087" t="s">
        <v>1216</v>
      </c>
      <c r="O125" s="1086" t="s">
        <v>1215</v>
      </c>
    </row>
    <row r="126" spans="1:15" ht="18.75" x14ac:dyDescent="0.3">
      <c r="A126" s="14"/>
      <c r="B126" s="1453" t="s">
        <v>457</v>
      </c>
      <c r="C126" s="1454"/>
      <c r="D126" s="1454"/>
      <c r="E126" s="1454"/>
      <c r="F126" s="1454"/>
      <c r="G126" s="1455"/>
      <c r="H126" s="1456"/>
      <c r="I126" s="14"/>
      <c r="J126" s="14"/>
      <c r="K126" s="954"/>
      <c r="L126" s="954"/>
      <c r="M126" s="1076"/>
      <c r="N126" s="954"/>
      <c r="O126" s="954"/>
    </row>
    <row r="127" spans="1:15" x14ac:dyDescent="0.25">
      <c r="A127" s="14"/>
      <c r="B127" s="1395" t="str">
        <f>'Assessment Issue Scoring'!D767</f>
        <v>Nuber of EPD's obtained for different construction products from the product groups specified in Table Mat 02-01</v>
      </c>
      <c r="C127" s="1396"/>
      <c r="D127" s="1457"/>
      <c r="E127" s="1458"/>
      <c r="F127" s="1394" t="str">
        <f>B126</f>
        <v>Mat 02</v>
      </c>
      <c r="G127" s="1459" t="str">
        <f>'Assessment Issue Scoring'!E767</f>
        <v>Please select</v>
      </c>
      <c r="H127" s="1394"/>
      <c r="I127" s="14"/>
      <c r="J127" s="14"/>
      <c r="K127" s="1073"/>
      <c r="L127" s="1073"/>
      <c r="M127" s="1073"/>
      <c r="N127" s="1074"/>
      <c r="O127" s="1073"/>
    </row>
    <row r="128" spans="1:15" x14ac:dyDescent="0.25">
      <c r="A128" s="14"/>
      <c r="B128" s="1395" t="str">
        <f>'Assessment Issue Scoring'!D768</f>
        <v>Number of EPD's collected for level three product groups in the NS 3451, part 3 - 6, at least 25% of area, quantity or weight</v>
      </c>
      <c r="C128" s="1396"/>
      <c r="D128" s="1457"/>
      <c r="E128" s="1458"/>
      <c r="F128" s="1394" t="str">
        <f t="shared" ref="F128:F129" si="7">F127</f>
        <v>Mat 02</v>
      </c>
      <c r="G128" s="1459" t="str">
        <f>'Assessment Issue Scoring'!E768</f>
        <v>Please select</v>
      </c>
      <c r="H128" s="1394"/>
      <c r="I128" s="14"/>
      <c r="J128" s="14"/>
      <c r="K128" s="1073"/>
      <c r="L128" s="1073"/>
      <c r="M128" s="1073"/>
      <c r="N128" s="1074"/>
      <c r="O128" s="1073"/>
    </row>
    <row r="129" spans="1:15" x14ac:dyDescent="0.25">
      <c r="A129" s="14"/>
      <c r="B129" s="1395" t="str">
        <f>'Assessment Issue Scoring'!D771</f>
        <v>Number of products in table Mat 02-01 satisfies ECO product and/or the EU Ecolabel/Nordic Ecolabel criteria</v>
      </c>
      <c r="C129" s="1396"/>
      <c r="D129" s="1457"/>
      <c r="E129" s="1458"/>
      <c r="F129" s="1394" t="str">
        <f t="shared" si="7"/>
        <v>Mat 02</v>
      </c>
      <c r="G129" s="1459" t="str">
        <f>'Assessment Issue Scoring'!E771</f>
        <v>Please select</v>
      </c>
      <c r="H129" s="1394"/>
      <c r="I129" s="14"/>
      <c r="J129" s="14"/>
      <c r="K129" s="1073"/>
      <c r="L129" s="1073"/>
      <c r="M129" s="1073"/>
      <c r="N129" s="1074"/>
      <c r="O129" s="1073"/>
    </row>
    <row r="130" spans="1:15" x14ac:dyDescent="0.25">
      <c r="A130" s="14"/>
      <c r="B130" s="14"/>
      <c r="C130" s="14"/>
      <c r="D130" s="14"/>
      <c r="E130" s="14"/>
      <c r="F130" s="14"/>
      <c r="G130" s="14"/>
      <c r="H130" s="14"/>
      <c r="I130" s="14"/>
      <c r="J130" s="14"/>
    </row>
    <row r="131" spans="1:15" ht="18.75" x14ac:dyDescent="0.3">
      <c r="A131" s="14"/>
      <c r="B131" s="1449"/>
      <c r="C131" s="1"/>
      <c r="D131" s="1"/>
      <c r="E131" s="1"/>
      <c r="F131" s="1450" t="s">
        <v>1129</v>
      </c>
      <c r="G131" s="1451" t="str">
        <f>$G$8</f>
        <v>KPI</v>
      </c>
      <c r="H131" s="1452" t="str">
        <f>$H$8</f>
        <v>Unit</v>
      </c>
      <c r="I131" s="14"/>
      <c r="J131" s="14"/>
      <c r="K131" s="1090" t="s">
        <v>1219</v>
      </c>
      <c r="L131" s="1089" t="s">
        <v>1218</v>
      </c>
      <c r="M131" s="1088" t="s">
        <v>1217</v>
      </c>
      <c r="N131" s="1087" t="s">
        <v>1216</v>
      </c>
      <c r="O131" s="1086" t="s">
        <v>1215</v>
      </c>
    </row>
    <row r="132" spans="1:15" ht="18.75" x14ac:dyDescent="0.3">
      <c r="A132" s="14"/>
      <c r="B132" s="1453" t="s">
        <v>168</v>
      </c>
      <c r="C132" s="1454"/>
      <c r="D132" s="1454"/>
      <c r="E132" s="1454"/>
      <c r="F132" s="1454"/>
      <c r="G132" s="1455"/>
      <c r="H132" s="1456"/>
      <c r="I132" s="14"/>
      <c r="J132" s="14"/>
      <c r="K132" s="954"/>
      <c r="L132" s="954"/>
      <c r="M132" s="1076"/>
      <c r="N132" s="954"/>
      <c r="O132" s="954"/>
    </row>
    <row r="133" spans="1:15" x14ac:dyDescent="0.25">
      <c r="A133" s="14"/>
      <c r="B133" s="1395" t="str">
        <f>'Assessment Issue Scoring'!D802</f>
        <v>Percentage of available responsible sourcing points achieved, from Mat 03 calculator</v>
      </c>
      <c r="C133" s="1396"/>
      <c r="D133" s="1457"/>
      <c r="E133" s="1458"/>
      <c r="F133" s="1394" t="str">
        <f>B132</f>
        <v>Mat 03</v>
      </c>
      <c r="G133" s="1465">
        <f>'Assessment Issue Scoring'!E802</f>
        <v>0</v>
      </c>
      <c r="H133" s="1394"/>
      <c r="I133" s="14"/>
      <c r="J133" s="14"/>
      <c r="K133" s="1073"/>
      <c r="L133" s="1073"/>
      <c r="M133" s="1073"/>
      <c r="N133" s="1074"/>
      <c r="O133" s="1073"/>
    </row>
    <row r="134" spans="1:15" x14ac:dyDescent="0.25">
      <c r="A134" s="14"/>
      <c r="B134" s="14"/>
      <c r="C134" s="14"/>
      <c r="D134" s="14"/>
      <c r="E134" s="14"/>
      <c r="F134" s="14"/>
      <c r="G134" s="14"/>
      <c r="H134" s="14"/>
      <c r="I134" s="14"/>
      <c r="J134" s="14"/>
    </row>
    <row r="135" spans="1:15" ht="18.75" x14ac:dyDescent="0.3">
      <c r="A135" s="14"/>
      <c r="B135" s="1449"/>
      <c r="C135" s="1"/>
      <c r="D135" s="1"/>
      <c r="E135" s="1"/>
      <c r="F135" s="1450" t="s">
        <v>1129</v>
      </c>
      <c r="G135" s="1451" t="str">
        <f>$G$8</f>
        <v>KPI</v>
      </c>
      <c r="H135" s="1452" t="str">
        <f>$H$8</f>
        <v>Unit</v>
      </c>
      <c r="I135" s="14"/>
      <c r="J135" s="14"/>
      <c r="K135" s="1090" t="s">
        <v>1219</v>
      </c>
      <c r="L135" s="1089" t="s">
        <v>1218</v>
      </c>
      <c r="M135" s="1088" t="s">
        <v>1217</v>
      </c>
      <c r="N135" s="1087" t="s">
        <v>1216</v>
      </c>
      <c r="O135" s="1086" t="s">
        <v>1215</v>
      </c>
    </row>
    <row r="136" spans="1:15" ht="18.75" x14ac:dyDescent="0.3">
      <c r="A136" s="14"/>
      <c r="B136" s="1453" t="s">
        <v>170</v>
      </c>
      <c r="C136" s="1454"/>
      <c r="D136" s="1454"/>
      <c r="E136" s="1454"/>
      <c r="F136" s="1454"/>
      <c r="G136" s="1455"/>
      <c r="H136" s="1456"/>
      <c r="I136" s="14"/>
      <c r="J136" s="14"/>
      <c r="K136" s="954"/>
      <c r="L136" s="954"/>
      <c r="M136" s="1076"/>
      <c r="N136" s="954"/>
      <c r="O136" s="954"/>
    </row>
    <row r="137" spans="1:15" x14ac:dyDescent="0.25">
      <c r="A137" s="14"/>
      <c r="B137" s="1468" t="s">
        <v>1639</v>
      </c>
      <c r="C137" s="1396"/>
      <c r="D137" s="1457"/>
      <c r="E137" s="1458"/>
      <c r="F137" s="1394"/>
      <c r="G137" s="1459"/>
      <c r="H137" s="1394"/>
      <c r="I137" s="14"/>
      <c r="J137" s="14"/>
      <c r="K137" s="1387"/>
      <c r="L137" s="1387"/>
      <c r="M137" s="1388"/>
      <c r="N137" s="1387"/>
      <c r="O137" s="1387"/>
    </row>
    <row r="138" spans="1:15" x14ac:dyDescent="0.25">
      <c r="A138" s="14"/>
      <c r="B138" s="1395" t="str">
        <f>'Assessment Issue Scoring'!D855</f>
        <v>Product group 1</v>
      </c>
      <c r="C138" s="1396"/>
      <c r="D138" s="1457"/>
      <c r="E138" s="1458"/>
      <c r="F138" s="1394" t="str">
        <f>B136</f>
        <v>Mat 06</v>
      </c>
      <c r="G138" s="1469" t="str">
        <f>'Assessment Issue Scoring'!E855</f>
        <v>Please select</v>
      </c>
      <c r="H138" s="1394"/>
      <c r="I138" s="14"/>
      <c r="J138" s="14"/>
      <c r="K138" s="1073"/>
      <c r="L138" s="1073"/>
      <c r="M138" s="1073"/>
      <c r="N138" s="1074"/>
      <c r="O138" s="1073"/>
    </row>
    <row r="139" spans="1:15" x14ac:dyDescent="0.25">
      <c r="A139" s="14"/>
      <c r="B139" s="1395" t="str">
        <f>'Assessment Issue Scoring'!D856</f>
        <v>Product group 2</v>
      </c>
      <c r="C139" s="1396"/>
      <c r="D139" s="1457"/>
      <c r="E139" s="1458"/>
      <c r="F139" s="1394" t="str">
        <f t="shared" ref="F139:F141" si="8">F138</f>
        <v>Mat 06</v>
      </c>
      <c r="G139" s="1459" t="str">
        <f>'Assessment Issue Scoring'!E856</f>
        <v>Please select</v>
      </c>
      <c r="H139" s="1394"/>
      <c r="I139" s="14"/>
      <c r="J139" s="14"/>
      <c r="K139" s="1073"/>
      <c r="L139" s="1073"/>
      <c r="M139" s="1073"/>
      <c r="N139" s="1074"/>
      <c r="O139" s="1073"/>
    </row>
    <row r="140" spans="1:15" x14ac:dyDescent="0.25">
      <c r="A140" s="14"/>
      <c r="B140" s="1395" t="str">
        <f>'Assessment Issue Scoring'!D857</f>
        <v>Product group 3</v>
      </c>
      <c r="C140" s="1396"/>
      <c r="D140" s="1457"/>
      <c r="E140" s="1458"/>
      <c r="F140" s="1394" t="str">
        <f t="shared" si="8"/>
        <v>Mat 06</v>
      </c>
      <c r="G140" s="1459" t="str">
        <f>'Assessment Issue Scoring'!E857</f>
        <v>Please select</v>
      </c>
      <c r="H140" s="1394"/>
      <c r="I140" s="14"/>
      <c r="J140" s="14"/>
      <c r="K140" s="1073"/>
      <c r="L140" s="1073"/>
      <c r="M140" s="1073"/>
      <c r="N140" s="1074"/>
      <c r="O140" s="1073"/>
    </row>
    <row r="141" spans="1:15" x14ac:dyDescent="0.25">
      <c r="A141" s="14"/>
      <c r="B141" s="1395" t="str">
        <f>'Assessment Issue Scoring'!D858</f>
        <v>Product group 4</v>
      </c>
      <c r="C141" s="1396"/>
      <c r="D141" s="1457"/>
      <c r="E141" s="1458"/>
      <c r="F141" s="1394" t="str">
        <f t="shared" si="8"/>
        <v>Mat 06</v>
      </c>
      <c r="G141" s="1459" t="str">
        <f>'Assessment Issue Scoring'!E858</f>
        <v>Please select</v>
      </c>
      <c r="H141" s="1394"/>
      <c r="I141" s="14"/>
      <c r="J141" s="14"/>
      <c r="K141" s="1073"/>
      <c r="L141" s="1073"/>
      <c r="M141" s="1073"/>
      <c r="N141" s="1074"/>
      <c r="O141" s="1073"/>
    </row>
    <row r="142" spans="1:15" x14ac:dyDescent="0.25">
      <c r="A142" s="14"/>
      <c r="B142" s="1395" t="str">
        <f>'Assessment Issue Scoring'!D859</f>
        <v>Product group 5</v>
      </c>
      <c r="C142" s="1396"/>
      <c r="D142" s="1457"/>
      <c r="E142" s="1458"/>
      <c r="F142" s="1394" t="str">
        <f>F141</f>
        <v>Mat 06</v>
      </c>
      <c r="G142" s="1459" t="str">
        <f>'Assessment Issue Scoring'!E859</f>
        <v>Please select</v>
      </c>
      <c r="H142" s="1394"/>
      <c r="I142" s="14"/>
      <c r="J142" s="14"/>
      <c r="K142" s="1073"/>
      <c r="L142" s="1073"/>
      <c r="M142" s="1073"/>
      <c r="N142" s="1074"/>
      <c r="O142" s="1073"/>
    </row>
    <row r="143" spans="1:15" x14ac:dyDescent="0.25">
      <c r="A143" s="14"/>
      <c r="B143" s="1468" t="s">
        <v>1645</v>
      </c>
      <c r="C143" s="1396"/>
      <c r="D143" s="1457"/>
      <c r="E143" s="1458"/>
      <c r="F143" s="1394"/>
      <c r="G143" s="1459"/>
      <c r="H143" s="1394"/>
      <c r="I143" s="14"/>
      <c r="J143" s="14"/>
      <c r="K143" s="1073"/>
      <c r="L143" s="1073"/>
      <c r="M143" s="1073"/>
      <c r="N143" s="1074"/>
      <c r="O143" s="1073"/>
    </row>
    <row r="144" spans="1:15" x14ac:dyDescent="0.25">
      <c r="A144" s="14"/>
      <c r="B144" s="1395" t="str">
        <f>'Assessment Issue Scoring'!D862</f>
        <v>Product group 1</v>
      </c>
      <c r="C144" s="1396"/>
      <c r="D144" s="1457"/>
      <c r="E144" s="1458"/>
      <c r="F144" s="1394" t="str">
        <f>F142</f>
        <v>Mat 06</v>
      </c>
      <c r="G144" s="1459" t="str">
        <f>'Assessment Issue Scoring'!E862</f>
        <v>Please select</v>
      </c>
      <c r="H144" s="1394"/>
      <c r="I144" s="14"/>
      <c r="J144" s="14"/>
      <c r="K144" s="1073"/>
      <c r="L144" s="1073"/>
      <c r="M144" s="1073"/>
      <c r="N144" s="1074"/>
      <c r="O144" s="1073"/>
    </row>
    <row r="145" spans="1:15" x14ac:dyDescent="0.25">
      <c r="A145" s="14"/>
      <c r="B145" s="1395" t="str">
        <f>'Assessment Issue Scoring'!D863</f>
        <v>Product group 2</v>
      </c>
      <c r="C145" s="1396"/>
      <c r="D145" s="1457"/>
      <c r="E145" s="1458"/>
      <c r="F145" s="1394" t="str">
        <f>F144</f>
        <v>Mat 06</v>
      </c>
      <c r="G145" s="1459" t="str">
        <f>'Assessment Issue Scoring'!E863</f>
        <v>Please select</v>
      </c>
      <c r="H145" s="1394"/>
      <c r="I145" s="14"/>
      <c r="J145" s="14"/>
      <c r="K145" s="1073"/>
      <c r="L145" s="1073"/>
      <c r="M145" s="1073"/>
      <c r="N145" s="1074"/>
      <c r="O145" s="1073"/>
    </row>
    <row r="146" spans="1:15" x14ac:dyDescent="0.25">
      <c r="A146" s="14"/>
      <c r="B146" s="14"/>
      <c r="C146" s="14"/>
      <c r="D146" s="14"/>
      <c r="E146" s="14"/>
      <c r="F146" s="14"/>
      <c r="G146" s="14"/>
      <c r="H146" s="14"/>
      <c r="I146" s="14"/>
      <c r="J146" s="14"/>
    </row>
    <row r="147" spans="1:15" ht="18.75" x14ac:dyDescent="0.3">
      <c r="A147" s="14"/>
      <c r="B147" s="1449"/>
      <c r="C147" s="1"/>
      <c r="D147" s="1"/>
      <c r="E147" s="1"/>
      <c r="F147" s="1450" t="s">
        <v>1129</v>
      </c>
      <c r="G147" s="1451" t="str">
        <f>$G$8</f>
        <v>KPI</v>
      </c>
      <c r="H147" s="1452" t="str">
        <f>$H$8</f>
        <v>Unit</v>
      </c>
      <c r="I147" s="14"/>
      <c r="J147" s="14"/>
      <c r="K147" s="1090" t="s">
        <v>1219</v>
      </c>
      <c r="L147" s="1089" t="s">
        <v>1218</v>
      </c>
      <c r="M147" s="1088" t="s">
        <v>1217</v>
      </c>
      <c r="N147" s="1087" t="s">
        <v>1216</v>
      </c>
      <c r="O147" s="1086" t="s">
        <v>1215</v>
      </c>
    </row>
    <row r="148" spans="1:15" ht="18.75" x14ac:dyDescent="0.3">
      <c r="A148" s="14"/>
      <c r="B148" s="1453" t="s">
        <v>458</v>
      </c>
      <c r="C148" s="1454"/>
      <c r="D148" s="1454"/>
      <c r="E148" s="1454"/>
      <c r="F148" s="1454"/>
      <c r="G148" s="1455"/>
      <c r="H148" s="1456"/>
      <c r="I148" s="14"/>
      <c r="J148" s="14"/>
      <c r="K148" s="954"/>
      <c r="L148" s="954"/>
      <c r="M148" s="1076"/>
      <c r="N148" s="954"/>
      <c r="O148" s="954"/>
    </row>
    <row r="149" spans="1:15" x14ac:dyDescent="0.25">
      <c r="A149" s="14"/>
      <c r="B149" s="1395" t="str">
        <f>'Assessment Issue Scoring'!D888</f>
        <v>Format resource inventory list</v>
      </c>
      <c r="C149" s="1396"/>
      <c r="D149" s="1457"/>
      <c r="E149" s="1458"/>
      <c r="F149" s="1394" t="str">
        <f>B148</f>
        <v>Mat 07</v>
      </c>
      <c r="G149" s="1470">
        <f>'Assessment Issue Scoring'!E888</f>
        <v>0</v>
      </c>
      <c r="H149" s="1394"/>
      <c r="I149" s="14"/>
      <c r="J149" s="14"/>
      <c r="K149" s="1073"/>
      <c r="L149" s="1073"/>
      <c r="M149" s="1073"/>
      <c r="N149" s="1074"/>
      <c r="O149" s="1073"/>
    </row>
    <row r="150" spans="1:15" x14ac:dyDescent="0.25">
      <c r="A150" s="14"/>
      <c r="B150" s="14"/>
      <c r="C150" s="14"/>
      <c r="D150" s="14"/>
      <c r="E150" s="14"/>
      <c r="F150" s="14"/>
      <c r="G150" s="14"/>
      <c r="H150" s="14"/>
      <c r="I150" s="14"/>
      <c r="J150" s="14"/>
    </row>
    <row r="151" spans="1:15" ht="18.75" x14ac:dyDescent="0.3">
      <c r="A151" s="14"/>
      <c r="B151" s="1449"/>
      <c r="C151" s="1"/>
      <c r="D151" s="1"/>
      <c r="E151" s="1"/>
      <c r="F151" s="1450" t="s">
        <v>1129</v>
      </c>
      <c r="G151" s="1451" t="str">
        <f>$G$8</f>
        <v>KPI</v>
      </c>
      <c r="H151" s="1452" t="str">
        <f>$H$8</f>
        <v>Unit</v>
      </c>
      <c r="I151" s="14"/>
      <c r="J151" s="14"/>
      <c r="K151" s="1090" t="s">
        <v>1219</v>
      </c>
      <c r="L151" s="1089" t="s">
        <v>1218</v>
      </c>
      <c r="M151" s="1088" t="s">
        <v>1217</v>
      </c>
      <c r="N151" s="1087" t="s">
        <v>1216</v>
      </c>
      <c r="O151" s="1086" t="s">
        <v>1215</v>
      </c>
    </row>
    <row r="152" spans="1:15" ht="18.75" x14ac:dyDescent="0.3">
      <c r="A152" s="14"/>
      <c r="B152" s="1453" t="s">
        <v>171</v>
      </c>
      <c r="C152" s="1454"/>
      <c r="D152" s="1454"/>
      <c r="E152" s="1454"/>
      <c r="F152" s="1454"/>
      <c r="G152" s="1455"/>
      <c r="H152" s="1456"/>
      <c r="I152" s="14"/>
      <c r="J152" s="14"/>
      <c r="K152" s="954"/>
      <c r="L152" s="954"/>
      <c r="M152" s="1076"/>
      <c r="N152" s="954"/>
      <c r="O152" s="954"/>
    </row>
    <row r="153" spans="1:15" x14ac:dyDescent="0.25">
      <c r="A153" s="14"/>
      <c r="B153" s="1395" t="str">
        <f>'Assessment Issue Scoring'!D919</f>
        <v>Number of sorted fractions</v>
      </c>
      <c r="C153" s="1396"/>
      <c r="D153" s="1457"/>
      <c r="E153" s="1458"/>
      <c r="F153" s="1394" t="str">
        <f>B152</f>
        <v>Wst 01</v>
      </c>
      <c r="G153" s="1471">
        <f>'Assessment Issue Scoring'!E919</f>
        <v>0</v>
      </c>
      <c r="H153" s="1394" t="str">
        <f>'Assessment Issue Scoring'!F919</f>
        <v>fractions</v>
      </c>
      <c r="I153" s="14"/>
      <c r="J153" s="14"/>
      <c r="K153" s="1073"/>
      <c r="L153" s="1073"/>
      <c r="M153" s="1073"/>
      <c r="N153" s="1074"/>
      <c r="O153" s="1073"/>
    </row>
    <row r="154" spans="1:15" x14ac:dyDescent="0.25">
      <c r="A154" s="14"/>
      <c r="B154" s="1395" t="str">
        <f>'Assessment Issue Scoring'!D920</f>
        <v>Projected quantity extraction of excavated masses</v>
      </c>
      <c r="C154" s="1396"/>
      <c r="D154" s="1457"/>
      <c r="E154" s="1458"/>
      <c r="F154" s="1394" t="str">
        <f t="shared" ref="F154:F158" si="9">F153</f>
        <v>Wst 01</v>
      </c>
      <c r="G154" s="1470">
        <f>'Assessment Issue Scoring'!E920</f>
        <v>0</v>
      </c>
      <c r="H154" s="1394" t="str">
        <f>'Assessment Issue Scoring'!F920</f>
        <v>tonn</v>
      </c>
      <c r="I154" s="14"/>
      <c r="J154" s="14"/>
      <c r="K154" s="1073"/>
      <c r="L154" s="1073"/>
      <c r="M154" s="1073"/>
      <c r="N154" s="1074"/>
      <c r="O154" s="1073"/>
    </row>
    <row r="155" spans="1:15" x14ac:dyDescent="0.25">
      <c r="A155" s="14"/>
      <c r="B155" s="1395" t="str">
        <f>'Assessment Issue Scoring'!D921</f>
        <v>Construction waste (not incluided demolition waste)</v>
      </c>
      <c r="C155" s="1396"/>
      <c r="D155" s="1457"/>
      <c r="E155" s="1458"/>
      <c r="F155" s="1394" t="str">
        <f t="shared" si="9"/>
        <v>Wst 01</v>
      </c>
      <c r="G155" s="1459">
        <f>'Assessment Issue Scoring'!E921</f>
        <v>0</v>
      </c>
      <c r="H155" s="1394" t="str">
        <f>'Assessment Issue Scoring'!F921</f>
        <v>kg/m2 (BRA)</v>
      </c>
      <c r="I155" s="14"/>
      <c r="J155" s="14"/>
      <c r="K155" s="1073"/>
      <c r="L155" s="1073"/>
      <c r="M155" s="1073"/>
      <c r="N155" s="1074"/>
      <c r="O155" s="1073"/>
    </row>
    <row r="156" spans="1:15" x14ac:dyDescent="0.25">
      <c r="A156" s="14"/>
      <c r="B156" s="1395" t="str">
        <f>'Assessment Issue Scoring'!D922</f>
        <v>Demolition waste</v>
      </c>
      <c r="C156" s="1396"/>
      <c r="D156" s="1457"/>
      <c r="E156" s="1458"/>
      <c r="F156" s="1394" t="str">
        <f t="shared" si="9"/>
        <v>Wst 01</v>
      </c>
      <c r="G156" s="1459">
        <f>'Assessment Issue Scoring'!E922</f>
        <v>0</v>
      </c>
      <c r="H156" s="1394" t="str">
        <f>'Assessment Issue Scoring'!F922</f>
        <v>kg/m2 (BRA)</v>
      </c>
      <c r="I156" s="14"/>
      <c r="J156" s="14"/>
      <c r="K156" s="1073"/>
      <c r="L156" s="1073"/>
      <c r="M156" s="1073"/>
      <c r="N156" s="1074"/>
      <c r="O156" s="1073"/>
    </row>
    <row r="157" spans="1:15" x14ac:dyDescent="0.25">
      <c r="A157" s="14"/>
      <c r="B157" s="1395" t="str">
        <f>'Assessment Issue Scoring'!D923</f>
        <v>Percentage sorted</v>
      </c>
      <c r="C157" s="1396"/>
      <c r="D157" s="1457"/>
      <c r="E157" s="1458"/>
      <c r="F157" s="1394" t="str">
        <f t="shared" si="9"/>
        <v>Wst 01</v>
      </c>
      <c r="G157" s="1467">
        <f>'Assessment Issue Scoring'!E923</f>
        <v>0</v>
      </c>
      <c r="H157" s="1394" t="str">
        <f>'Assessment Issue Scoring'!F923</f>
        <v>%</v>
      </c>
      <c r="I157" s="14"/>
      <c r="J157" s="14"/>
      <c r="K157" s="1073"/>
      <c r="L157" s="1073"/>
      <c r="M157" s="1073"/>
      <c r="N157" s="1074"/>
      <c r="O157" s="1073"/>
    </row>
    <row r="158" spans="1:15" x14ac:dyDescent="0.25">
      <c r="A158" s="14"/>
      <c r="B158" s="1395" t="str">
        <f>'Assessment Issue Scoring'!D924</f>
        <v>Construction waste and demolition waste: percentage ready for re-use or recycling of materials</v>
      </c>
      <c r="C158" s="1396"/>
      <c r="D158" s="1457"/>
      <c r="E158" s="1458"/>
      <c r="F158" s="1394" t="str">
        <f t="shared" si="9"/>
        <v>Wst 01</v>
      </c>
      <c r="G158" s="1467">
        <f>'Assessment Issue Scoring'!E924</f>
        <v>0</v>
      </c>
      <c r="H158" s="1394" t="str">
        <f>'Assessment Issue Scoring'!F924</f>
        <v>%</v>
      </c>
      <c r="I158" s="14"/>
      <c r="J158" s="14"/>
      <c r="K158" s="1073"/>
      <c r="L158" s="1073"/>
      <c r="M158" s="1073"/>
      <c r="N158" s="1074"/>
      <c r="O158" s="1073"/>
    </row>
    <row r="159" spans="1:15" x14ac:dyDescent="0.25">
      <c r="A159" s="14"/>
      <c r="B159" s="14"/>
      <c r="C159" s="14"/>
      <c r="D159" s="14"/>
      <c r="E159" s="14"/>
      <c r="F159" s="14"/>
      <c r="G159" s="14"/>
      <c r="H159" s="14"/>
      <c r="I159" s="14"/>
      <c r="J159" s="14"/>
    </row>
    <row r="160" spans="1:15" ht="18.75" x14ac:dyDescent="0.3">
      <c r="A160" s="14"/>
      <c r="B160" s="1449"/>
      <c r="C160" s="1"/>
      <c r="D160" s="1"/>
      <c r="E160" s="1"/>
      <c r="F160" s="1450" t="s">
        <v>1129</v>
      </c>
      <c r="G160" s="1451" t="str">
        <f>$G$8</f>
        <v>KPI</v>
      </c>
      <c r="H160" s="1452" t="str">
        <f>$H$8</f>
        <v>Unit</v>
      </c>
      <c r="I160" s="14"/>
      <c r="J160" s="14"/>
      <c r="K160" s="1090" t="s">
        <v>1219</v>
      </c>
      <c r="L160" s="1089" t="s">
        <v>1218</v>
      </c>
      <c r="M160" s="1088" t="s">
        <v>1217</v>
      </c>
      <c r="N160" s="1087" t="s">
        <v>1216</v>
      </c>
      <c r="O160" s="1086" t="s">
        <v>1215</v>
      </c>
    </row>
    <row r="161" spans="1:15" ht="18.75" x14ac:dyDescent="0.3">
      <c r="A161" s="14"/>
      <c r="B161" s="1453" t="s">
        <v>174</v>
      </c>
      <c r="C161" s="1454"/>
      <c r="D161" s="1454"/>
      <c r="E161" s="1454"/>
      <c r="F161" s="1454"/>
      <c r="G161" s="1455"/>
      <c r="H161" s="1456"/>
      <c r="I161" s="14"/>
      <c r="J161" s="14"/>
      <c r="K161" s="954"/>
      <c r="L161" s="954"/>
      <c r="M161" s="1076"/>
      <c r="N161" s="954"/>
      <c r="O161" s="954"/>
    </row>
    <row r="162" spans="1:15" x14ac:dyDescent="0.25">
      <c r="A162" s="14"/>
      <c r="B162" s="1395" t="str">
        <f>'Assessment Issue Scoring'!D990</f>
        <v>Percentage of proposed development footprint on previously developed land</v>
      </c>
      <c r="C162" s="1396"/>
      <c r="D162" s="1457"/>
      <c r="E162" s="1458"/>
      <c r="F162" s="1394" t="str">
        <f>B161</f>
        <v>LE 01</v>
      </c>
      <c r="G162" s="1465" t="str">
        <f>'Assessment Issue Scoring'!E990</f>
        <v>Select %</v>
      </c>
      <c r="H162" s="1472"/>
      <c r="I162" s="14"/>
      <c r="J162" s="14"/>
      <c r="K162" s="1073"/>
      <c r="L162" s="1073"/>
      <c r="M162" s="1073"/>
      <c r="N162" s="1074"/>
      <c r="O162" s="1073"/>
    </row>
    <row r="163" spans="1:15" x14ac:dyDescent="0.25">
      <c r="A163" s="14"/>
      <c r="B163" s="14"/>
      <c r="C163" s="14"/>
      <c r="D163" s="14"/>
      <c r="E163" s="14"/>
      <c r="F163" s="14"/>
      <c r="G163" s="14"/>
      <c r="H163" s="14"/>
      <c r="I163" s="14"/>
      <c r="J163" s="14"/>
    </row>
    <row r="164" spans="1:15" ht="18.75" x14ac:dyDescent="0.3">
      <c r="A164" s="14"/>
      <c r="B164" s="1449"/>
      <c r="C164" s="1"/>
      <c r="D164" s="1"/>
      <c r="E164" s="1"/>
      <c r="F164" s="1450" t="s">
        <v>1129</v>
      </c>
      <c r="G164" s="1451" t="str">
        <f>$G$8</f>
        <v>KPI</v>
      </c>
      <c r="H164" s="1452" t="str">
        <f>$H$8</f>
        <v>Unit</v>
      </c>
      <c r="I164" s="14"/>
      <c r="J164" s="14"/>
      <c r="K164" s="1090" t="s">
        <v>1219</v>
      </c>
      <c r="L164" s="1089" t="s">
        <v>1218</v>
      </c>
      <c r="M164" s="1088" t="s">
        <v>1217</v>
      </c>
      <c r="N164" s="1087" t="s">
        <v>1216</v>
      </c>
      <c r="O164" s="1086" t="s">
        <v>1215</v>
      </c>
    </row>
    <row r="165" spans="1:15" ht="18.75" x14ac:dyDescent="0.3">
      <c r="A165" s="14"/>
      <c r="B165" s="1453" t="s">
        <v>459</v>
      </c>
      <c r="C165" s="1454"/>
      <c r="D165" s="1454"/>
      <c r="E165" s="1454"/>
      <c r="F165" s="1454"/>
      <c r="G165" s="1455"/>
      <c r="H165" s="1456"/>
      <c r="I165" s="14"/>
      <c r="J165" s="14"/>
      <c r="K165" s="954"/>
      <c r="L165" s="954"/>
      <c r="M165" s="1076"/>
      <c r="N165" s="954"/>
      <c r="O165" s="954"/>
    </row>
    <row r="166" spans="1:15" x14ac:dyDescent="0.25">
      <c r="A166" s="14"/>
      <c r="B166" s="1395" t="s">
        <v>657</v>
      </c>
      <c r="C166" s="1396"/>
      <c r="D166" s="1457"/>
      <c r="E166" s="1458"/>
      <c r="F166" s="1394" t="str">
        <f>B165</f>
        <v>LE 03</v>
      </c>
      <c r="G166" s="1465" t="str">
        <f>'Assessment Issue Scoring'!E1046</f>
        <v>Please select</v>
      </c>
      <c r="H166" s="1472"/>
      <c r="I166" s="14"/>
      <c r="J166" s="14"/>
      <c r="K166" s="1073"/>
      <c r="L166" s="1073"/>
      <c r="M166" s="1073"/>
      <c r="N166" s="1074"/>
      <c r="O166" s="1073"/>
    </row>
    <row r="167" spans="1:15" x14ac:dyDescent="0.25">
      <c r="A167" s="14"/>
      <c r="B167" s="14"/>
      <c r="C167" s="14"/>
      <c r="D167" s="14"/>
      <c r="E167" s="14"/>
      <c r="F167" s="14"/>
      <c r="G167" s="14"/>
      <c r="H167" s="14"/>
      <c r="I167" s="14"/>
      <c r="J167" s="14"/>
    </row>
    <row r="168" spans="1:15" ht="18.75" x14ac:dyDescent="0.3">
      <c r="A168" s="14"/>
      <c r="B168" s="1449"/>
      <c r="C168" s="1"/>
      <c r="D168" s="1"/>
      <c r="E168" s="1"/>
      <c r="F168" s="1450" t="s">
        <v>1129</v>
      </c>
      <c r="G168" s="1451" t="str">
        <f>$G$8</f>
        <v>KPI</v>
      </c>
      <c r="H168" s="1452" t="str">
        <f>$H$8</f>
        <v>Unit</v>
      </c>
      <c r="I168" s="14"/>
      <c r="J168" s="14"/>
      <c r="K168" s="1090" t="s">
        <v>1219</v>
      </c>
      <c r="L168" s="1089" t="s">
        <v>1218</v>
      </c>
      <c r="M168" s="1088" t="s">
        <v>1217</v>
      </c>
      <c r="N168" s="1087" t="s">
        <v>1216</v>
      </c>
      <c r="O168" s="1086" t="s">
        <v>1215</v>
      </c>
    </row>
    <row r="169" spans="1:15" ht="18.75" x14ac:dyDescent="0.3">
      <c r="A169" s="14"/>
      <c r="B169" s="1453" t="s">
        <v>176</v>
      </c>
      <c r="C169" s="1454"/>
      <c r="D169" s="1454"/>
      <c r="E169" s="1454"/>
      <c r="F169" s="1454"/>
      <c r="G169" s="1455"/>
      <c r="H169" s="1456"/>
      <c r="I169" s="14"/>
      <c r="J169" s="14"/>
      <c r="K169" s="954"/>
      <c r="L169" s="954"/>
      <c r="M169" s="1076"/>
      <c r="N169" s="954"/>
      <c r="O169" s="954"/>
    </row>
    <row r="170" spans="1:15" x14ac:dyDescent="0.25">
      <c r="A170" s="14"/>
      <c r="B170" s="1395" t="str">
        <f>'Assessment Issue Scoring'!D1077</f>
        <v>Net gain of biodiversity</v>
      </c>
      <c r="C170" s="1396"/>
      <c r="D170" s="1457"/>
      <c r="E170" s="1458"/>
      <c r="F170" s="1394" t="str">
        <f>B169</f>
        <v>LE 04</v>
      </c>
      <c r="G170" s="1469">
        <f>'Assessment Issue Scoring'!E1077</f>
        <v>0</v>
      </c>
      <c r="H170" s="1394" t="str">
        <f>'Assessment Issue Scoring'!F1077</f>
        <v>%</v>
      </c>
      <c r="I170" s="14"/>
      <c r="J170" s="14"/>
      <c r="K170" s="1073"/>
      <c r="L170" s="1073"/>
      <c r="M170" s="1073"/>
      <c r="N170" s="1074"/>
      <c r="O170" s="1073"/>
    </row>
    <row r="171" spans="1:15" x14ac:dyDescent="0.25">
      <c r="A171" s="14"/>
      <c r="B171" s="14"/>
      <c r="C171" s="14"/>
      <c r="D171" s="14"/>
      <c r="E171" s="14"/>
      <c r="F171" s="14"/>
      <c r="G171" s="14"/>
      <c r="H171" s="14"/>
      <c r="I171" s="14"/>
      <c r="J171" s="14"/>
    </row>
    <row r="172" spans="1:15" ht="18.75" x14ac:dyDescent="0.3">
      <c r="A172" s="14"/>
      <c r="B172" s="1449"/>
      <c r="C172" s="1"/>
      <c r="D172" s="1"/>
      <c r="E172" s="1"/>
      <c r="F172" s="1450" t="s">
        <v>1129</v>
      </c>
      <c r="G172" s="1451" t="str">
        <f>$G$8</f>
        <v>KPI</v>
      </c>
      <c r="H172" s="1452" t="str">
        <f>$H$8</f>
        <v>Unit</v>
      </c>
      <c r="I172" s="14"/>
      <c r="J172" s="14"/>
      <c r="K172" s="1090" t="s">
        <v>1219</v>
      </c>
      <c r="L172" s="1089" t="s">
        <v>1218</v>
      </c>
      <c r="M172" s="1088" t="s">
        <v>1217</v>
      </c>
      <c r="N172" s="1087" t="s">
        <v>1216</v>
      </c>
      <c r="O172" s="1086" t="s">
        <v>1215</v>
      </c>
    </row>
    <row r="173" spans="1:15" ht="18.75" x14ac:dyDescent="0.3">
      <c r="A173" s="14"/>
      <c r="B173" s="1453" t="s">
        <v>461</v>
      </c>
      <c r="C173" s="1454"/>
      <c r="D173" s="1454"/>
      <c r="E173" s="1454"/>
      <c r="F173" s="1454"/>
      <c r="G173" s="1455"/>
      <c r="H173" s="1456"/>
      <c r="I173" s="14"/>
      <c r="J173" s="14"/>
      <c r="K173" s="954"/>
      <c r="L173" s="954"/>
      <c r="M173" s="1076"/>
      <c r="N173" s="954"/>
      <c r="O173" s="954"/>
    </row>
    <row r="174" spans="1:15" x14ac:dyDescent="0.25">
      <c r="A174" s="14"/>
      <c r="B174" s="1395" t="str">
        <f>'Assessment Issue Scoring'!D1187</f>
        <v>Maximum run-off (L/sek) for property withput development</v>
      </c>
      <c r="C174" s="1396"/>
      <c r="D174" s="1457"/>
      <c r="E174" s="1458"/>
      <c r="F174" s="1394" t="str">
        <f>B173</f>
        <v>LE 08</v>
      </c>
      <c r="G174" s="1469">
        <f>'Assessment Issue Scoring'!E1187</f>
        <v>0</v>
      </c>
      <c r="H174" s="1394" t="str">
        <f>'Assessment Issue Scoring'!F1187</f>
        <v>L/sek</v>
      </c>
      <c r="I174" s="14"/>
      <c r="J174" s="14"/>
      <c r="K174" s="1073"/>
      <c r="L174" s="1073"/>
      <c r="M174" s="1073"/>
      <c r="N174" s="1074"/>
      <c r="O174" s="1073"/>
    </row>
    <row r="175" spans="1:15" x14ac:dyDescent="0.25">
      <c r="A175" s="14"/>
      <c r="B175" s="1395" t="str">
        <f>'Assessment Issue Scoring'!D1188</f>
        <v xml:space="preserve">Maximum run-off (L/sek) for developed property </v>
      </c>
      <c r="C175" s="1396"/>
      <c r="D175" s="1457"/>
      <c r="E175" s="1458"/>
      <c r="F175" s="1394" t="str">
        <f t="shared" ref="F175:F179" si="10">F174</f>
        <v>LE 08</v>
      </c>
      <c r="G175" s="1459">
        <f>'Assessment Issue Scoring'!E1188</f>
        <v>0</v>
      </c>
      <c r="H175" s="1394" t="str">
        <f>'Assessment Issue Scoring'!F1188</f>
        <v>L/sek</v>
      </c>
      <c r="I175" s="14"/>
      <c r="J175" s="14"/>
      <c r="K175" s="1073"/>
      <c r="L175" s="1073"/>
      <c r="M175" s="1073"/>
      <c r="N175" s="1074"/>
      <c r="O175" s="1073"/>
    </row>
    <row r="176" spans="1:15" x14ac:dyDescent="0.25">
      <c r="A176" s="14"/>
      <c r="B176" s="1395" t="str">
        <f>'Assessment Issue Scoring'!D1189</f>
        <v>Maximum run-off (L/sek) for developed property in the future (RCP 8,5)</v>
      </c>
      <c r="C176" s="1396"/>
      <c r="D176" s="1457"/>
      <c r="E176" s="1458"/>
      <c r="F176" s="1394" t="str">
        <f t="shared" si="10"/>
        <v>LE 08</v>
      </c>
      <c r="G176" s="1459">
        <f>'Assessment Issue Scoring'!E1189</f>
        <v>0</v>
      </c>
      <c r="H176" s="1394" t="str">
        <f>'Assessment Issue Scoring'!F1189</f>
        <v>L/sek</v>
      </c>
      <c r="I176" s="14"/>
      <c r="J176" s="14"/>
      <c r="K176" s="1073"/>
      <c r="L176" s="1073"/>
      <c r="M176" s="1073"/>
      <c r="N176" s="1074"/>
      <c r="O176" s="1073"/>
    </row>
    <row r="177" spans="1:15" x14ac:dyDescent="0.25">
      <c r="A177" s="14"/>
      <c r="B177" s="1395" t="str">
        <f>'Assessment Issue Scoring'!D1190</f>
        <v>Measures for surface-based water management: Carried out measure 1</v>
      </c>
      <c r="C177" s="1396"/>
      <c r="D177" s="1457"/>
      <c r="E177" s="1458"/>
      <c r="F177" s="1394" t="str">
        <f t="shared" si="10"/>
        <v>LE 08</v>
      </c>
      <c r="G177" s="1459" t="str">
        <f>'Assessment Issue Scoring'!E1190</f>
        <v>Please select</v>
      </c>
      <c r="H177" s="1394"/>
      <c r="I177" s="14"/>
      <c r="J177" s="14"/>
      <c r="K177" s="1073"/>
      <c r="L177" s="1073"/>
      <c r="M177" s="1073"/>
      <c r="N177" s="1074"/>
      <c r="O177" s="1073"/>
    </row>
    <row r="178" spans="1:15" x14ac:dyDescent="0.25">
      <c r="A178" s="14"/>
      <c r="B178" s="1395" t="str">
        <f>'Assessment Issue Scoring'!D1191</f>
        <v>Measures for surface-based water management: Carried out measure 2</v>
      </c>
      <c r="C178" s="1396"/>
      <c r="D178" s="1457"/>
      <c r="E178" s="1458"/>
      <c r="F178" s="1394" t="str">
        <f t="shared" si="10"/>
        <v>LE 08</v>
      </c>
      <c r="G178" s="1459" t="str">
        <f>'Assessment Issue Scoring'!E1191</f>
        <v>Please select</v>
      </c>
      <c r="H178" s="1394"/>
      <c r="I178" s="14"/>
      <c r="J178" s="14"/>
      <c r="K178" s="1073"/>
      <c r="L178" s="1073"/>
      <c r="M178" s="1073"/>
      <c r="N178" s="1074"/>
      <c r="O178" s="1073"/>
    </row>
    <row r="179" spans="1:15" x14ac:dyDescent="0.25">
      <c r="A179" s="14"/>
      <c r="B179" s="1395" t="str">
        <f>'Assessment Issue Scoring'!D1192</f>
        <v>Exemplary level credit: Carried out measure</v>
      </c>
      <c r="C179" s="1396"/>
      <c r="D179" s="1457"/>
      <c r="E179" s="1458"/>
      <c r="F179" s="1394" t="str">
        <f t="shared" si="10"/>
        <v>LE 08</v>
      </c>
      <c r="G179" s="1459" t="str">
        <f>'Assessment Issue Scoring'!E1192</f>
        <v>Please select</v>
      </c>
      <c r="H179" s="1394"/>
      <c r="I179" s="14"/>
      <c r="J179" s="14"/>
      <c r="K179" s="1073"/>
      <c r="L179" s="1073"/>
      <c r="M179" s="1073"/>
      <c r="N179" s="1074"/>
      <c r="O179" s="1073"/>
    </row>
    <row r="180" spans="1:15" x14ac:dyDescent="0.25">
      <c r="A180" s="14"/>
      <c r="B180" s="14"/>
      <c r="C180" s="14"/>
      <c r="D180" s="14"/>
      <c r="E180" s="14"/>
      <c r="F180" s="14"/>
      <c r="G180" s="14"/>
      <c r="H180" s="14"/>
      <c r="I180" s="14"/>
      <c r="J180" s="14"/>
    </row>
    <row r="181" spans="1:15" ht="18.75" x14ac:dyDescent="0.3">
      <c r="A181" s="14"/>
      <c r="B181" s="1449"/>
      <c r="C181" s="1"/>
      <c r="D181" s="1"/>
      <c r="E181" s="1"/>
      <c r="F181" s="1450" t="s">
        <v>1129</v>
      </c>
      <c r="G181" s="1451" t="str">
        <f>$G$8</f>
        <v>KPI</v>
      </c>
      <c r="H181" s="1452" t="str">
        <f>$H$8</f>
        <v>Unit</v>
      </c>
      <c r="I181" s="14"/>
      <c r="J181" s="14"/>
      <c r="K181" s="1090" t="s">
        <v>1219</v>
      </c>
      <c r="L181" s="1089" t="s">
        <v>1218</v>
      </c>
      <c r="M181" s="1088" t="s">
        <v>1217</v>
      </c>
      <c r="N181" s="1087" t="s">
        <v>1216</v>
      </c>
      <c r="O181" s="1086" t="s">
        <v>1215</v>
      </c>
    </row>
    <row r="182" spans="1:15" ht="18.75" x14ac:dyDescent="0.3">
      <c r="A182" s="14"/>
      <c r="B182" s="1453" t="s">
        <v>362</v>
      </c>
      <c r="C182" s="1454"/>
      <c r="D182" s="1454"/>
      <c r="E182" s="1454"/>
      <c r="F182" s="1454"/>
      <c r="G182" s="1455"/>
      <c r="H182" s="1456"/>
      <c r="I182" s="14"/>
      <c r="J182" s="14"/>
      <c r="K182" s="954"/>
      <c r="L182" s="954"/>
      <c r="M182" s="1076"/>
      <c r="N182" s="954"/>
      <c r="O182" s="954"/>
    </row>
    <row r="183" spans="1:15" x14ac:dyDescent="0.25">
      <c r="A183" s="14"/>
      <c r="B183" s="1395" t="str">
        <f>'Assessment Issue Scoring'!D1228</f>
        <v>Direct Effect Life Cycle CO2 equivalent emissions (DELC CO2 e) of refrigerants</v>
      </c>
      <c r="C183" s="1396"/>
      <c r="D183" s="1457"/>
      <c r="E183" s="1458"/>
      <c r="F183" s="1394" t="str">
        <f>B182</f>
        <v>Pol 01</v>
      </c>
      <c r="G183" s="1469">
        <f>'Assessment Issue Scoring'!E1228</f>
        <v>0</v>
      </c>
      <c r="H183" s="1394" t="str">
        <f>'Assessment Issue Scoring'!F1228</f>
        <v>kg CO2 e/kW cooling capacity</v>
      </c>
      <c r="I183" s="14"/>
      <c r="J183" s="14"/>
      <c r="K183" s="1073"/>
      <c r="L183" s="1073"/>
      <c r="M183" s="1073"/>
      <c r="N183" s="1074"/>
      <c r="O183" s="1073"/>
    </row>
    <row r="184" spans="1:15" x14ac:dyDescent="0.25">
      <c r="A184" s="14"/>
      <c r="B184" s="1395" t="str">
        <f>'Assessment Issue Scoring'!D1229</f>
        <v>Cooling/Heating capacity of the system</v>
      </c>
      <c r="C184" s="1396"/>
      <c r="D184" s="1457"/>
      <c r="E184" s="1458"/>
      <c r="F184" s="1394" t="str">
        <f t="shared" ref="F184" si="11">F183</f>
        <v>Pol 01</v>
      </c>
      <c r="G184" s="1469">
        <f>'Assessment Issue Scoring'!E1229</f>
        <v>0</v>
      </c>
      <c r="H184" s="1394" t="str">
        <f>'Assessment Issue Scoring'!F1229</f>
        <v>kW</v>
      </c>
      <c r="I184" s="14"/>
      <c r="J184" s="14"/>
      <c r="K184" s="1073"/>
      <c r="L184" s="1073"/>
      <c r="M184" s="1073"/>
      <c r="N184" s="1074"/>
      <c r="O184" s="1073"/>
    </row>
    <row r="185" spans="1:15" x14ac:dyDescent="0.25">
      <c r="A185" s="14"/>
      <c r="B185" s="14"/>
      <c r="C185" s="14"/>
      <c r="D185" s="14"/>
      <c r="E185" s="14"/>
      <c r="F185" s="14"/>
      <c r="G185" s="14"/>
      <c r="H185" s="14"/>
      <c r="I185" s="14"/>
      <c r="J185" s="14"/>
    </row>
    <row r="186" spans="1:15" ht="18.75" x14ac:dyDescent="0.3">
      <c r="A186" s="14"/>
      <c r="B186" s="1449"/>
      <c r="C186" s="1"/>
      <c r="D186" s="1"/>
      <c r="E186" s="1"/>
      <c r="F186" s="1450" t="s">
        <v>1129</v>
      </c>
      <c r="G186" s="1451" t="str">
        <f>$G$8</f>
        <v>KPI</v>
      </c>
      <c r="H186" s="1452" t="str">
        <f>$H$8</f>
        <v>Unit</v>
      </c>
      <c r="I186" s="14"/>
      <c r="J186" s="14"/>
      <c r="K186" s="1090" t="s">
        <v>1219</v>
      </c>
      <c r="L186" s="1089" t="s">
        <v>1218</v>
      </c>
      <c r="M186" s="1088" t="s">
        <v>1217</v>
      </c>
      <c r="N186" s="1087" t="s">
        <v>1216</v>
      </c>
      <c r="O186" s="1086" t="s">
        <v>1215</v>
      </c>
    </row>
    <row r="187" spans="1:15" ht="18.75" x14ac:dyDescent="0.3">
      <c r="A187" s="14"/>
      <c r="B187" s="1453" t="s">
        <v>364</v>
      </c>
      <c r="C187" s="1454"/>
      <c r="D187" s="1454"/>
      <c r="E187" s="1454"/>
      <c r="F187" s="1454"/>
      <c r="G187" s="1455"/>
      <c r="H187" s="1456"/>
      <c r="I187" s="14"/>
      <c r="J187" s="14"/>
      <c r="K187" s="954"/>
      <c r="L187" s="954"/>
      <c r="M187" s="1076"/>
      <c r="N187" s="954"/>
      <c r="O187" s="954"/>
    </row>
    <row r="188" spans="1:15" x14ac:dyDescent="0.25">
      <c r="A188" s="14"/>
      <c r="B188" s="1395" t="str">
        <f>'Assessment Issue Scoring'!D1253</f>
        <v>Dry NOx emission level - space heating</v>
      </c>
      <c r="C188" s="1396"/>
      <c r="D188" s="1457"/>
      <c r="E188" s="1458"/>
      <c r="F188" s="1394" t="str">
        <f>'Assessment Issue Scoring'!C1244</f>
        <v>POL 02</v>
      </c>
      <c r="G188" s="1459">
        <f>'Assessment Issue Scoring'!E1253</f>
        <v>0</v>
      </c>
      <c r="H188" s="1394" t="str">
        <f>'Assessment Issue Scoring'!F1253</f>
        <v>mg/kWh</v>
      </c>
      <c r="I188" s="14"/>
      <c r="J188" s="14"/>
      <c r="K188" s="1073"/>
      <c r="L188" s="1073"/>
      <c r="M188" s="1073"/>
      <c r="N188" s="1074"/>
      <c r="O188" s="1073"/>
    </row>
    <row r="189" spans="1:15" x14ac:dyDescent="0.25">
      <c r="A189" s="14"/>
      <c r="B189" s="1395" t="str">
        <f>'Assessment Issue Scoring'!D1254</f>
        <v>Dry NOx emission level - ventilation heating</v>
      </c>
      <c r="C189" s="1396"/>
      <c r="D189" s="1457"/>
      <c r="E189" s="1458"/>
      <c r="F189" s="1394" t="str">
        <f t="shared" ref="F189:F195" si="12">F188</f>
        <v>POL 02</v>
      </c>
      <c r="G189" s="1459">
        <f>'Assessment Issue Scoring'!E1254</f>
        <v>0</v>
      </c>
      <c r="H189" s="1394" t="str">
        <f>'Assessment Issue Scoring'!F1254</f>
        <v>mg/kWh</v>
      </c>
      <c r="I189" s="14"/>
      <c r="J189" s="14"/>
      <c r="K189" s="1073"/>
      <c r="L189" s="1073"/>
      <c r="M189" s="1073"/>
      <c r="N189" s="1074"/>
      <c r="O189" s="1073"/>
    </row>
    <row r="190" spans="1:15" x14ac:dyDescent="0.25">
      <c r="A190" s="14"/>
      <c r="B190" s="1395" t="str">
        <f>'Assessment Issue Scoring'!D1255</f>
        <v>Dry NOx emission level - water heating</v>
      </c>
      <c r="C190" s="1396"/>
      <c r="D190" s="1457"/>
      <c r="E190" s="1458"/>
      <c r="F190" s="1394" t="str">
        <f t="shared" si="12"/>
        <v>POL 02</v>
      </c>
      <c r="G190" s="1459">
        <f>'Assessment Issue Scoring'!E1255</f>
        <v>0</v>
      </c>
      <c r="H190" s="1394" t="str">
        <f>'Assessment Issue Scoring'!F1255</f>
        <v>mg/kWh</v>
      </c>
      <c r="I190" s="14"/>
      <c r="J190" s="14"/>
      <c r="K190" s="1073"/>
      <c r="L190" s="1073"/>
      <c r="M190" s="1073"/>
      <c r="N190" s="1074"/>
      <c r="O190" s="1073"/>
    </row>
    <row r="191" spans="1:15" x14ac:dyDescent="0.25">
      <c r="A191" s="14"/>
      <c r="B191" s="1395" t="str">
        <f>'Assessment Issue Scoring'!D1256</f>
        <v>Particulate matter (PM10) for appliances using biomass, solid fuel and wood pellets</v>
      </c>
      <c r="C191" s="1396"/>
      <c r="D191" s="1457"/>
      <c r="E191" s="1458"/>
      <c r="F191" s="1394" t="str">
        <f t="shared" si="12"/>
        <v>POL 02</v>
      </c>
      <c r="G191" s="1459">
        <f>'Assessment Issue Scoring'!E1256</f>
        <v>0</v>
      </c>
      <c r="H191" s="1394" t="str">
        <f>'Assessment Issue Scoring'!F1256</f>
        <v>mg/m3</v>
      </c>
      <c r="I191" s="14"/>
      <c r="J191" s="14"/>
      <c r="K191" s="1073"/>
      <c r="L191" s="1073"/>
      <c r="M191" s="1073"/>
      <c r="N191" s="1074"/>
      <c r="O191" s="1073"/>
    </row>
    <row r="192" spans="1:15" x14ac:dyDescent="0.25">
      <c r="A192" s="14"/>
      <c r="B192" s="1395" t="str">
        <f>'Assessment Issue Scoring'!D1257</f>
        <v>Volatile organic compound emissions (VOC) for appliances using biomass, solid fuel and wood pellets</v>
      </c>
      <c r="C192" s="1396"/>
      <c r="D192" s="1457"/>
      <c r="E192" s="1458"/>
      <c r="F192" s="1394" t="str">
        <f t="shared" si="12"/>
        <v>POL 02</v>
      </c>
      <c r="G192" s="1459">
        <f>'Assessment Issue Scoring'!E1257</f>
        <v>0</v>
      </c>
      <c r="H192" s="1394" t="str">
        <f>'Assessment Issue Scoring'!F1257</f>
        <v>mg/m3</v>
      </c>
      <c r="I192" s="14"/>
      <c r="J192" s="14"/>
      <c r="K192" s="1073"/>
      <c r="L192" s="1073"/>
      <c r="M192" s="1073"/>
      <c r="N192" s="1074"/>
      <c r="O192" s="1073"/>
    </row>
    <row r="193" spans="1:15" x14ac:dyDescent="0.25">
      <c r="A193" s="14"/>
      <c r="B193" s="1395" t="str">
        <f>'Assessment Issue Scoring'!D1258</f>
        <v>Energy consumption - space heating</v>
      </c>
      <c r="C193" s="1396"/>
      <c r="D193" s="1457"/>
      <c r="E193" s="1458"/>
      <c r="F193" s="1394" t="str">
        <f t="shared" si="12"/>
        <v>POL 02</v>
      </c>
      <c r="G193" s="1459">
        <f>'Assessment Issue Scoring'!E1258</f>
        <v>0</v>
      </c>
      <c r="H193" s="1394" t="str">
        <f>'Assessment Issue Scoring'!F1258</f>
        <v>kWh/m2yr</v>
      </c>
      <c r="I193" s="14"/>
      <c r="J193" s="14"/>
      <c r="K193" s="1073"/>
      <c r="L193" s="1073"/>
      <c r="M193" s="1073"/>
      <c r="N193" s="1074"/>
      <c r="O193" s="1073"/>
    </row>
    <row r="194" spans="1:15" x14ac:dyDescent="0.25">
      <c r="A194" s="14"/>
      <c r="B194" s="1395" t="str">
        <f>'Assessment Issue Scoring'!D1259</f>
        <v>Energy consumption - cooling</v>
      </c>
      <c r="C194" s="1396"/>
      <c r="D194" s="1457"/>
      <c r="E194" s="1458"/>
      <c r="F194" s="1394" t="str">
        <f t="shared" si="12"/>
        <v>POL 02</v>
      </c>
      <c r="G194" s="1459">
        <f>'Assessment Issue Scoring'!E1259</f>
        <v>0</v>
      </c>
      <c r="H194" s="1394" t="str">
        <f>'Assessment Issue Scoring'!F1259</f>
        <v>kWh/m2yr</v>
      </c>
      <c r="I194" s="14"/>
      <c r="J194" s="14"/>
      <c r="K194" s="1073"/>
      <c r="L194" s="1073"/>
      <c r="M194" s="1073"/>
      <c r="N194" s="1074"/>
      <c r="O194" s="1073"/>
    </row>
    <row r="195" spans="1:15" x14ac:dyDescent="0.25">
      <c r="A195" s="14"/>
      <c r="B195" s="1395" t="str">
        <f>'Assessment Issue Scoring'!D1260</f>
        <v>Energy consumption - hot water</v>
      </c>
      <c r="C195" s="1396"/>
      <c r="D195" s="1457"/>
      <c r="E195" s="1458"/>
      <c r="F195" s="1394" t="str">
        <f t="shared" si="12"/>
        <v>POL 02</v>
      </c>
      <c r="G195" s="1459">
        <f>'Assessment Issue Scoring'!E1260</f>
        <v>0</v>
      </c>
      <c r="H195" s="1394" t="str">
        <f>'Assessment Issue Scoring'!F1260</f>
        <v>kWh/m2yr</v>
      </c>
      <c r="I195" s="14"/>
      <c r="J195" s="14"/>
      <c r="K195" s="1073"/>
      <c r="L195" s="1073"/>
      <c r="M195" s="1073"/>
      <c r="N195" s="1074"/>
      <c r="O195" s="1073"/>
    </row>
    <row r="196" spans="1:15" x14ac:dyDescent="0.25">
      <c r="A196" s="14"/>
      <c r="B196" s="14"/>
      <c r="C196" s="14"/>
      <c r="D196" s="14"/>
      <c r="E196" s="14"/>
      <c r="F196" s="14"/>
      <c r="G196" s="14"/>
      <c r="H196" s="14"/>
      <c r="I196" s="14"/>
      <c r="J196" s="14"/>
    </row>
    <row r="197" spans="1:15" hidden="1" x14ac:dyDescent="0.25">
      <c r="A197" s="14"/>
      <c r="B197" s="14" t="s">
        <v>1915</v>
      </c>
      <c r="C197" s="14"/>
      <c r="D197" s="14"/>
      <c r="E197" s="14"/>
      <c r="F197" s="14"/>
      <c r="G197" s="14"/>
      <c r="H197" s="14"/>
      <c r="I197" s="14"/>
      <c r="J197" s="14"/>
    </row>
    <row r="198" spans="1:15" ht="15" hidden="1" customHeight="1" x14ac:dyDescent="0.25">
      <c r="A198" s="14"/>
      <c r="B198" s="1461" t="str">
        <f>'Assessment Issue Scoring'!D360</f>
        <v>Calculated net energy demand</v>
      </c>
      <c r="C198" s="1462"/>
      <c r="D198" s="1462"/>
      <c r="E198" s="1462"/>
      <c r="F198" s="1394" t="s">
        <v>129</v>
      </c>
      <c r="G198" s="1459">
        <f>N198*AD_GIA</f>
        <v>0</v>
      </c>
      <c r="H198" s="1394" t="s">
        <v>1211</v>
      </c>
      <c r="I198" s="14"/>
      <c r="J198" s="14"/>
      <c r="K198" s="1073">
        <v>1</v>
      </c>
      <c r="L198" s="1073" t="s">
        <v>1160</v>
      </c>
      <c r="M198" s="1073" t="s">
        <v>1150</v>
      </c>
      <c r="N198" s="1074">
        <f>KPI_35</f>
        <v>0</v>
      </c>
      <c r="O198" s="1073" t="s">
        <v>1018</v>
      </c>
    </row>
    <row r="199" spans="1:15" ht="15" hidden="1" customHeight="1" x14ac:dyDescent="0.25">
      <c r="A199" s="14"/>
      <c r="B199" s="1395" t="str">
        <f>'Assessment Issue Scoring'!D367</f>
        <v>Calculated reduction of the building's net energy demand compared with the energy requirements of TEK 17</v>
      </c>
      <c r="C199" s="1396"/>
      <c r="D199" s="1396"/>
      <c r="E199" s="1396"/>
      <c r="F199" s="1394" t="s">
        <v>129</v>
      </c>
      <c r="G199" s="1459">
        <f>N198*AD_GIA</f>
        <v>0</v>
      </c>
      <c r="H199" s="1394" t="s">
        <v>1211</v>
      </c>
      <c r="I199" s="14"/>
      <c r="J199" s="14"/>
      <c r="K199" s="1073">
        <v>1</v>
      </c>
      <c r="L199" s="1073" t="s">
        <v>1160</v>
      </c>
      <c r="M199" s="1073" t="s">
        <v>1150</v>
      </c>
      <c r="N199" s="1074">
        <f>KPI_36</f>
        <v>0</v>
      </c>
      <c r="O199" s="1073" t="s">
        <v>1018</v>
      </c>
    </row>
    <row r="200" spans="1:15" ht="15" hidden="1" customHeight="1" x14ac:dyDescent="0.25">
      <c r="A200" s="14"/>
      <c r="B200" s="1395" t="str">
        <f>'Assessment Issue Scoring'!D1258</f>
        <v>Energy consumption - space heating</v>
      </c>
      <c r="C200" s="1396"/>
      <c r="D200" s="1396"/>
      <c r="E200" s="1396"/>
      <c r="F200" s="1394" t="s">
        <v>364</v>
      </c>
      <c r="G200" s="1459">
        <f>N199*AD_GIA</f>
        <v>0</v>
      </c>
      <c r="H200" s="1394" t="s">
        <v>1211</v>
      </c>
      <c r="I200" s="14"/>
      <c r="J200" s="14"/>
      <c r="K200" s="1073">
        <v>1</v>
      </c>
      <c r="L200" s="1073" t="s">
        <v>1160</v>
      </c>
      <c r="M200" s="1073" t="s">
        <v>1150</v>
      </c>
      <c r="N200" s="1074">
        <f>KPI_33</f>
        <v>0</v>
      </c>
      <c r="O200" s="1073" t="s">
        <v>1018</v>
      </c>
    </row>
    <row r="201" spans="1:15" ht="15" hidden="1" customHeight="1" x14ac:dyDescent="0.25">
      <c r="A201" s="14"/>
      <c r="B201" s="1395" t="str">
        <f>'Assessment Issue Scoring'!D1259</f>
        <v>Energy consumption - cooling</v>
      </c>
      <c r="C201" s="1396"/>
      <c r="D201" s="1396"/>
      <c r="E201" s="1396"/>
      <c r="F201" s="1394" t="s">
        <v>364</v>
      </c>
      <c r="G201" s="1459">
        <f>N200*AD_GIA</f>
        <v>0</v>
      </c>
      <c r="H201" s="1394" t="s">
        <v>1211</v>
      </c>
      <c r="I201" s="14"/>
      <c r="J201" s="14"/>
      <c r="K201" s="1073">
        <v>1</v>
      </c>
      <c r="L201" s="1073" t="s">
        <v>1160</v>
      </c>
      <c r="M201" s="1073" t="s">
        <v>1150</v>
      </c>
      <c r="N201" s="1074">
        <f>KPI_33a</f>
        <v>0</v>
      </c>
      <c r="O201" s="1073" t="s">
        <v>1018</v>
      </c>
    </row>
    <row r="202" spans="1:15" ht="15" hidden="1" customHeight="1" x14ac:dyDescent="0.25">
      <c r="A202" s="14"/>
      <c r="B202" s="1395" t="str">
        <f>'Assessment Issue Scoring'!D1260</f>
        <v>Energy consumption - hot water</v>
      </c>
      <c r="C202" s="1396"/>
      <c r="D202" s="1396"/>
      <c r="E202" s="1396"/>
      <c r="F202" s="1394" t="s">
        <v>364</v>
      </c>
      <c r="G202" s="1459">
        <f>N201*AD_GIA</f>
        <v>0</v>
      </c>
      <c r="H202" s="1394" t="s">
        <v>1211</v>
      </c>
      <c r="I202" s="14"/>
      <c r="J202" s="14"/>
      <c r="K202" s="1073">
        <v>1</v>
      </c>
      <c r="L202" s="1073" t="s">
        <v>1160</v>
      </c>
      <c r="M202" s="1073" t="s">
        <v>1150</v>
      </c>
      <c r="N202" s="1074">
        <f>KPI_33b</f>
        <v>0</v>
      </c>
      <c r="O202" s="1073" t="s">
        <v>1018</v>
      </c>
    </row>
    <row r="203" spans="1:15" ht="15" hidden="1" customHeight="1" x14ac:dyDescent="0.25">
      <c r="A203" s="14"/>
      <c r="B203" s="1473" t="s">
        <v>1212</v>
      </c>
      <c r="C203" s="1474"/>
      <c r="D203" s="1474"/>
      <c r="E203" s="1474"/>
      <c r="F203" s="1399"/>
      <c r="G203" s="1475" t="s">
        <v>1208</v>
      </c>
      <c r="H203" s="1399" t="s">
        <v>1211</v>
      </c>
      <c r="I203" s="14"/>
      <c r="J203" s="14"/>
      <c r="K203" s="1062">
        <v>2</v>
      </c>
      <c r="L203" s="1062" t="s">
        <v>1160</v>
      </c>
      <c r="M203" s="1062" t="s">
        <v>1150</v>
      </c>
      <c r="N203" s="1082" t="s">
        <v>1208</v>
      </c>
      <c r="O203" s="1062" t="s">
        <v>1018</v>
      </c>
    </row>
    <row r="204" spans="1:15" ht="15" hidden="1" customHeight="1" x14ac:dyDescent="0.25">
      <c r="A204" s="14"/>
      <c r="B204" s="1473" t="s">
        <v>1193</v>
      </c>
      <c r="C204" s="1474"/>
      <c r="D204" s="1474"/>
      <c r="E204" s="1474"/>
      <c r="F204" s="1399" t="s">
        <v>89</v>
      </c>
      <c r="G204" s="1475">
        <f>KPI_02</f>
        <v>0</v>
      </c>
      <c r="H204" s="1399" t="s">
        <v>1191</v>
      </c>
      <c r="I204" s="14"/>
      <c r="J204" s="14"/>
      <c r="K204" s="1062">
        <v>3</v>
      </c>
      <c r="L204" s="1062" t="s">
        <v>1</v>
      </c>
      <c r="M204" s="1062" t="s">
        <v>1158</v>
      </c>
      <c r="N204" s="1082"/>
      <c r="O204" s="1062" t="s">
        <v>1188</v>
      </c>
    </row>
    <row r="205" spans="1:15" ht="15" hidden="1" customHeight="1" x14ac:dyDescent="0.25">
      <c r="A205" s="14"/>
      <c r="B205" s="1473" t="s">
        <v>62</v>
      </c>
      <c r="C205" s="1474"/>
      <c r="D205" s="1474"/>
      <c r="E205" s="1474"/>
      <c r="F205" s="1399" t="s">
        <v>89</v>
      </c>
      <c r="G205" s="1475">
        <f>KPI_06+KPI_ny_19</f>
        <v>0</v>
      </c>
      <c r="H205" s="1399" t="s">
        <v>1181</v>
      </c>
      <c r="I205" s="14"/>
      <c r="J205" s="14"/>
      <c r="K205" s="1062">
        <v>4</v>
      </c>
      <c r="L205" s="1062" t="s">
        <v>1</v>
      </c>
      <c r="M205" s="1062" t="s">
        <v>1158</v>
      </c>
      <c r="N205" s="1077">
        <f>IFERROR(G205/(KPI_04+KPI_05),0)</f>
        <v>0</v>
      </c>
      <c r="O205" s="1062" t="s">
        <v>1176</v>
      </c>
    </row>
    <row r="206" spans="1:15" ht="15" hidden="1" customHeight="1" x14ac:dyDescent="0.25">
      <c r="A206" s="14"/>
      <c r="B206" s="15"/>
      <c r="C206" s="15"/>
      <c r="D206" s="15"/>
      <c r="E206" s="15"/>
      <c r="F206" s="15"/>
      <c r="G206" s="15"/>
      <c r="H206" s="15"/>
      <c r="I206" s="14"/>
      <c r="J206" s="14"/>
      <c r="K206" s="20"/>
      <c r="L206" s="20"/>
      <c r="M206" s="20"/>
      <c r="N206" s="20"/>
      <c r="O206" s="20"/>
    </row>
    <row r="207" spans="1:15" ht="18.75" hidden="1" customHeight="1" x14ac:dyDescent="0.3">
      <c r="A207" s="14"/>
      <c r="B207" s="1453" t="s">
        <v>1209</v>
      </c>
      <c r="C207" s="1454"/>
      <c r="D207" s="1454"/>
      <c r="E207" s="1454"/>
      <c r="F207" s="956"/>
      <c r="G207" s="1455"/>
      <c r="H207" s="1456"/>
      <c r="I207" s="14"/>
      <c r="J207" s="14"/>
      <c r="K207" s="954"/>
      <c r="L207" s="954"/>
      <c r="M207" s="1076"/>
      <c r="N207" s="954"/>
      <c r="O207" s="954"/>
    </row>
    <row r="208" spans="1:15" ht="15" hidden="1" customHeight="1" x14ac:dyDescent="0.25">
      <c r="A208" s="14"/>
      <c r="B208" s="1461" t="s">
        <v>1195</v>
      </c>
      <c r="C208" s="1462"/>
      <c r="D208" s="1462"/>
      <c r="E208" s="1462"/>
      <c r="F208" s="1394"/>
      <c r="G208" s="1459" t="s">
        <v>1208</v>
      </c>
      <c r="H208" s="1394" t="s">
        <v>1204</v>
      </c>
      <c r="I208" s="14"/>
      <c r="J208" s="14"/>
      <c r="K208" s="1073">
        <v>1</v>
      </c>
      <c r="L208" s="1073" t="s">
        <v>1160</v>
      </c>
      <c r="M208" s="1073" t="s">
        <v>1150</v>
      </c>
      <c r="N208" s="1074" t="s">
        <v>1208</v>
      </c>
      <c r="O208" s="1073" t="s">
        <v>1205</v>
      </c>
    </row>
    <row r="209" spans="1:15" ht="15" hidden="1" customHeight="1" x14ac:dyDescent="0.25">
      <c r="A209" s="14"/>
      <c r="B209" s="1395" t="s">
        <v>1207</v>
      </c>
      <c r="C209" s="1396"/>
      <c r="D209" s="1396"/>
      <c r="E209" s="1396"/>
      <c r="F209" s="1394" t="s">
        <v>167</v>
      </c>
      <c r="G209" s="1459">
        <f>N209*AD_GIA</f>
        <v>0</v>
      </c>
      <c r="H209" s="1394" t="s">
        <v>1204</v>
      </c>
      <c r="I209" s="14"/>
      <c r="J209" s="14"/>
      <c r="K209" s="1073">
        <v>5</v>
      </c>
      <c r="L209" s="1073" t="s">
        <v>1202</v>
      </c>
      <c r="M209" s="1073" t="s">
        <v>1150</v>
      </c>
      <c r="N209" s="1074">
        <f>KPI_27a</f>
        <v>0</v>
      </c>
      <c r="O209" s="1073" t="s">
        <v>1205</v>
      </c>
    </row>
    <row r="210" spans="1:15" ht="15" hidden="1" customHeight="1" x14ac:dyDescent="0.25">
      <c r="A210" s="14"/>
      <c r="B210" s="1473" t="s">
        <v>1206</v>
      </c>
      <c r="C210" s="1474"/>
      <c r="D210" s="1474"/>
      <c r="E210" s="1474"/>
      <c r="F210" s="1399" t="s">
        <v>167</v>
      </c>
      <c r="G210" s="1475" t="e">
        <f>N210*AD_GIA</f>
        <v>#NAME?</v>
      </c>
      <c r="H210" s="1399" t="s">
        <v>1204</v>
      </c>
      <c r="I210" s="14"/>
      <c r="J210" s="14"/>
      <c r="K210" s="1062">
        <v>5</v>
      </c>
      <c r="L210" s="1062" t="s">
        <v>1202</v>
      </c>
      <c r="M210" s="1062" t="s">
        <v>1150</v>
      </c>
      <c r="N210" s="1077" t="e">
        <f>KPI_27b</f>
        <v>#NAME?</v>
      </c>
      <c r="O210" s="1062" t="s">
        <v>1205</v>
      </c>
    </row>
    <row r="211" spans="1:15" ht="15" hidden="1" customHeight="1" x14ac:dyDescent="0.25">
      <c r="A211" s="14"/>
      <c r="B211" s="1473" t="s">
        <v>1203</v>
      </c>
      <c r="C211" s="1474"/>
      <c r="D211" s="1474"/>
      <c r="E211" s="1474"/>
      <c r="F211" s="1399" t="s">
        <v>167</v>
      </c>
      <c r="G211" s="1476"/>
      <c r="H211" s="1399"/>
      <c r="I211" s="14"/>
      <c r="J211" s="14"/>
      <c r="K211" s="1062">
        <v>5</v>
      </c>
      <c r="L211" s="1062" t="s">
        <v>1202</v>
      </c>
      <c r="M211" s="1062" t="s">
        <v>1150</v>
      </c>
      <c r="N211" s="1077"/>
      <c r="O211" s="1062"/>
    </row>
    <row r="212" spans="1:15" ht="15" hidden="1" customHeight="1" x14ac:dyDescent="0.25">
      <c r="A212" s="14"/>
      <c r="B212" s="1473" t="s">
        <v>1193</v>
      </c>
      <c r="C212" s="1474"/>
      <c r="D212" s="1474"/>
      <c r="E212" s="1474"/>
      <c r="F212" s="1399" t="s">
        <v>89</v>
      </c>
      <c r="G212" s="1475">
        <f>KPI_10</f>
        <v>0</v>
      </c>
      <c r="H212" s="1399" t="s">
        <v>1167</v>
      </c>
      <c r="I212" s="14"/>
      <c r="J212" s="14"/>
      <c r="K212" s="1062">
        <v>3</v>
      </c>
      <c r="L212" s="1062" t="s">
        <v>1</v>
      </c>
      <c r="M212" s="1062" t="s">
        <v>1150</v>
      </c>
      <c r="N212" s="1077"/>
      <c r="O212" s="1062" t="s">
        <v>1200</v>
      </c>
    </row>
    <row r="213" spans="1:15" ht="15" hidden="1" customHeight="1" x14ac:dyDescent="0.25">
      <c r="A213" s="14"/>
      <c r="B213" s="1473" t="s">
        <v>62</v>
      </c>
      <c r="C213" s="1474"/>
      <c r="D213" s="1474"/>
      <c r="E213" s="1474"/>
      <c r="F213" s="1399" t="s">
        <v>89</v>
      </c>
      <c r="G213" s="1475">
        <f>KPI_12+KPI_13</f>
        <v>0</v>
      </c>
      <c r="H213" s="1399" t="s">
        <v>1167</v>
      </c>
      <c r="I213" s="14"/>
      <c r="J213" s="14"/>
      <c r="K213" s="1062">
        <v>4</v>
      </c>
      <c r="L213" s="1062" t="s">
        <v>1</v>
      </c>
      <c r="M213" s="1062" t="s">
        <v>1150</v>
      </c>
      <c r="N213" s="1077">
        <f>IFERROR(G213/(KPI_04+KPI_05),0)</f>
        <v>0</v>
      </c>
      <c r="O213" s="1062" t="s">
        <v>1163</v>
      </c>
    </row>
    <row r="214" spans="1:15" ht="15" hidden="1" customHeight="1" x14ac:dyDescent="0.25">
      <c r="A214" s="14"/>
      <c r="B214" s="1473" t="s">
        <v>1199</v>
      </c>
      <c r="C214" s="1474"/>
      <c r="D214" s="1474"/>
      <c r="E214" s="1474"/>
      <c r="F214" s="1399" t="s">
        <v>362</v>
      </c>
      <c r="G214" s="1475">
        <f>N214*KPI_34a</f>
        <v>0</v>
      </c>
      <c r="H214" s="1399" t="s">
        <v>1167</v>
      </c>
      <c r="I214" s="14"/>
      <c r="J214" s="14"/>
      <c r="K214" s="1062">
        <v>5</v>
      </c>
      <c r="L214" s="1062" t="s">
        <v>1160</v>
      </c>
      <c r="M214" s="1062" t="s">
        <v>1150</v>
      </c>
      <c r="N214" s="1077">
        <f>KPI_34</f>
        <v>0</v>
      </c>
      <c r="O214" s="1062" t="s">
        <v>1028</v>
      </c>
    </row>
    <row r="215" spans="1:15" ht="15" hidden="1" customHeight="1" x14ac:dyDescent="0.25">
      <c r="A215" s="14"/>
      <c r="B215" s="15"/>
      <c r="C215" s="15"/>
      <c r="D215" s="15"/>
      <c r="E215" s="15"/>
      <c r="F215" s="15"/>
      <c r="G215" s="15"/>
      <c r="H215" s="15"/>
      <c r="I215" s="14"/>
      <c r="J215" s="14"/>
      <c r="K215" s="20"/>
      <c r="L215" s="20"/>
      <c r="M215" s="20"/>
      <c r="N215" s="20"/>
      <c r="O215" s="20"/>
    </row>
    <row r="216" spans="1:15" ht="18.75" hidden="1" customHeight="1" x14ac:dyDescent="0.3">
      <c r="A216" s="14"/>
      <c r="B216" s="1453" t="s">
        <v>1198</v>
      </c>
      <c r="C216" s="1454"/>
      <c r="D216" s="1454"/>
      <c r="E216" s="1454"/>
      <c r="F216" s="956"/>
      <c r="G216" s="1455"/>
      <c r="H216" s="1456"/>
      <c r="I216" s="14"/>
      <c r="J216" s="14"/>
      <c r="K216" s="954"/>
      <c r="L216" s="954"/>
      <c r="M216" s="1076"/>
      <c r="N216" s="954"/>
      <c r="O216" s="954"/>
    </row>
    <row r="217" spans="1:15" ht="15" hidden="1" customHeight="1" x14ac:dyDescent="0.25">
      <c r="A217" s="14"/>
      <c r="B217" s="1395" t="s">
        <v>1025</v>
      </c>
      <c r="C217" s="1396"/>
      <c r="D217" s="1396"/>
      <c r="E217" s="1396"/>
      <c r="F217" s="1394" t="s">
        <v>364</v>
      </c>
      <c r="G217" s="1459">
        <f>N217*G200/1000</f>
        <v>0</v>
      </c>
      <c r="H217" s="1394" t="s">
        <v>1197</v>
      </c>
      <c r="I217" s="14"/>
      <c r="J217" s="14"/>
      <c r="K217" s="1073">
        <v>6</v>
      </c>
      <c r="L217" s="1073" t="s">
        <v>1160</v>
      </c>
      <c r="M217" s="1073" t="s">
        <v>1150</v>
      </c>
      <c r="N217" s="1074">
        <f>KPI_30</f>
        <v>0</v>
      </c>
      <c r="O217" s="1073" t="s">
        <v>1022</v>
      </c>
    </row>
    <row r="218" spans="1:15" ht="15" hidden="1" customHeight="1" x14ac:dyDescent="0.25">
      <c r="A218" s="14"/>
      <c r="B218" s="1473" t="s">
        <v>1024</v>
      </c>
      <c r="C218" s="1474"/>
      <c r="D218" s="1474"/>
      <c r="E218" s="1474"/>
      <c r="F218" s="1399" t="s">
        <v>364</v>
      </c>
      <c r="G218" s="1459">
        <f>N218*G201/1000</f>
        <v>0</v>
      </c>
      <c r="H218" s="1399" t="s">
        <v>1197</v>
      </c>
      <c r="I218" s="14"/>
      <c r="J218" s="14"/>
      <c r="K218" s="1062">
        <v>6</v>
      </c>
      <c r="L218" s="1062" t="s">
        <v>1160</v>
      </c>
      <c r="M218" s="1062" t="s">
        <v>1150</v>
      </c>
      <c r="N218" s="1077">
        <f>KPI_31</f>
        <v>0</v>
      </c>
      <c r="O218" s="1062" t="s">
        <v>1022</v>
      </c>
    </row>
    <row r="219" spans="1:15" ht="15" hidden="1" customHeight="1" x14ac:dyDescent="0.25">
      <c r="A219" s="14"/>
      <c r="B219" s="1473" t="s">
        <v>1023</v>
      </c>
      <c r="C219" s="1474"/>
      <c r="D219" s="1474"/>
      <c r="E219" s="1474"/>
      <c r="F219" s="1399" t="s">
        <v>364</v>
      </c>
      <c r="G219" s="1459">
        <f>N219*G202/1000</f>
        <v>0</v>
      </c>
      <c r="H219" s="1399" t="s">
        <v>1197</v>
      </c>
      <c r="I219" s="14"/>
      <c r="J219" s="14"/>
      <c r="K219" s="1062">
        <v>6</v>
      </c>
      <c r="L219" s="1062" t="s">
        <v>1160</v>
      </c>
      <c r="M219" s="1062" t="s">
        <v>1150</v>
      </c>
      <c r="N219" s="1077">
        <f>KPI_32</f>
        <v>0</v>
      </c>
      <c r="O219" s="1062" t="s">
        <v>1022</v>
      </c>
    </row>
    <row r="220" spans="1:15" ht="15" hidden="1" customHeight="1" x14ac:dyDescent="0.25">
      <c r="A220" s="14"/>
      <c r="B220" s="15"/>
      <c r="C220" s="15"/>
      <c r="D220" s="15"/>
      <c r="E220" s="15"/>
      <c r="F220" s="15"/>
      <c r="G220" s="1477"/>
      <c r="H220" s="15"/>
      <c r="I220" s="14"/>
      <c r="J220" s="14"/>
      <c r="K220" s="20"/>
      <c r="L220" s="20"/>
      <c r="M220" s="20"/>
      <c r="N220" s="1079"/>
      <c r="O220" s="20"/>
    </row>
    <row r="221" spans="1:15" ht="18.75" hidden="1" customHeight="1" x14ac:dyDescent="0.3">
      <c r="A221" s="14"/>
      <c r="B221" s="1453" t="s">
        <v>1196</v>
      </c>
      <c r="C221" s="1454"/>
      <c r="D221" s="1454"/>
      <c r="E221" s="1454"/>
      <c r="F221" s="956"/>
      <c r="G221" s="1478"/>
      <c r="H221" s="1456"/>
      <c r="I221" s="14"/>
      <c r="J221" s="14"/>
      <c r="K221" s="954"/>
      <c r="L221" s="954"/>
      <c r="M221" s="1076"/>
      <c r="N221" s="1084"/>
      <c r="O221" s="954"/>
    </row>
    <row r="222" spans="1:15" ht="15" hidden="1" customHeight="1" x14ac:dyDescent="0.25">
      <c r="A222" s="14"/>
      <c r="B222" s="1395" t="s">
        <v>1195</v>
      </c>
      <c r="C222" s="1396"/>
      <c r="D222" s="1396"/>
      <c r="E222" s="1396"/>
      <c r="F222" s="1394" t="s">
        <v>163</v>
      </c>
      <c r="G222" s="1459">
        <f>N222*KPI_23</f>
        <v>0</v>
      </c>
      <c r="H222" s="1394" t="s">
        <v>1194</v>
      </c>
      <c r="I222" s="14"/>
      <c r="J222" s="14"/>
      <c r="K222" s="1073">
        <v>7</v>
      </c>
      <c r="L222" s="1073" t="s">
        <v>1160</v>
      </c>
      <c r="M222" s="1073" t="s">
        <v>1150</v>
      </c>
      <c r="N222" s="1074">
        <f>KPI_22</f>
        <v>0</v>
      </c>
      <c r="O222" s="1073" t="s">
        <v>1071</v>
      </c>
    </row>
    <row r="223" spans="1:15" ht="15" hidden="1" customHeight="1" x14ac:dyDescent="0.25">
      <c r="A223" s="14"/>
      <c r="B223" s="1473" t="s">
        <v>1193</v>
      </c>
      <c r="C223" s="1474"/>
      <c r="D223" s="1474"/>
      <c r="E223" s="1474"/>
      <c r="F223" s="1399" t="s">
        <v>89</v>
      </c>
      <c r="G223" s="1475" t="e">
        <f>KPI_16</f>
        <v>#NAME?</v>
      </c>
      <c r="H223" s="1399" t="s">
        <v>1155</v>
      </c>
      <c r="I223" s="14"/>
      <c r="J223" s="14"/>
      <c r="K223" s="1062">
        <v>8</v>
      </c>
      <c r="L223" s="1062" t="s">
        <v>1160</v>
      </c>
      <c r="M223" s="1062" t="s">
        <v>1158</v>
      </c>
      <c r="N223" s="1077"/>
      <c r="O223" s="1062" t="s">
        <v>1153</v>
      </c>
    </row>
    <row r="224" spans="1:15" ht="15" hidden="1" customHeight="1" x14ac:dyDescent="0.25">
      <c r="A224" s="14"/>
      <c r="B224" s="15"/>
      <c r="C224" s="15"/>
      <c r="D224" s="15"/>
      <c r="E224" s="15"/>
      <c r="F224" s="15"/>
      <c r="G224" s="1477"/>
      <c r="H224" s="15"/>
      <c r="I224" s="14"/>
      <c r="J224" s="14"/>
      <c r="K224" s="20"/>
      <c r="L224" s="20"/>
      <c r="M224" s="20"/>
      <c r="N224" s="1080"/>
      <c r="O224" s="20"/>
    </row>
    <row r="225" spans="1:15" ht="18.75" hidden="1" customHeight="1" x14ac:dyDescent="0.3">
      <c r="A225" s="14"/>
      <c r="B225" s="1453" t="s">
        <v>1190</v>
      </c>
      <c r="C225" s="1454"/>
      <c r="D225" s="1454"/>
      <c r="E225" s="1454"/>
      <c r="F225" s="956"/>
      <c r="G225" s="1478"/>
      <c r="H225" s="1456"/>
      <c r="I225" s="14"/>
      <c r="J225" s="14"/>
      <c r="K225" s="954"/>
      <c r="L225" s="954"/>
      <c r="M225" s="1076"/>
      <c r="N225" s="1078"/>
      <c r="O225" s="954"/>
    </row>
    <row r="226" spans="1:15" ht="15" hidden="1" customHeight="1" x14ac:dyDescent="0.25">
      <c r="A226" s="14"/>
      <c r="B226" s="1395" t="s">
        <v>1187</v>
      </c>
      <c r="C226" s="1396"/>
      <c r="D226" s="1396"/>
      <c r="E226" s="1396"/>
      <c r="F226" s="1394" t="s">
        <v>171</v>
      </c>
      <c r="G226" s="1459">
        <f>IFERROR(N226*AD_GIA/100,0)</f>
        <v>0</v>
      </c>
      <c r="H226" s="1394"/>
      <c r="I226" s="14"/>
      <c r="J226" s="14"/>
      <c r="K226" s="1073">
        <v>9</v>
      </c>
      <c r="L226" s="1073" t="s">
        <v>1</v>
      </c>
      <c r="M226" s="1073" t="s">
        <v>1158</v>
      </c>
      <c r="N226" s="1074" t="e">
        <f>KPI_28</f>
        <v>#NAME?</v>
      </c>
      <c r="O226" s="1073" t="e">
        <f>KPI_28u</f>
        <v>#NAME?</v>
      </c>
    </row>
    <row r="227" spans="1:15" ht="15" hidden="1" customHeight="1" x14ac:dyDescent="0.25">
      <c r="A227" s="14"/>
      <c r="B227" s="1473" t="s">
        <v>1039</v>
      </c>
      <c r="C227" s="1474"/>
      <c r="D227" s="1474"/>
      <c r="E227" s="1474"/>
      <c r="F227" s="1399" t="s">
        <v>171</v>
      </c>
      <c r="G227" s="1475">
        <f>IFERROR(N227*AD_GIA/100,0)</f>
        <v>0</v>
      </c>
      <c r="H227" s="1399"/>
      <c r="I227" s="14"/>
      <c r="J227" s="14"/>
      <c r="K227" s="1062">
        <v>9</v>
      </c>
      <c r="L227" s="1062" t="s">
        <v>1</v>
      </c>
      <c r="M227" s="1062" t="s">
        <v>1158</v>
      </c>
      <c r="N227" s="1077" t="e">
        <f>KPI_29</f>
        <v>#NAME?</v>
      </c>
      <c r="O227" s="1375" t="e">
        <f>KPI_29u</f>
        <v>#NAME?</v>
      </c>
    </row>
    <row r="228" spans="1:15" ht="15" hidden="1" customHeight="1" x14ac:dyDescent="0.25">
      <c r="A228" s="14"/>
      <c r="B228" s="1473" t="s">
        <v>1039</v>
      </c>
      <c r="C228" s="1474"/>
      <c r="D228" s="1474"/>
      <c r="E228" s="1474"/>
      <c r="F228" s="1399" t="s">
        <v>171</v>
      </c>
      <c r="G228" s="1459" t="s">
        <v>223</v>
      </c>
      <c r="H228" s="1394"/>
      <c r="I228" s="14"/>
      <c r="J228" s="14"/>
      <c r="K228" s="1062">
        <v>9</v>
      </c>
      <c r="L228" s="1062" t="s">
        <v>1</v>
      </c>
      <c r="M228" s="1062" t="s">
        <v>1158</v>
      </c>
      <c r="N228" s="1081" t="e">
        <f>IF(KPI_29a=AIS_PS,"INA",KPI_29a)</f>
        <v>#NAME?</v>
      </c>
      <c r="O228" s="1374"/>
    </row>
    <row r="229" spans="1:15" ht="15" hidden="1" customHeight="1" x14ac:dyDescent="0.25">
      <c r="A229" s="14"/>
      <c r="B229" s="15"/>
      <c r="C229" s="15"/>
      <c r="D229" s="15"/>
      <c r="E229" s="15"/>
      <c r="F229" s="15"/>
      <c r="G229" s="1477"/>
      <c r="H229" s="15"/>
      <c r="I229" s="14"/>
      <c r="J229" s="14"/>
      <c r="K229" s="20"/>
      <c r="L229" s="20"/>
      <c r="M229" s="20"/>
      <c r="N229" s="1080"/>
      <c r="O229" s="20"/>
    </row>
    <row r="230" spans="1:15" ht="18.75" hidden="1" customHeight="1" x14ac:dyDescent="0.3">
      <c r="A230" s="14"/>
      <c r="B230" s="1453" t="s">
        <v>1180</v>
      </c>
      <c r="C230" s="1454"/>
      <c r="D230" s="1454"/>
      <c r="E230" s="1454"/>
      <c r="F230" s="956"/>
      <c r="G230" s="1478"/>
      <c r="H230" s="1456"/>
      <c r="I230" s="14"/>
      <c r="J230" s="14"/>
      <c r="K230" s="954"/>
      <c r="L230" s="954"/>
      <c r="M230" s="1076"/>
      <c r="N230" s="1078"/>
      <c r="O230" s="954"/>
    </row>
    <row r="231" spans="1:15" ht="15" hidden="1" customHeight="1" x14ac:dyDescent="0.25">
      <c r="A231" s="14"/>
      <c r="B231" s="1395" t="s">
        <v>1178</v>
      </c>
      <c r="C231" s="1396"/>
      <c r="D231" s="1396"/>
      <c r="E231" s="1396"/>
      <c r="F231" s="1394" t="s">
        <v>168</v>
      </c>
      <c r="G231" s="1459" t="s">
        <v>223</v>
      </c>
      <c r="H231" s="1394" t="s">
        <v>223</v>
      </c>
      <c r="I231" s="14"/>
      <c r="J231" s="14"/>
      <c r="K231" s="1073">
        <v>10</v>
      </c>
      <c r="L231" s="1073" t="s">
        <v>1</v>
      </c>
      <c r="M231" s="1073" t="s">
        <v>1158</v>
      </c>
      <c r="N231" s="1074">
        <f>KPI_37</f>
        <v>0</v>
      </c>
      <c r="O231" s="1073"/>
    </row>
    <row r="232" spans="1:15" ht="15" hidden="1" customHeight="1" x14ac:dyDescent="0.25">
      <c r="A232" s="14"/>
      <c r="B232" s="1473" t="s">
        <v>1175</v>
      </c>
      <c r="C232" s="1474"/>
      <c r="D232" s="1474"/>
      <c r="E232" s="1474"/>
      <c r="F232" s="1399" t="s">
        <v>167</v>
      </c>
      <c r="G232" s="1459" t="s">
        <v>223</v>
      </c>
      <c r="H232" s="1394" t="s">
        <v>223</v>
      </c>
      <c r="I232" s="14"/>
      <c r="J232" s="14"/>
      <c r="K232" s="1062">
        <v>11</v>
      </c>
      <c r="L232" s="1073" t="s">
        <v>1</v>
      </c>
      <c r="M232" s="1073" t="s">
        <v>1158</v>
      </c>
      <c r="N232" s="1077" t="str">
        <f>IF(KPI_24=AIS_PS,"INA",KPI_24)</f>
        <v>INA</v>
      </c>
      <c r="O232" s="1062"/>
    </row>
    <row r="233" spans="1:15" ht="15" hidden="1" customHeight="1" x14ac:dyDescent="0.25">
      <c r="A233" s="14"/>
      <c r="B233" s="1473" t="s">
        <v>1174</v>
      </c>
      <c r="C233" s="1474"/>
      <c r="D233" s="1474"/>
      <c r="E233" s="1474"/>
      <c r="F233" s="1399" t="s">
        <v>167</v>
      </c>
      <c r="G233" s="1459" t="s">
        <v>223</v>
      </c>
      <c r="H233" s="1394" t="s">
        <v>223</v>
      </c>
      <c r="I233" s="14"/>
      <c r="J233" s="14"/>
      <c r="K233" s="1062">
        <v>11</v>
      </c>
      <c r="L233" s="1073" t="s">
        <v>1</v>
      </c>
      <c r="M233" s="1073" t="s">
        <v>1158</v>
      </c>
      <c r="N233" s="1077" t="str">
        <f>IF(KPI_25=AIS_PS,"INA",KPI_25)</f>
        <v>INA</v>
      </c>
      <c r="O233" s="1062"/>
    </row>
    <row r="234" spans="1:15" ht="15" hidden="1" customHeight="1" x14ac:dyDescent="0.25">
      <c r="A234" s="14"/>
      <c r="B234" s="1479" t="s">
        <v>1173</v>
      </c>
      <c r="C234" s="1480"/>
      <c r="D234" s="1480"/>
      <c r="E234" s="1481"/>
      <c r="F234" s="1399" t="s">
        <v>167</v>
      </c>
      <c r="G234" s="1459" t="s">
        <v>223</v>
      </c>
      <c r="H234" s="1394" t="s">
        <v>223</v>
      </c>
      <c r="I234" s="14"/>
      <c r="J234" s="14"/>
      <c r="K234" s="1062">
        <v>11</v>
      </c>
      <c r="L234" s="1073" t="s">
        <v>1</v>
      </c>
      <c r="M234" s="1073" t="s">
        <v>1158</v>
      </c>
      <c r="N234" s="1077" t="str">
        <f>IF(KPI_26=AIS_PS,"INA",KPI_26)</f>
        <v>INA</v>
      </c>
      <c r="O234" s="1062"/>
    </row>
    <row r="235" spans="1:15" ht="15" hidden="1" customHeight="1" x14ac:dyDescent="0.25">
      <c r="A235" s="14"/>
      <c r="B235" s="15"/>
      <c r="C235" s="15"/>
      <c r="D235" s="15"/>
      <c r="E235" s="15"/>
      <c r="F235" s="15"/>
      <c r="G235" s="1477"/>
      <c r="H235" s="15"/>
      <c r="I235" s="14"/>
      <c r="J235" s="14"/>
      <c r="K235" s="20"/>
      <c r="L235" s="20"/>
      <c r="M235" s="20"/>
      <c r="N235" s="1080"/>
      <c r="O235" s="20"/>
    </row>
    <row r="236" spans="1:15" ht="18.75" hidden="1" customHeight="1" x14ac:dyDescent="0.3">
      <c r="A236" s="14"/>
      <c r="B236" s="1453" t="s">
        <v>1113</v>
      </c>
      <c r="C236" s="1454"/>
      <c r="D236" s="1454"/>
      <c r="E236" s="1454"/>
      <c r="F236" s="956"/>
      <c r="G236" s="1478"/>
      <c r="H236" s="1456"/>
      <c r="I236" s="14"/>
      <c r="J236" s="14"/>
      <c r="K236" s="954"/>
      <c r="L236" s="954"/>
      <c r="M236" s="1076"/>
      <c r="N236" s="1078"/>
      <c r="O236" s="954"/>
    </row>
    <row r="237" spans="1:15" ht="15" hidden="1" customHeight="1" x14ac:dyDescent="0.25">
      <c r="A237" s="14"/>
      <c r="B237" s="1395" t="s">
        <v>1112</v>
      </c>
      <c r="C237" s="1396"/>
      <c r="D237" s="1396"/>
      <c r="E237" s="1396"/>
      <c r="F237" s="1394" t="s">
        <v>113</v>
      </c>
      <c r="G237" s="1459" t="s">
        <v>223</v>
      </c>
      <c r="H237" s="1394" t="s">
        <v>223</v>
      </c>
      <c r="I237" s="14"/>
      <c r="J237" s="14"/>
      <c r="K237" s="1073">
        <v>12</v>
      </c>
      <c r="L237" s="1073" t="s">
        <v>1160</v>
      </c>
      <c r="M237" s="1073" t="s">
        <v>1150</v>
      </c>
      <c r="N237" s="1074">
        <f>KPI_20</f>
        <v>0</v>
      </c>
      <c r="O237" s="1073" t="s">
        <v>1111</v>
      </c>
    </row>
    <row r="238" spans="1:15" ht="15" hidden="1" customHeight="1" x14ac:dyDescent="0.25">
      <c r="A238" s="14"/>
      <c r="B238" s="1473" t="s">
        <v>1110</v>
      </c>
      <c r="C238" s="1474"/>
      <c r="D238" s="1474"/>
      <c r="E238" s="1474"/>
      <c r="F238" s="1399" t="s">
        <v>113</v>
      </c>
      <c r="G238" s="1459" t="s">
        <v>223</v>
      </c>
      <c r="H238" s="1394" t="s">
        <v>223</v>
      </c>
      <c r="I238" s="14"/>
      <c r="J238" s="14"/>
      <c r="K238" s="1062" t="s">
        <v>1166</v>
      </c>
      <c r="L238" s="1062" t="s">
        <v>1160</v>
      </c>
      <c r="M238" s="1062" t="s">
        <v>1150</v>
      </c>
      <c r="N238" s="1077">
        <f>KPI_21</f>
        <v>0</v>
      </c>
      <c r="O238" s="1062" t="s">
        <v>1109</v>
      </c>
    </row>
    <row r="239" spans="1:15" ht="15" hidden="1" customHeight="1" x14ac:dyDescent="0.25">
      <c r="A239" s="14"/>
      <c r="B239" s="15"/>
      <c r="C239" s="15"/>
      <c r="D239" s="15"/>
      <c r="E239" s="15"/>
      <c r="F239" s="15"/>
      <c r="G239" s="15"/>
      <c r="H239" s="15"/>
      <c r="I239" s="14"/>
      <c r="J239" s="14"/>
      <c r="K239" s="20"/>
      <c r="L239" s="20"/>
      <c r="M239" s="20"/>
      <c r="N239" s="1072"/>
      <c r="O239" s="20"/>
    </row>
    <row r="240" spans="1:15" ht="18.75" hidden="1" customHeight="1" x14ac:dyDescent="0.3">
      <c r="A240" s="14"/>
      <c r="B240" s="1453" t="s">
        <v>1162</v>
      </c>
      <c r="C240" s="1454"/>
      <c r="D240" s="1454"/>
      <c r="E240" s="1454"/>
      <c r="F240" s="956"/>
      <c r="G240" s="1455"/>
      <c r="H240" s="1456"/>
      <c r="I240" s="14"/>
      <c r="J240" s="14"/>
      <c r="K240" s="954"/>
      <c r="L240" s="954"/>
      <c r="M240" s="1076"/>
      <c r="N240" s="1075"/>
      <c r="O240" s="954"/>
    </row>
    <row r="241" spans="1:15" ht="15" hidden="1" customHeight="1" x14ac:dyDescent="0.25">
      <c r="A241" s="14"/>
      <c r="B241" s="1395" t="s">
        <v>1161</v>
      </c>
      <c r="C241" s="1396"/>
      <c r="D241" s="1396"/>
      <c r="E241" s="1396"/>
      <c r="F241" s="1394" t="s">
        <v>112</v>
      </c>
      <c r="G241" s="1482" t="s">
        <v>223</v>
      </c>
      <c r="H241" s="1483" t="s">
        <v>223</v>
      </c>
      <c r="I241" s="14"/>
      <c r="J241" s="14"/>
      <c r="K241" s="1073">
        <v>13</v>
      </c>
      <c r="L241" s="1073" t="s">
        <v>1160</v>
      </c>
      <c r="M241" s="1073" t="s">
        <v>1158</v>
      </c>
      <c r="N241" s="1074">
        <f>KPI_18</f>
        <v>0</v>
      </c>
      <c r="O241" s="1073" t="s">
        <v>1157</v>
      </c>
    </row>
    <row r="242" spans="1:15" ht="15" hidden="1" customHeight="1" x14ac:dyDescent="0.25">
      <c r="A242" s="14"/>
      <c r="B242" s="1473" t="s">
        <v>1159</v>
      </c>
      <c r="C242" s="1474"/>
      <c r="D242" s="1474"/>
      <c r="E242" s="1474"/>
      <c r="F242" s="1399" t="s">
        <v>112</v>
      </c>
      <c r="G242" s="1482" t="s">
        <v>223</v>
      </c>
      <c r="H242" s="1483" t="s">
        <v>223</v>
      </c>
      <c r="I242" s="14"/>
      <c r="J242" s="14"/>
      <c r="K242" s="1062">
        <v>13</v>
      </c>
      <c r="L242" s="1062" t="s">
        <v>1</v>
      </c>
      <c r="M242" s="1062" t="s">
        <v>1158</v>
      </c>
      <c r="N242" s="1077">
        <f>KPI_19</f>
        <v>0</v>
      </c>
      <c r="O242" s="1062" t="s">
        <v>1157</v>
      </c>
    </row>
    <row r="243" spans="1:15" ht="15" hidden="1" customHeight="1" x14ac:dyDescent="0.25">
      <c r="A243" s="14"/>
      <c r="B243" s="15"/>
      <c r="C243" s="15"/>
      <c r="D243" s="15"/>
      <c r="E243" s="15"/>
      <c r="F243" s="15"/>
      <c r="G243" s="15"/>
      <c r="H243" s="15"/>
      <c r="I243" s="14"/>
      <c r="J243" s="14"/>
      <c r="K243" s="20"/>
      <c r="L243" s="20"/>
      <c r="M243" s="20"/>
      <c r="N243" s="1072"/>
      <c r="O243" s="15"/>
    </row>
    <row r="244" spans="1:15" ht="18.75" hidden="1" customHeight="1" x14ac:dyDescent="0.3">
      <c r="A244" s="14"/>
      <c r="B244" s="1453" t="s">
        <v>1152</v>
      </c>
      <c r="C244" s="1454"/>
      <c r="D244" s="1454"/>
      <c r="E244" s="1454"/>
      <c r="F244" s="956"/>
      <c r="G244" s="1455"/>
      <c r="H244" s="1456"/>
      <c r="I244" s="14"/>
      <c r="J244" s="14"/>
      <c r="K244" s="954"/>
      <c r="L244" s="954"/>
      <c r="M244" s="1076"/>
      <c r="N244" s="1075"/>
      <c r="O244" s="954"/>
    </row>
    <row r="245" spans="1:15" ht="15" hidden="1" customHeight="1" x14ac:dyDescent="0.25">
      <c r="A245" s="14"/>
      <c r="B245" s="1395" t="s">
        <v>1151</v>
      </c>
      <c r="C245" s="1396"/>
      <c r="D245" s="1396"/>
      <c r="E245" s="1396"/>
      <c r="F245" s="1394" t="s">
        <v>88</v>
      </c>
      <c r="G245" s="1482" t="s">
        <v>223</v>
      </c>
      <c r="H245" s="1483" t="s">
        <v>223</v>
      </c>
      <c r="I245" s="14"/>
      <c r="J245" s="14"/>
      <c r="K245" s="1073"/>
      <c r="L245" s="1073" t="s">
        <v>1</v>
      </c>
      <c r="M245" s="1073" t="s">
        <v>1150</v>
      </c>
      <c r="N245" s="1074" t="e">
        <f>KPI_01_oldd</f>
        <v>#NAME?</v>
      </c>
      <c r="O245" s="1073" t="s">
        <v>1149</v>
      </c>
    </row>
    <row r="246" spans="1:15" ht="15" hidden="1" customHeight="1" x14ac:dyDescent="0.25">
      <c r="A246" s="14"/>
      <c r="B246" s="15"/>
      <c r="C246" s="15"/>
      <c r="D246" s="15"/>
      <c r="E246" s="15"/>
      <c r="F246" s="15"/>
      <c r="G246" s="15"/>
      <c r="H246" s="15"/>
      <c r="I246" s="14"/>
      <c r="J246" s="14"/>
      <c r="K246" s="20"/>
      <c r="L246" s="20"/>
      <c r="M246" s="20"/>
      <c r="N246" s="1072"/>
      <c r="O246" s="15"/>
    </row>
    <row r="247" spans="1:15" ht="18.75" hidden="1" customHeight="1" x14ac:dyDescent="0.3">
      <c r="A247" s="14"/>
      <c r="B247" s="1484" t="s">
        <v>1148</v>
      </c>
      <c r="C247" s="1485"/>
      <c r="D247" s="1485"/>
      <c r="E247" s="1485"/>
      <c r="F247" s="1485"/>
      <c r="G247" s="1486"/>
      <c r="H247" s="1487"/>
      <c r="I247" s="14"/>
      <c r="J247" s="14"/>
      <c r="K247" s="1071"/>
      <c r="L247" s="1071"/>
      <c r="M247" s="1071"/>
      <c r="N247" s="673"/>
      <c r="O247" s="673"/>
    </row>
    <row r="248" spans="1:15" ht="15" hidden="1" customHeight="1" x14ac:dyDescent="0.25">
      <c r="A248" s="14"/>
      <c r="B248" s="1488" t="s">
        <v>1147</v>
      </c>
      <c r="C248" s="1488"/>
      <c r="D248" s="1488"/>
      <c r="E248" s="1488"/>
      <c r="F248" s="1488"/>
      <c r="G248" s="1488"/>
      <c r="H248" s="1488"/>
      <c r="I248" s="14"/>
      <c r="J248" s="14"/>
      <c r="K248" s="1377"/>
      <c r="L248" s="1377"/>
      <c r="M248" s="1377"/>
      <c r="N248" s="1377"/>
      <c r="O248" s="1377"/>
    </row>
    <row r="249" spans="1:15" ht="15" hidden="1" customHeight="1" x14ac:dyDescent="0.25">
      <c r="A249" s="14"/>
      <c r="B249" s="1488" t="s">
        <v>1146</v>
      </c>
      <c r="C249" s="1488"/>
      <c r="D249" s="1488"/>
      <c r="E249" s="1488"/>
      <c r="F249" s="1488"/>
      <c r="G249" s="1488"/>
      <c r="H249" s="1488"/>
      <c r="I249" s="14"/>
      <c r="J249" s="14"/>
      <c r="K249" s="1377"/>
      <c r="L249" s="1377"/>
      <c r="M249" s="1377"/>
      <c r="N249" s="1377"/>
      <c r="O249" s="1377"/>
    </row>
    <row r="250" spans="1:15" ht="15" hidden="1" customHeight="1" x14ac:dyDescent="0.25">
      <c r="A250" s="14"/>
      <c r="B250" s="1489" t="s">
        <v>1145</v>
      </c>
      <c r="C250" s="1490"/>
      <c r="D250" s="1490"/>
      <c r="E250" s="1490"/>
      <c r="F250" s="1490"/>
      <c r="G250" s="1490"/>
      <c r="H250" s="1491"/>
      <c r="I250" s="14"/>
      <c r="J250" s="14"/>
      <c r="K250" s="1376"/>
      <c r="L250" s="1376"/>
      <c r="M250" s="1376"/>
      <c r="N250" s="1376"/>
      <c r="O250" s="1376"/>
    </row>
    <row r="251" spans="1:15" ht="15" hidden="1" customHeight="1" x14ac:dyDescent="0.25">
      <c r="A251" s="14"/>
      <c r="B251" s="1489" t="s">
        <v>1144</v>
      </c>
      <c r="C251" s="1490"/>
      <c r="D251" s="1490"/>
      <c r="E251" s="1490"/>
      <c r="F251" s="1490"/>
      <c r="G251" s="1490"/>
      <c r="H251" s="1491"/>
      <c r="I251" s="14"/>
      <c r="J251" s="14"/>
      <c r="K251" s="1376"/>
      <c r="L251" s="1376"/>
      <c r="M251" s="1376"/>
      <c r="N251" s="1376"/>
      <c r="O251" s="1376"/>
    </row>
    <row r="252" spans="1:15" ht="15" hidden="1" customHeight="1" x14ac:dyDescent="0.25">
      <c r="A252" s="14"/>
      <c r="B252" s="1489" t="s">
        <v>1143</v>
      </c>
      <c r="C252" s="1490"/>
      <c r="D252" s="1490"/>
      <c r="E252" s="1490"/>
      <c r="F252" s="1490"/>
      <c r="G252" s="1490"/>
      <c r="H252" s="1491"/>
      <c r="I252" s="14"/>
      <c r="J252" s="14"/>
      <c r="K252" s="1376"/>
      <c r="L252" s="1376"/>
      <c r="M252" s="1376"/>
      <c r="N252" s="1376"/>
      <c r="O252" s="1376"/>
    </row>
    <row r="253" spans="1:15" ht="15" hidden="1" customHeight="1" x14ac:dyDescent="0.25">
      <c r="A253" s="14"/>
      <c r="B253" s="1488" t="s">
        <v>1142</v>
      </c>
      <c r="C253" s="1488"/>
      <c r="D253" s="1488"/>
      <c r="E253" s="1488"/>
      <c r="F253" s="1488"/>
      <c r="G253" s="1488"/>
      <c r="H253" s="1488"/>
      <c r="I253" s="14"/>
      <c r="J253" s="14"/>
      <c r="K253" s="1377"/>
      <c r="L253" s="1377"/>
      <c r="M253" s="1377"/>
      <c r="N253" s="1377"/>
      <c r="O253" s="1377"/>
    </row>
    <row r="254" spans="1:15" ht="15" hidden="1" customHeight="1" x14ac:dyDescent="0.25">
      <c r="A254" s="14"/>
      <c r="B254" s="1489" t="s">
        <v>1141</v>
      </c>
      <c r="C254" s="1490"/>
      <c r="D254" s="1490"/>
      <c r="E254" s="1490"/>
      <c r="F254" s="1490"/>
      <c r="G254" s="1490"/>
      <c r="H254" s="1491"/>
      <c r="I254" s="14"/>
      <c r="J254" s="14"/>
      <c r="K254" s="1376"/>
      <c r="L254" s="1376"/>
      <c r="M254" s="1376"/>
      <c r="N254" s="1376"/>
      <c r="O254" s="1376"/>
    </row>
    <row r="255" spans="1:15" ht="15" hidden="1" customHeight="1" x14ac:dyDescent="0.25">
      <c r="A255" s="14"/>
      <c r="B255" s="1489" t="s">
        <v>1140</v>
      </c>
      <c r="C255" s="1490"/>
      <c r="D255" s="1490"/>
      <c r="E255" s="1490"/>
      <c r="F255" s="1490"/>
      <c r="G255" s="1490"/>
      <c r="H255" s="1491"/>
      <c r="I255" s="14"/>
      <c r="J255" s="14"/>
      <c r="K255" s="1376"/>
      <c r="L255" s="1376"/>
      <c r="M255" s="1376"/>
      <c r="N255" s="1376"/>
      <c r="O255" s="1376"/>
    </row>
    <row r="256" spans="1:15" ht="15" hidden="1" customHeight="1" x14ac:dyDescent="0.25">
      <c r="A256" s="14"/>
      <c r="B256" s="1489" t="s">
        <v>1139</v>
      </c>
      <c r="C256" s="1490"/>
      <c r="D256" s="1490"/>
      <c r="E256" s="1490"/>
      <c r="F256" s="1490"/>
      <c r="G256" s="1490"/>
      <c r="H256" s="1491"/>
      <c r="I256" s="14"/>
      <c r="J256" s="14"/>
      <c r="K256" s="1376"/>
      <c r="L256" s="1376"/>
      <c r="M256" s="1376"/>
      <c r="N256" s="1376"/>
      <c r="O256" s="1376"/>
    </row>
    <row r="257" spans="1:15" ht="15" hidden="1" customHeight="1" x14ac:dyDescent="0.25">
      <c r="A257" s="14"/>
      <c r="B257" s="1489" t="s">
        <v>1138</v>
      </c>
      <c r="C257" s="1490"/>
      <c r="D257" s="1490"/>
      <c r="E257" s="1490"/>
      <c r="F257" s="1490"/>
      <c r="G257" s="1490"/>
      <c r="H257" s="1491"/>
      <c r="I257" s="14"/>
      <c r="J257" s="14"/>
      <c r="K257" s="1376"/>
      <c r="L257" s="1376"/>
      <c r="M257" s="1376"/>
      <c r="N257" s="1376"/>
      <c r="O257" s="1376"/>
    </row>
    <row r="258" spans="1:15" ht="15" hidden="1" customHeight="1" x14ac:dyDescent="0.25">
      <c r="A258" s="14"/>
      <c r="B258" s="1489" t="s">
        <v>1137</v>
      </c>
      <c r="C258" s="1490"/>
      <c r="D258" s="1490"/>
      <c r="E258" s="1490"/>
      <c r="F258" s="1490"/>
      <c r="G258" s="1490"/>
      <c r="H258" s="1491"/>
      <c r="I258" s="14"/>
      <c r="J258" s="14"/>
      <c r="K258" s="1376"/>
      <c r="L258" s="1376"/>
      <c r="M258" s="1376"/>
      <c r="N258" s="1376"/>
      <c r="O258" s="1376"/>
    </row>
    <row r="259" spans="1:15" ht="15" hidden="1" customHeight="1" x14ac:dyDescent="0.25">
      <c r="A259" s="14"/>
      <c r="B259" s="1489" t="s">
        <v>1136</v>
      </c>
      <c r="C259" s="1490"/>
      <c r="D259" s="1490"/>
      <c r="E259" s="1490"/>
      <c r="F259" s="1490"/>
      <c r="G259" s="1490"/>
      <c r="H259" s="1491"/>
      <c r="I259" s="14"/>
      <c r="J259" s="14"/>
      <c r="K259" s="1376"/>
      <c r="L259" s="1376"/>
      <c r="M259" s="1376"/>
      <c r="N259" s="1376"/>
      <c r="O259" s="1376"/>
    </row>
    <row r="260" spans="1:15" ht="15" hidden="1" customHeight="1" x14ac:dyDescent="0.25">
      <c r="A260" s="14"/>
      <c r="B260" s="1489" t="s">
        <v>1135</v>
      </c>
      <c r="C260" s="1490"/>
      <c r="D260" s="1490"/>
      <c r="E260" s="1490"/>
      <c r="F260" s="1490"/>
      <c r="G260" s="1490"/>
      <c r="H260" s="1491"/>
      <c r="I260" s="14"/>
      <c r="J260" s="14"/>
      <c r="K260" s="1376"/>
      <c r="L260" s="1376"/>
      <c r="M260" s="1376"/>
      <c r="N260" s="1376"/>
      <c r="O260" s="1376"/>
    </row>
    <row r="261" spans="1:15" ht="15" hidden="1" customHeight="1" x14ac:dyDescent="0.25">
      <c r="A261" s="14"/>
      <c r="B261" s="1489" t="s">
        <v>1134</v>
      </c>
      <c r="C261" s="1490"/>
      <c r="D261" s="1490"/>
      <c r="E261" s="1490"/>
      <c r="F261" s="1490"/>
      <c r="G261" s="1490"/>
      <c r="H261" s="1491"/>
      <c r="I261" s="14"/>
      <c r="J261" s="14"/>
      <c r="K261" s="1376"/>
      <c r="L261" s="1376"/>
      <c r="M261" s="1376"/>
      <c r="N261" s="1376"/>
      <c r="O261" s="1376"/>
    </row>
    <row r="262" spans="1:15" ht="15" hidden="1" customHeight="1" x14ac:dyDescent="0.25">
      <c r="A262" s="14"/>
      <c r="B262" s="1489" t="s">
        <v>1133</v>
      </c>
      <c r="C262" s="1490"/>
      <c r="D262" s="1490"/>
      <c r="E262" s="1490"/>
      <c r="F262" s="1490"/>
      <c r="G262" s="1490"/>
      <c r="H262" s="1491"/>
      <c r="I262" s="14"/>
      <c r="J262" s="14"/>
      <c r="K262" s="1376"/>
      <c r="L262" s="1376"/>
      <c r="M262" s="1376"/>
      <c r="N262" s="1376"/>
      <c r="O262" s="1376"/>
    </row>
    <row r="263" spans="1:15" ht="15" hidden="1" customHeight="1" x14ac:dyDescent="0.25">
      <c r="A263" s="14"/>
      <c r="B263" s="1489" t="s">
        <v>1132</v>
      </c>
      <c r="C263" s="1490"/>
      <c r="D263" s="1490"/>
      <c r="E263" s="1490"/>
      <c r="F263" s="1490"/>
      <c r="G263" s="1490"/>
      <c r="H263" s="1491"/>
      <c r="I263" s="14"/>
      <c r="J263" s="14"/>
      <c r="K263" s="1376"/>
      <c r="L263" s="1376"/>
      <c r="M263" s="1376"/>
      <c r="N263" s="1376"/>
      <c r="O263" s="1376"/>
    </row>
    <row r="264" spans="1:15" ht="15" hidden="1" customHeight="1" x14ac:dyDescent="0.25">
      <c r="A264" s="14"/>
      <c r="B264" s="15"/>
      <c r="C264" s="15"/>
      <c r="D264" s="15"/>
      <c r="E264" s="15"/>
      <c r="F264" s="15"/>
      <c r="G264" s="15"/>
      <c r="H264" s="15"/>
      <c r="I264" s="14"/>
      <c r="J264" s="14"/>
      <c r="K264" s="20"/>
      <c r="L264" s="20"/>
      <c r="M264" s="20"/>
      <c r="N264" s="20"/>
      <c r="O264" s="20"/>
    </row>
    <row r="265" spans="1:15" ht="15" hidden="1" customHeight="1" x14ac:dyDescent="0.25">
      <c r="A265" s="14"/>
      <c r="B265" s="15"/>
      <c r="C265" s="15"/>
      <c r="D265" s="15"/>
      <c r="E265" s="15"/>
      <c r="F265" s="15"/>
      <c r="G265" s="15"/>
      <c r="H265" s="15"/>
      <c r="I265" s="14"/>
      <c r="J265" s="14"/>
      <c r="K265" s="20"/>
      <c r="L265" s="20"/>
      <c r="M265" s="20"/>
      <c r="N265" s="20"/>
      <c r="O265" s="20"/>
    </row>
    <row r="266" spans="1:15" ht="15" hidden="1" customHeight="1" x14ac:dyDescent="0.25">
      <c r="A266" s="14"/>
      <c r="B266" s="15"/>
      <c r="C266" s="15"/>
      <c r="D266" s="15"/>
      <c r="E266" s="15"/>
      <c r="F266" s="15"/>
      <c r="G266" s="15"/>
      <c r="H266" s="15"/>
      <c r="I266" s="14"/>
      <c r="J266" s="14"/>
      <c r="K266" s="20"/>
      <c r="L266" s="20"/>
      <c r="M266" s="20"/>
      <c r="N266" s="20"/>
      <c r="O266" s="20"/>
    </row>
    <row r="267" spans="1:15" ht="15" hidden="1" customHeight="1" x14ac:dyDescent="0.25">
      <c r="A267" s="14"/>
      <c r="B267" s="15"/>
      <c r="C267" s="15"/>
      <c r="D267" s="15"/>
      <c r="E267" s="15"/>
      <c r="F267" s="15"/>
      <c r="G267" s="15"/>
      <c r="H267" s="15"/>
      <c r="I267" s="14"/>
      <c r="J267" s="14"/>
      <c r="K267" s="20"/>
      <c r="L267" s="20"/>
      <c r="M267" s="20"/>
      <c r="N267" s="20"/>
      <c r="O267" s="20"/>
    </row>
    <row r="268" spans="1:15" ht="15" hidden="1" customHeight="1" x14ac:dyDescent="0.25">
      <c r="A268" s="14"/>
      <c r="B268" s="15"/>
      <c r="C268" s="15"/>
      <c r="D268" s="15"/>
      <c r="E268" s="15"/>
      <c r="F268" s="15"/>
      <c r="G268" s="15"/>
      <c r="H268" s="15"/>
      <c r="I268" s="14"/>
      <c r="J268" s="14"/>
      <c r="K268" s="20"/>
      <c r="L268" s="20"/>
      <c r="M268" s="20"/>
      <c r="N268" s="20"/>
      <c r="O268" s="20"/>
    </row>
    <row r="269" spans="1:15" ht="15" hidden="1" customHeight="1" x14ac:dyDescent="0.25">
      <c r="A269" s="14"/>
      <c r="B269" s="15"/>
      <c r="C269" s="15"/>
      <c r="D269" s="15"/>
      <c r="E269" s="15"/>
      <c r="F269" s="15"/>
      <c r="G269" s="15"/>
      <c r="H269" s="15"/>
      <c r="I269" s="14"/>
      <c r="J269" s="14"/>
      <c r="K269" s="20"/>
      <c r="L269" s="20"/>
      <c r="M269" s="20"/>
      <c r="N269" s="20"/>
      <c r="O269" s="20"/>
    </row>
    <row r="270" spans="1:15" ht="15" hidden="1" customHeight="1" x14ac:dyDescent="0.25">
      <c r="A270" s="14"/>
      <c r="B270" s="15"/>
      <c r="C270" s="15"/>
      <c r="D270" s="15"/>
      <c r="E270" s="15"/>
      <c r="F270" s="15"/>
      <c r="G270" s="15"/>
      <c r="H270" s="15"/>
      <c r="I270" s="14"/>
      <c r="J270" s="14"/>
      <c r="K270" s="20"/>
      <c r="L270" s="20"/>
      <c r="M270" s="20"/>
      <c r="N270" s="20"/>
      <c r="O270" s="20"/>
    </row>
    <row r="271" spans="1:15" ht="15" hidden="1" customHeight="1" x14ac:dyDescent="0.25">
      <c r="A271" s="14"/>
      <c r="B271" s="15"/>
      <c r="C271" s="15"/>
      <c r="D271" s="15"/>
      <c r="E271" s="15"/>
      <c r="F271" s="15"/>
      <c r="G271" s="15"/>
      <c r="H271" s="15"/>
      <c r="I271" s="14"/>
      <c r="J271" s="14"/>
      <c r="K271" s="20"/>
      <c r="L271" s="20"/>
      <c r="M271" s="20"/>
      <c r="N271" s="20"/>
      <c r="O271" s="20"/>
    </row>
    <row r="272" spans="1:15" ht="15" hidden="1" customHeight="1" x14ac:dyDescent="0.25">
      <c r="A272" s="14"/>
      <c r="B272" s="15"/>
      <c r="C272" s="15"/>
      <c r="D272" s="15"/>
      <c r="E272" s="15"/>
      <c r="F272" s="15"/>
      <c r="G272" s="15"/>
      <c r="H272" s="15"/>
      <c r="I272" s="14"/>
      <c r="J272" s="14"/>
      <c r="K272" s="20"/>
      <c r="L272" s="20"/>
      <c r="M272" s="20"/>
      <c r="N272" s="20"/>
      <c r="O272" s="20"/>
    </row>
    <row r="273" spans="1:15" ht="15" hidden="1" customHeight="1" x14ac:dyDescent="0.25">
      <c r="A273" s="14"/>
      <c r="B273" s="15"/>
      <c r="C273" s="15"/>
      <c r="D273" s="15"/>
      <c r="E273" s="15"/>
      <c r="F273" s="15"/>
      <c r="G273" s="15"/>
      <c r="H273" s="15"/>
      <c r="I273" s="14"/>
      <c r="J273" s="14"/>
      <c r="K273" s="20"/>
      <c r="L273" s="20"/>
      <c r="M273" s="20"/>
      <c r="N273" s="20"/>
      <c r="O273" s="20"/>
    </row>
    <row r="274" spans="1:15" ht="18.75" hidden="1" customHeight="1" x14ac:dyDescent="0.3">
      <c r="A274" s="14"/>
      <c r="B274" s="396" t="s">
        <v>1130</v>
      </c>
      <c r="C274" s="5"/>
      <c r="D274" s="5"/>
      <c r="E274" s="5"/>
      <c r="F274" s="1070"/>
      <c r="G274" s="15"/>
      <c r="H274" s="15"/>
      <c r="I274" s="14"/>
      <c r="J274" s="14"/>
      <c r="K274" s="1070"/>
      <c r="L274" s="1070"/>
      <c r="M274" s="1070"/>
      <c r="N274" s="1070"/>
      <c r="O274" s="1069" t="str">
        <f>IF('Assessment Issue Scoring'!X4=AIS_No,"Not applicable","")</f>
        <v>Not applicable</v>
      </c>
    </row>
    <row r="275" spans="1:15" ht="15" hidden="1" customHeight="1" x14ac:dyDescent="0.25">
      <c r="A275" s="14"/>
      <c r="B275" s="1"/>
      <c r="C275" s="1"/>
      <c r="D275" s="1"/>
      <c r="E275" s="1"/>
      <c r="F275" s="1"/>
      <c r="G275" s="15"/>
      <c r="H275" s="15"/>
      <c r="I275" s="14"/>
      <c r="J275" s="14"/>
      <c r="K275" s="1"/>
      <c r="L275" s="1"/>
      <c r="M275" s="1"/>
      <c r="N275" s="1"/>
      <c r="O275" s="1"/>
    </row>
    <row r="276" spans="1:15" ht="15" hidden="1" customHeight="1" x14ac:dyDescent="0.25">
      <c r="A276" s="14"/>
      <c r="B276" s="1492" t="s">
        <v>1129</v>
      </c>
      <c r="C276" s="1493" t="s">
        <v>1128</v>
      </c>
      <c r="D276" s="1494"/>
      <c r="E276" s="1"/>
      <c r="F276" s="1495"/>
      <c r="G276" s="15"/>
      <c r="H276" s="15"/>
      <c r="I276" s="14"/>
      <c r="J276" s="14"/>
      <c r="K276" s="1068"/>
      <c r="L276" s="1068"/>
      <c r="M276" s="1068"/>
      <c r="N276" s="1068"/>
      <c r="O276" s="1067" t="s">
        <v>1127</v>
      </c>
    </row>
    <row r="277" spans="1:15" ht="15" hidden="1" customHeight="1" x14ac:dyDescent="0.25">
      <c r="A277" s="14"/>
      <c r="B277" s="1399" t="str">
        <f>'Assessment Issue Scoring'!AH193</f>
        <v>Hea 01</v>
      </c>
      <c r="C277" s="1474" t="str">
        <f>'Assessment Issue Scoring'!AI193</f>
        <v>Glare control</v>
      </c>
      <c r="D277" s="1474"/>
      <c r="E277" s="1474"/>
      <c r="F277" s="1474"/>
      <c r="G277" s="15"/>
      <c r="H277" s="15"/>
      <c r="I277" s="14"/>
      <c r="J277" s="14"/>
      <c r="K277" s="1374"/>
      <c r="L277" s="1374"/>
      <c r="M277" s="1374"/>
      <c r="N277" s="1063"/>
      <c r="O277" s="1062" t="str">
        <f>'Assessment Issue Scoring'!AJ193</f>
        <v>N/A</v>
      </c>
    </row>
    <row r="278" spans="1:15" ht="15" hidden="1" customHeight="1" x14ac:dyDescent="0.25">
      <c r="A278" s="14"/>
      <c r="B278" s="1399" t="str">
        <f>'Assessment Issue Scoring'!AH198</f>
        <v>Hea 01</v>
      </c>
      <c r="C278" s="1474" t="str">
        <f>'Assessment Issue Scoring'!AI198</f>
        <v>Artificial lighting</v>
      </c>
      <c r="D278" s="1474"/>
      <c r="E278" s="1474"/>
      <c r="F278" s="1474"/>
      <c r="G278" s="15"/>
      <c r="H278" s="15"/>
      <c r="I278" s="14"/>
      <c r="J278" s="14"/>
      <c r="K278" s="1374"/>
      <c r="L278" s="1374"/>
      <c r="M278" s="1374"/>
      <c r="N278" s="1063"/>
      <c r="O278" s="1062" t="str">
        <f>'Assessment Issue Scoring'!AJ198</f>
        <v>N/A</v>
      </c>
    </row>
    <row r="279" spans="1:15" ht="15" hidden="1" customHeight="1" x14ac:dyDescent="0.25">
      <c r="A279" s="14"/>
      <c r="B279" s="1399" t="str">
        <f>'Assessment Issue Scoring'!AH219</f>
        <v>Hea 02</v>
      </c>
      <c r="C279" s="1474" t="str">
        <f>'Assessment Issue Scoring'!AI219</f>
        <v>Minimising sources of air pollution: criterion 5</v>
      </c>
      <c r="D279" s="1474"/>
      <c r="E279" s="1474"/>
      <c r="F279" s="1474"/>
      <c r="G279" s="15"/>
      <c r="H279" s="15"/>
      <c r="I279" s="14"/>
      <c r="J279" s="14"/>
      <c r="K279" s="1374"/>
      <c r="L279" s="1374"/>
      <c r="M279" s="1374"/>
      <c r="N279" s="1063"/>
      <c r="O279" s="1062" t="str">
        <f>'Assessment Issue Scoring'!AJ219</f>
        <v>N/A</v>
      </c>
    </row>
    <row r="280" spans="1:15" ht="15" hidden="1" customHeight="1" x14ac:dyDescent="0.25">
      <c r="A280" s="14"/>
      <c r="B280" s="1399" t="str">
        <f>'Assessment Issue Scoring'!AH220</f>
        <v>Hea 02</v>
      </c>
      <c r="C280" s="1473" t="str">
        <f>'Assessment Issue Scoring'!AI220</f>
        <v>VOC</v>
      </c>
      <c r="D280" s="1474"/>
      <c r="E280" s="1474"/>
      <c r="F280" s="1474"/>
      <c r="G280" s="15"/>
      <c r="H280" s="15"/>
      <c r="I280" s="14"/>
      <c r="J280" s="14"/>
      <c r="K280" s="1374"/>
      <c r="L280" s="1374"/>
      <c r="M280" s="1374"/>
      <c r="N280" s="1063"/>
      <c r="O280" s="1062" t="str">
        <f>'Assessment Issue Scoring'!AJ220</f>
        <v>N/A</v>
      </c>
    </row>
    <row r="281" spans="1:15" ht="15" hidden="1" customHeight="1" x14ac:dyDescent="0.25">
      <c r="A281" s="14"/>
      <c r="B281" s="1399" t="str">
        <f>'Assessment Issue Scoring'!AH248</f>
        <v>Hea 03</v>
      </c>
      <c r="C281" s="1474" t="str">
        <f>'Assessment Issue Scoring'!AI248</f>
        <v xml:space="preserve">Thermal modelling </v>
      </c>
      <c r="D281" s="1474"/>
      <c r="E281" s="1474"/>
      <c r="F281" s="1474"/>
      <c r="G281" s="15"/>
      <c r="H281" s="15"/>
      <c r="I281" s="14"/>
      <c r="J281" s="14"/>
      <c r="K281" s="1374"/>
      <c r="L281" s="1374"/>
      <c r="M281" s="1374"/>
      <c r="N281" s="1063"/>
      <c r="O281" s="1062" t="str">
        <f>'Assessment Issue Scoring'!AJ248</f>
        <v>N/A</v>
      </c>
    </row>
    <row r="282" spans="1:15" ht="15" hidden="1" customHeight="1" x14ac:dyDescent="0.25">
      <c r="A282" s="14"/>
      <c r="B282" s="1399" t="str">
        <f>'Assessment Issue Scoring'!AH250</f>
        <v>Hea 03</v>
      </c>
      <c r="C282" s="1474" t="str">
        <f>'Assessment Issue Scoring'!AI250</f>
        <v xml:space="preserve">Thermal zoning and controls </v>
      </c>
      <c r="D282" s="1474"/>
      <c r="E282" s="1474"/>
      <c r="F282" s="1474"/>
      <c r="G282" s="15"/>
      <c r="H282" s="15"/>
      <c r="I282" s="14"/>
      <c r="J282" s="14"/>
      <c r="K282" s="1374"/>
      <c r="L282" s="1374"/>
      <c r="M282" s="1374"/>
      <c r="N282" s="1063"/>
      <c r="O282" s="1062" t="str">
        <f>'Assessment Issue Scoring'!AJ250</f>
        <v>N/A</v>
      </c>
    </row>
    <row r="283" spans="1:15" ht="15" hidden="1" customHeight="1" x14ac:dyDescent="0.25">
      <c r="A283" s="14"/>
      <c r="B283" s="15"/>
      <c r="C283" s="15"/>
      <c r="D283" s="15"/>
      <c r="E283" s="15"/>
      <c r="F283" s="15"/>
      <c r="G283" s="15"/>
      <c r="H283" s="15"/>
      <c r="I283" s="14"/>
      <c r="J283" s="14"/>
      <c r="K283" s="20"/>
      <c r="L283" s="20"/>
      <c r="M283" s="20"/>
      <c r="N283" s="20"/>
      <c r="O283" s="20"/>
    </row>
    <row r="284" spans="1:15" ht="15" hidden="1" customHeight="1" x14ac:dyDescent="0.25">
      <c r="A284" s="14"/>
      <c r="B284" s="1399" t="str">
        <f>'Assessment Issue Scoring'!AH345</f>
        <v>Ene 01</v>
      </c>
      <c r="C284" s="1474" t="str">
        <f>'Assessment Issue Scoring'!AI345</f>
        <v>Energy efficiency</v>
      </c>
      <c r="D284" s="1474"/>
      <c r="E284" s="1474"/>
      <c r="F284" s="1474"/>
      <c r="G284" s="15"/>
      <c r="H284" s="15"/>
      <c r="I284" s="14"/>
      <c r="J284" s="14"/>
      <c r="K284" s="1374"/>
      <c r="L284" s="1374"/>
      <c r="M284" s="1374"/>
      <c r="N284" s="1063"/>
      <c r="O284" s="1062" t="str">
        <f>'Assessment Issue Scoring'!AJ345</f>
        <v>N/A</v>
      </c>
    </row>
    <row r="285" spans="1:15" ht="15" hidden="1" customHeight="1" x14ac:dyDescent="0.25">
      <c r="A285" s="14"/>
      <c r="B285" s="1399" t="str">
        <f>'Assessment Issue Scoring'!AH388</f>
        <v>Ene 02</v>
      </c>
      <c r="C285" s="1474" t="str">
        <f>'Assessment Issue Scoring'!AI388</f>
        <v>Compliant criteria sub-metering of end-use categories</v>
      </c>
      <c r="D285" s="1474"/>
      <c r="E285" s="1474"/>
      <c r="F285" s="1474"/>
      <c r="G285" s="15"/>
      <c r="H285" s="15"/>
      <c r="I285" s="14"/>
      <c r="J285" s="14"/>
      <c r="K285" s="1374"/>
      <c r="L285" s="1374"/>
      <c r="M285" s="1374"/>
      <c r="N285" s="1063"/>
      <c r="O285" s="1062" t="str">
        <f>'Assessment Issue Scoring'!AJ388</f>
        <v>N/A</v>
      </c>
    </row>
    <row r="286" spans="1:15" ht="15" hidden="1" customHeight="1" x14ac:dyDescent="0.25">
      <c r="A286" s="14"/>
      <c r="B286" s="1399" t="str">
        <f>'Assessment Issue Scoring'!AH389</f>
        <v>Ene 02</v>
      </c>
      <c r="C286" s="1474" t="str">
        <f>'Assessment Issue Scoring'!AI389</f>
        <v>Compliant criteria sub-metering of high energy loads and tenancy areas</v>
      </c>
      <c r="D286" s="1474"/>
      <c r="E286" s="1474"/>
      <c r="F286" s="1474"/>
      <c r="G286" s="15"/>
      <c r="H286" s="15"/>
      <c r="I286" s="14"/>
      <c r="J286" s="14"/>
      <c r="K286" s="1374"/>
      <c r="L286" s="1374"/>
      <c r="M286" s="1374"/>
      <c r="N286" s="1063"/>
      <c r="O286" s="1062" t="str">
        <f>'Assessment Issue Scoring'!AJ389</f>
        <v>N/A</v>
      </c>
    </row>
    <row r="287" spans="1:15" ht="15" hidden="1" customHeight="1" x14ac:dyDescent="0.25">
      <c r="A287" s="14"/>
      <c r="B287" s="1399" t="str">
        <f>'Assessment Issue Scoring'!AH410</f>
        <v>Ene 03</v>
      </c>
      <c r="C287" s="1474" t="str">
        <f>'Assessment Issue Scoring'!AI410</f>
        <v>External lighting</v>
      </c>
      <c r="D287" s="1474"/>
      <c r="E287" s="1474"/>
      <c r="F287" s="1474"/>
      <c r="G287" s="15"/>
      <c r="H287" s="15"/>
      <c r="I287" s="14"/>
      <c r="J287" s="14"/>
      <c r="K287" s="1374"/>
      <c r="L287" s="1374"/>
      <c r="M287" s="1374"/>
      <c r="N287" s="1063"/>
      <c r="O287" s="1062" t="str">
        <f>'Assessment Issue Scoring'!AJ410</f>
        <v>N/A</v>
      </c>
    </row>
    <row r="288" spans="1:15" ht="15" hidden="1" customHeight="1" x14ac:dyDescent="0.25">
      <c r="A288" s="14"/>
      <c r="B288" s="1399" t="str">
        <f>'Assessment Issue Scoring'!AH431</f>
        <v>Ene 05</v>
      </c>
      <c r="C288" s="1474" t="str">
        <f>'Assessment Issue Scoring'!AI431</f>
        <v>Design of energy efficient cold storage</v>
      </c>
      <c r="D288" s="1474"/>
      <c r="E288" s="1474"/>
      <c r="F288" s="1474"/>
      <c r="G288" s="15"/>
      <c r="H288" s="15"/>
      <c r="I288" s="14"/>
      <c r="J288" s="14"/>
      <c r="K288" s="1374"/>
      <c r="L288" s="1374"/>
      <c r="M288" s="1374"/>
      <c r="N288" s="1063"/>
      <c r="O288" s="1062" t="str">
        <f>'Assessment Issue Scoring'!AJ431</f>
        <v>N/A</v>
      </c>
    </row>
    <row r="289" spans="1:15" ht="15" hidden="1" customHeight="1" x14ac:dyDescent="0.25">
      <c r="A289" s="14"/>
      <c r="B289" s="1399" t="str">
        <f>'Assessment Issue Scoring'!AH432</f>
        <v>Ene 05</v>
      </c>
      <c r="C289" s="1474" t="str">
        <f>'Assessment Issue Scoring'!AI432</f>
        <v>Indirect operational greenhouse gas emissions</v>
      </c>
      <c r="D289" s="1474"/>
      <c r="E289" s="1474"/>
      <c r="F289" s="1474"/>
      <c r="G289" s="15"/>
      <c r="H289" s="15"/>
      <c r="I289" s="14"/>
      <c r="J289" s="14"/>
      <c r="K289" s="1374"/>
      <c r="L289" s="1374"/>
      <c r="M289" s="1374"/>
      <c r="N289" s="1063"/>
      <c r="O289" s="1062" t="str">
        <f>'Assessment Issue Scoring'!AJ432</f>
        <v>N/A</v>
      </c>
    </row>
    <row r="290" spans="1:15" ht="15" hidden="1" customHeight="1" x14ac:dyDescent="0.25">
      <c r="A290" s="14"/>
      <c r="B290" s="1399" t="str">
        <f>'Assessment Issue Scoring'!AH452</f>
        <v>Ene 06</v>
      </c>
      <c r="C290" s="1474" t="str">
        <f>'Assessment Issue Scoring'!AI452</f>
        <v>Transport needs and usage patterns</v>
      </c>
      <c r="D290" s="1474"/>
      <c r="E290" s="1474"/>
      <c r="F290" s="1474"/>
      <c r="G290" s="15"/>
      <c r="H290" s="15"/>
      <c r="I290" s="14"/>
      <c r="J290" s="14"/>
      <c r="K290" s="1374"/>
      <c r="L290" s="1374"/>
      <c r="M290" s="1374"/>
      <c r="N290" s="1063"/>
      <c r="O290" s="1062" t="str">
        <f>'Assessment Issue Scoring'!AJ452</f>
        <v>N/A</v>
      </c>
    </row>
    <row r="291" spans="1:15" ht="15" hidden="1" customHeight="1" x14ac:dyDescent="0.25">
      <c r="A291" s="14"/>
      <c r="B291" s="1399" t="str">
        <f>'Assessment Issue Scoring'!AH454</f>
        <v>Ene 06</v>
      </c>
      <c r="C291" s="1474" t="str">
        <f>'Assessment Issue Scoring'!AI454</f>
        <v>Energy efficient features: escalators or moving walks</v>
      </c>
      <c r="D291" s="1474"/>
      <c r="E291" s="1474"/>
      <c r="F291" s="1474"/>
      <c r="G291" s="15"/>
      <c r="H291" s="15"/>
      <c r="I291" s="14"/>
      <c r="J291" s="14"/>
      <c r="K291" s="1374"/>
      <c r="L291" s="1374"/>
      <c r="M291" s="1374"/>
      <c r="N291" s="1063"/>
      <c r="O291" s="1062" t="str">
        <f>'Assessment Issue Scoring'!AJ454</f>
        <v>N/A</v>
      </c>
    </row>
    <row r="292" spans="1:15" ht="15" hidden="1" customHeight="1" x14ac:dyDescent="0.25">
      <c r="A292" s="14"/>
      <c r="B292" s="1399" t="str">
        <f>'Assessment Issue Scoring'!AH522</f>
        <v>Ene 08</v>
      </c>
      <c r="C292" s="1474" t="str">
        <f>'Assessment Issue Scoring'!AI522</f>
        <v>Energy efficient equipment</v>
      </c>
      <c r="D292" s="1474"/>
      <c r="E292" s="1474"/>
      <c r="F292" s="1474"/>
      <c r="G292" s="15"/>
      <c r="H292" s="15"/>
      <c r="I292" s="14"/>
      <c r="J292" s="14"/>
      <c r="K292" s="1374"/>
      <c r="L292" s="1374"/>
      <c r="M292" s="1374"/>
      <c r="N292" s="1063"/>
      <c r="O292" s="1062" t="str">
        <f>'Assessment Issue Scoring'!AJ522</f>
        <v>N/A</v>
      </c>
    </row>
    <row r="293" spans="1:15" ht="15" hidden="1" customHeight="1" x14ac:dyDescent="0.25">
      <c r="A293" s="14"/>
      <c r="B293" s="15"/>
      <c r="C293" s="15"/>
      <c r="D293" s="15"/>
      <c r="E293" s="15"/>
      <c r="F293" s="15"/>
      <c r="G293" s="15"/>
      <c r="H293" s="15"/>
      <c r="I293" s="14"/>
      <c r="J293" s="14"/>
      <c r="K293" s="20"/>
      <c r="L293" s="20"/>
      <c r="M293" s="20"/>
      <c r="N293" s="20"/>
      <c r="O293" s="20"/>
    </row>
    <row r="294" spans="1:15" ht="15" hidden="1" customHeight="1" x14ac:dyDescent="0.25">
      <c r="A294" s="14"/>
      <c r="B294" s="1399" t="str">
        <f>'Assessment Issue Scoring'!AH614</f>
        <v>Wat 01</v>
      </c>
      <c r="C294" s="1474" t="str">
        <f>'Assessment Issue Scoring'!AI614</f>
        <v>Water consumption</v>
      </c>
      <c r="D294" s="1474"/>
      <c r="E294" s="1474"/>
      <c r="F294" s="1474"/>
      <c r="G294" s="15"/>
      <c r="H294" s="15"/>
      <c r="I294" s="14"/>
      <c r="J294" s="14"/>
      <c r="K294" s="1374"/>
      <c r="L294" s="1374"/>
      <c r="M294" s="1374"/>
      <c r="N294" s="1063"/>
      <c r="O294" s="1062" t="str">
        <f>'Assessment Issue Scoring'!AJ614</f>
        <v>N/A</v>
      </c>
    </row>
    <row r="295" spans="1:15" ht="15" hidden="1" customHeight="1" x14ac:dyDescent="0.25">
      <c r="A295" s="14"/>
      <c r="B295" s="1399" t="str">
        <f>'Assessment Issue Scoring'!AH648</f>
        <v>Wat 02</v>
      </c>
      <c r="C295" s="1474" t="str">
        <f>'Assessment Issue Scoring'!AI648</f>
        <v>Water monitoring</v>
      </c>
      <c r="D295" s="1474"/>
      <c r="E295" s="1474"/>
      <c r="F295" s="1474"/>
      <c r="G295" s="15"/>
      <c r="H295" s="15"/>
      <c r="I295" s="14"/>
      <c r="J295" s="14"/>
      <c r="K295" s="1374"/>
      <c r="L295" s="1374"/>
      <c r="M295" s="1374"/>
      <c r="N295" s="1063"/>
      <c r="O295" s="1062" t="str">
        <f>'Assessment Issue Scoring'!AJ648</f>
        <v>N/A</v>
      </c>
    </row>
    <row r="296" spans="1:15" ht="15" hidden="1" customHeight="1" x14ac:dyDescent="0.25">
      <c r="A296" s="14"/>
      <c r="B296" s="1399" t="str">
        <f>'Assessment Issue Scoring'!AH673</f>
        <v>Wat 03</v>
      </c>
      <c r="C296" s="1474" t="str">
        <f>'Assessment Issue Scoring'!AI673</f>
        <v>Leak isolation</v>
      </c>
      <c r="D296" s="1474"/>
      <c r="E296" s="1474"/>
      <c r="F296" s="1474"/>
      <c r="G296" s="15"/>
      <c r="H296" s="15"/>
      <c r="I296" s="14"/>
      <c r="J296" s="14"/>
      <c r="K296" s="1374"/>
      <c r="L296" s="1374"/>
      <c r="M296" s="1374"/>
      <c r="N296" s="1063"/>
      <c r="O296" s="1062" t="str">
        <f>'Assessment Issue Scoring'!AJ673</f>
        <v>N/A</v>
      </c>
    </row>
    <row r="297" spans="1:15" ht="15" hidden="1" customHeight="1" x14ac:dyDescent="0.25">
      <c r="A297" s="14"/>
      <c r="B297" s="15"/>
      <c r="C297" s="15"/>
      <c r="D297" s="15"/>
      <c r="E297" s="15"/>
      <c r="F297" s="15"/>
      <c r="G297" s="15"/>
      <c r="H297" s="15"/>
      <c r="I297" s="14"/>
      <c r="J297" s="14"/>
      <c r="K297" s="20"/>
      <c r="L297" s="20"/>
      <c r="M297" s="20"/>
      <c r="N297" s="20"/>
      <c r="O297" s="20"/>
    </row>
    <row r="298" spans="1:15" ht="15" hidden="1" customHeight="1" x14ac:dyDescent="0.25">
      <c r="A298" s="14"/>
      <c r="B298" s="1399" t="str">
        <f>'Assessment Issue Scoring'!AH822</f>
        <v>Mat 05</v>
      </c>
      <c r="C298" s="1474" t="str">
        <f>'Assessment Issue Scoring'!AI822</f>
        <v>Pre-requisite: risk analysis</v>
      </c>
      <c r="D298" s="1474"/>
      <c r="E298" s="1474"/>
      <c r="F298" s="1474"/>
      <c r="G298" s="15"/>
      <c r="H298" s="15"/>
      <c r="I298" s="14"/>
      <c r="J298" s="14"/>
      <c r="K298" s="1374"/>
      <c r="L298" s="1374"/>
      <c r="M298" s="1374"/>
      <c r="N298" s="1063"/>
      <c r="O298" s="1062" t="str">
        <f>'Assessment Issue Scoring'!AJ822</f>
        <v>N/A</v>
      </c>
    </row>
    <row r="299" spans="1:15" ht="15" hidden="1" customHeight="1" x14ac:dyDescent="0.25">
      <c r="A299" s="14"/>
      <c r="B299" s="15"/>
      <c r="C299" s="15"/>
      <c r="D299" s="15"/>
      <c r="E299" s="15"/>
      <c r="F299" s="15"/>
      <c r="G299" s="15"/>
      <c r="H299" s="15"/>
      <c r="I299" s="14"/>
      <c r="J299" s="14"/>
      <c r="K299" s="20"/>
      <c r="L299" s="20"/>
      <c r="M299" s="20"/>
      <c r="N299" s="20"/>
      <c r="O299" s="20"/>
    </row>
    <row r="300" spans="1:15" ht="15" hidden="1" customHeight="1" x14ac:dyDescent="0.25">
      <c r="A300" s="14"/>
      <c r="B300" s="1399" t="str">
        <f>'Assessment Issue Scoring'!AH1217</f>
        <v>POL 01</v>
      </c>
      <c r="C300" s="1474" t="str">
        <f>'Assessment Issue Scoring'!AI1217</f>
        <v>Impact of refrigerant: criterion 1, 2</v>
      </c>
      <c r="D300" s="1474"/>
      <c r="E300" s="1474"/>
      <c r="F300" s="1474"/>
      <c r="G300" s="15"/>
      <c r="H300" s="15"/>
      <c r="I300" s="14"/>
      <c r="J300" s="14"/>
      <c r="K300" s="1374"/>
      <c r="L300" s="1374"/>
      <c r="M300" s="1374"/>
      <c r="N300" s="1063"/>
      <c r="O300" s="1062">
        <f>'Assessment Issue Scoring'!AJ1217</f>
        <v>0</v>
      </c>
    </row>
    <row r="301" spans="1:15" ht="15" hidden="1" customHeight="1" x14ac:dyDescent="0.25">
      <c r="A301" s="14"/>
      <c r="B301" s="1399" t="str">
        <f>'Assessment Issue Scoring'!AH1222</f>
        <v>POL 01</v>
      </c>
      <c r="C301" s="1474" t="str">
        <f>'Assessment Issue Scoring'!AI1222</f>
        <v>Impact of refrigerant: criterion 3</v>
      </c>
      <c r="D301" s="1474"/>
      <c r="E301" s="1474"/>
      <c r="F301" s="1474"/>
      <c r="G301" s="15"/>
      <c r="H301" s="15"/>
      <c r="I301" s="14"/>
      <c r="J301" s="14"/>
      <c r="K301" s="1374"/>
      <c r="L301" s="1374"/>
      <c r="M301" s="1374"/>
      <c r="N301" s="1063"/>
      <c r="O301" s="1062" t="str">
        <f>'Assessment Issue Scoring'!AJ1222</f>
        <v>N/A</v>
      </c>
    </row>
    <row r="302" spans="1:15" ht="15" hidden="1" customHeight="1" x14ac:dyDescent="0.25">
      <c r="A302" s="14"/>
      <c r="B302" s="1399"/>
      <c r="C302" s="1474" t="str">
        <f>'Assessment Issue Scoring'!AI1253</f>
        <v>Local air quality</v>
      </c>
      <c r="D302" s="1474"/>
      <c r="E302" s="1474"/>
      <c r="F302" s="1474"/>
      <c r="G302" s="15"/>
      <c r="H302" s="15"/>
      <c r="I302" s="14"/>
      <c r="J302" s="14"/>
      <c r="K302" s="1374"/>
      <c r="L302" s="1374"/>
      <c r="M302" s="1374"/>
      <c r="N302" s="1063"/>
      <c r="O302" s="1062"/>
    </row>
    <row r="303" spans="1:15" ht="15" hidden="1" customHeight="1" x14ac:dyDescent="0.25">
      <c r="A303" s="14"/>
      <c r="B303" s="1399" t="str">
        <f>'Assessment Issue Scoring'!AH1280</f>
        <v>POL 04</v>
      </c>
      <c r="C303" s="1474" t="str">
        <f>'Assessment Issue Scoring'!AI1280</f>
        <v xml:space="preserve">No external lighting pollution </v>
      </c>
      <c r="D303" s="1474"/>
      <c r="E303" s="1474"/>
      <c r="F303" s="1474"/>
      <c r="G303" s="15"/>
      <c r="H303" s="15"/>
      <c r="I303" s="14"/>
      <c r="J303" s="14"/>
      <c r="K303" s="1374"/>
      <c r="L303" s="1374"/>
      <c r="M303" s="1374"/>
      <c r="N303" s="1063"/>
      <c r="O303" s="1062" t="str">
        <f>'Assessment Issue Scoring'!AJ1280</f>
        <v>N/A</v>
      </c>
    </row>
    <row r="304" spans="1:15" ht="15" hidden="1" customHeight="1" x14ac:dyDescent="0.25">
      <c r="A304" s="14"/>
      <c r="B304" s="1399" t="str">
        <f>'Assessment Issue Scoring'!AH1302</f>
        <v>POL 05</v>
      </c>
      <c r="C304" s="1474" t="str">
        <f>'Assessment Issue Scoring'!AI1302</f>
        <v>Noise attenuation</v>
      </c>
      <c r="D304" s="1474"/>
      <c r="E304" s="1474"/>
      <c r="F304" s="1474"/>
      <c r="G304" s="15"/>
      <c r="H304" s="15"/>
      <c r="I304" s="14"/>
      <c r="J304" s="14"/>
      <c r="K304" s="1374"/>
      <c r="L304" s="1374"/>
      <c r="M304" s="1374"/>
      <c r="N304" s="1063"/>
      <c r="O304" s="1062" t="str">
        <f>'Assessment Issue Scoring'!AJ1302</f>
        <v>N/A</v>
      </c>
    </row>
    <row r="305" spans="1:15" ht="15" hidden="1" customHeight="1" x14ac:dyDescent="0.25">
      <c r="A305" s="14"/>
      <c r="B305" s="15"/>
      <c r="C305" s="15"/>
      <c r="D305" s="15"/>
      <c r="E305" s="15"/>
      <c r="F305" s="15"/>
      <c r="G305" s="15"/>
      <c r="H305" s="15"/>
      <c r="I305" s="14"/>
      <c r="J305" s="14"/>
      <c r="K305" s="20"/>
      <c r="L305" s="20"/>
      <c r="M305" s="20"/>
      <c r="N305" s="20"/>
      <c r="O305" s="20"/>
    </row>
    <row r="306" spans="1:15" ht="15" customHeight="1" x14ac:dyDescent="0.25">
      <c r="A306" s="14"/>
      <c r="B306" s="15"/>
      <c r="C306" s="15"/>
      <c r="D306" s="15"/>
      <c r="E306" s="15"/>
      <c r="F306" s="15"/>
      <c r="G306" s="15"/>
      <c r="H306" s="15"/>
      <c r="I306" s="14"/>
      <c r="J306" s="14"/>
      <c r="K306" s="20"/>
      <c r="L306" s="20"/>
      <c r="M306" s="20"/>
      <c r="N306" s="20"/>
      <c r="O306" s="20"/>
    </row>
    <row r="307" spans="1:15" ht="15" customHeight="1" x14ac:dyDescent="0.25">
      <c r="A307" s="14"/>
      <c r="B307" s="15"/>
      <c r="C307" s="15"/>
      <c r="D307" s="15"/>
      <c r="E307" s="15"/>
      <c r="F307" s="15"/>
      <c r="G307" s="15"/>
      <c r="H307" s="15"/>
      <c r="I307" s="14"/>
      <c r="J307" s="14"/>
      <c r="K307" s="20"/>
      <c r="L307" s="20"/>
      <c r="M307" s="20"/>
      <c r="N307" s="20"/>
      <c r="O307" s="20"/>
    </row>
    <row r="308" spans="1:15" ht="15" customHeight="1" x14ac:dyDescent="0.25">
      <c r="A308" s="14"/>
      <c r="B308" s="15"/>
      <c r="C308" s="15"/>
      <c r="D308" s="15"/>
      <c r="E308" s="15"/>
      <c r="F308" s="15"/>
      <c r="G308" s="15"/>
      <c r="H308" s="15"/>
      <c r="I308" s="14"/>
      <c r="J308" s="14"/>
      <c r="K308" s="20"/>
      <c r="L308" s="20"/>
      <c r="M308" s="20"/>
      <c r="N308" s="20"/>
      <c r="O308" s="20"/>
    </row>
    <row r="309" spans="1:15" ht="15" customHeight="1" x14ac:dyDescent="0.25">
      <c r="A309" s="14"/>
      <c r="B309" s="15"/>
      <c r="C309" s="15"/>
      <c r="D309" s="15"/>
      <c r="E309" s="15"/>
      <c r="F309" s="15"/>
      <c r="G309" s="15"/>
      <c r="H309" s="15"/>
      <c r="I309" s="14"/>
      <c r="J309" s="14"/>
      <c r="K309" s="20"/>
      <c r="L309" s="20"/>
      <c r="M309" s="20"/>
      <c r="N309" s="20"/>
      <c r="O309" s="20"/>
    </row>
    <row r="310" spans="1:15" ht="15" customHeight="1" x14ac:dyDescent="0.25">
      <c r="A310" s="14"/>
      <c r="B310" s="15"/>
      <c r="C310" s="15"/>
      <c r="D310" s="15"/>
      <c r="E310" s="15"/>
      <c r="F310" s="15"/>
      <c r="G310" s="15"/>
      <c r="H310" s="15"/>
      <c r="I310" s="14"/>
      <c r="J310" s="14"/>
      <c r="K310" s="20"/>
      <c r="L310" s="20"/>
      <c r="M310" s="20"/>
      <c r="N310" s="20"/>
      <c r="O310" s="20"/>
    </row>
    <row r="311" spans="1:15" ht="15" customHeight="1" x14ac:dyDescent="0.25">
      <c r="A311" s="14"/>
      <c r="B311" s="15"/>
      <c r="C311" s="15"/>
      <c r="D311" s="15"/>
      <c r="E311" s="15"/>
      <c r="F311" s="15"/>
      <c r="G311" s="15"/>
      <c r="H311" s="15"/>
      <c r="I311" s="14"/>
      <c r="J311" s="14"/>
      <c r="K311" s="20"/>
      <c r="L311" s="20"/>
      <c r="M311" s="20"/>
      <c r="N311" s="20"/>
      <c r="O311" s="20"/>
    </row>
    <row r="312" spans="1:15" ht="15" customHeight="1" x14ac:dyDescent="0.25">
      <c r="A312" s="14"/>
      <c r="B312" s="15"/>
      <c r="C312" s="15"/>
      <c r="D312" s="15"/>
      <c r="E312" s="15"/>
      <c r="F312" s="15"/>
      <c r="G312" s="15"/>
      <c r="H312" s="15"/>
      <c r="I312" s="14"/>
      <c r="J312" s="14"/>
      <c r="K312" s="20"/>
      <c r="L312" s="20"/>
      <c r="M312" s="20"/>
      <c r="N312" s="20"/>
      <c r="O312" s="20"/>
    </row>
    <row r="313" spans="1:15" ht="15" customHeight="1" x14ac:dyDescent="0.25">
      <c r="A313" s="14"/>
      <c r="B313" s="15"/>
      <c r="C313" s="15"/>
      <c r="D313" s="15"/>
      <c r="E313" s="15"/>
      <c r="F313" s="15"/>
      <c r="G313" s="15"/>
      <c r="H313" s="15"/>
      <c r="I313" s="14"/>
      <c r="J313" s="14"/>
      <c r="K313" s="20"/>
      <c r="L313" s="20"/>
      <c r="M313" s="20"/>
      <c r="N313" s="20"/>
      <c r="O313" s="20"/>
    </row>
    <row r="314" spans="1:15" x14ac:dyDescent="0.25">
      <c r="A314" s="14"/>
      <c r="B314" s="15"/>
      <c r="C314" s="15"/>
      <c r="D314" s="15"/>
      <c r="E314" s="15"/>
      <c r="F314" s="15"/>
      <c r="G314" s="15"/>
      <c r="H314" s="15"/>
      <c r="I314" s="14"/>
      <c r="J314" s="14"/>
      <c r="K314" s="20"/>
      <c r="L314" s="20"/>
      <c r="M314" s="20"/>
      <c r="N314" s="20"/>
      <c r="O314" s="20"/>
    </row>
    <row r="315" spans="1:15" x14ac:dyDescent="0.25">
      <c r="A315" s="14"/>
      <c r="B315" s="15"/>
      <c r="C315" s="15"/>
      <c r="D315" s="15"/>
      <c r="E315" s="15"/>
      <c r="F315" s="15"/>
      <c r="G315" s="15"/>
      <c r="H315" s="15"/>
      <c r="I315" s="14"/>
      <c r="J315" s="14"/>
      <c r="K315" s="20"/>
      <c r="L315" s="20"/>
      <c r="M315" s="20"/>
      <c r="N315" s="20"/>
      <c r="O315" s="20"/>
    </row>
    <row r="316" spans="1:15" x14ac:dyDescent="0.25">
      <c r="A316" s="14"/>
      <c r="B316" s="15"/>
      <c r="C316" s="15"/>
      <c r="D316" s="15"/>
      <c r="E316" s="15"/>
      <c r="F316" s="15"/>
      <c r="G316" s="15"/>
      <c r="H316" s="15"/>
      <c r="I316" s="14"/>
      <c r="J316" s="14"/>
      <c r="K316" s="20"/>
      <c r="L316" s="20"/>
      <c r="M316" s="20"/>
      <c r="N316" s="20"/>
      <c r="O316" s="20"/>
    </row>
    <row r="317" spans="1:15" x14ac:dyDescent="0.25">
      <c r="A317" s="14"/>
      <c r="B317" s="15"/>
      <c r="C317" s="15"/>
      <c r="D317" s="15"/>
      <c r="E317" s="15"/>
      <c r="F317" s="15"/>
      <c r="G317" s="15"/>
      <c r="H317" s="15"/>
      <c r="I317" s="14"/>
      <c r="J317" s="14"/>
      <c r="K317" s="20"/>
      <c r="L317" s="20"/>
      <c r="M317" s="20"/>
      <c r="N317" s="20"/>
      <c r="O317" s="20"/>
    </row>
    <row r="318" spans="1:15" x14ac:dyDescent="0.25">
      <c r="A318" s="14"/>
      <c r="B318" s="15"/>
      <c r="C318" s="15"/>
      <c r="D318" s="15"/>
      <c r="E318" s="15"/>
      <c r="F318" s="15"/>
      <c r="G318" s="15"/>
      <c r="H318" s="15"/>
      <c r="I318" s="14"/>
      <c r="J318" s="14"/>
      <c r="K318" s="20"/>
      <c r="L318" s="20"/>
      <c r="M318" s="20"/>
      <c r="N318" s="20"/>
      <c r="O318" s="20"/>
    </row>
    <row r="319" spans="1:15" x14ac:dyDescent="0.25">
      <c r="A319" s="14"/>
      <c r="B319" s="15"/>
      <c r="C319" s="15"/>
      <c r="D319" s="15"/>
      <c r="E319" s="15"/>
      <c r="F319" s="15"/>
      <c r="G319" s="15"/>
      <c r="H319" s="15"/>
      <c r="I319" s="14"/>
      <c r="J319" s="14"/>
      <c r="K319" s="20"/>
      <c r="L319" s="20"/>
      <c r="M319" s="20"/>
      <c r="N319" s="20"/>
      <c r="O319" s="20"/>
    </row>
    <row r="320" spans="1:15" x14ac:dyDescent="0.25">
      <c r="A320" s="14"/>
      <c r="B320" s="15"/>
      <c r="C320" s="15"/>
      <c r="D320" s="15"/>
      <c r="E320" s="15"/>
      <c r="F320" s="15"/>
      <c r="G320" s="15"/>
      <c r="H320" s="15"/>
      <c r="I320" s="14"/>
      <c r="J320" s="14"/>
      <c r="K320" s="20"/>
      <c r="L320" s="20"/>
      <c r="M320" s="20"/>
      <c r="N320" s="20"/>
      <c r="O320" s="20"/>
    </row>
    <row r="321" spans="1:15" x14ac:dyDescent="0.25">
      <c r="A321" s="14"/>
      <c r="B321" s="15"/>
      <c r="C321" s="15"/>
      <c r="D321" s="15"/>
      <c r="E321" s="15"/>
      <c r="F321" s="15"/>
      <c r="G321" s="15"/>
      <c r="H321" s="15"/>
      <c r="I321" s="14"/>
      <c r="J321" s="14"/>
      <c r="K321" s="20"/>
      <c r="L321" s="20"/>
      <c r="M321" s="20"/>
      <c r="N321" s="20"/>
      <c r="O321" s="20"/>
    </row>
    <row r="322" spans="1:15" x14ac:dyDescent="0.25">
      <c r="A322" s="14"/>
      <c r="B322" s="15"/>
      <c r="C322" s="15"/>
      <c r="D322" s="15"/>
      <c r="E322" s="15"/>
      <c r="F322" s="15"/>
      <c r="G322" s="15"/>
      <c r="H322" s="15"/>
      <c r="I322" s="14"/>
      <c r="J322" s="14"/>
      <c r="K322" s="20"/>
      <c r="L322" s="20"/>
      <c r="M322" s="20"/>
      <c r="N322" s="20"/>
      <c r="O322" s="20"/>
    </row>
    <row r="323" spans="1:15" x14ac:dyDescent="0.25">
      <c r="A323" s="14"/>
      <c r="B323" s="15"/>
      <c r="C323" s="15"/>
      <c r="D323" s="15"/>
      <c r="E323" s="15"/>
      <c r="F323" s="15"/>
      <c r="G323" s="15"/>
      <c r="H323" s="15"/>
      <c r="I323" s="14"/>
      <c r="J323" s="14"/>
      <c r="K323" s="20"/>
      <c r="L323" s="20"/>
      <c r="M323" s="20"/>
      <c r="N323" s="20"/>
      <c r="O323" s="20"/>
    </row>
    <row r="324" spans="1:15" x14ac:dyDescent="0.25">
      <c r="A324" s="14"/>
      <c r="B324" s="15"/>
      <c r="C324" s="15"/>
      <c r="D324" s="15"/>
      <c r="E324" s="15"/>
      <c r="F324" s="15"/>
      <c r="G324" s="15"/>
      <c r="H324" s="15"/>
      <c r="I324" s="14"/>
      <c r="J324" s="14"/>
      <c r="K324" s="20"/>
      <c r="L324" s="20"/>
      <c r="M324" s="20"/>
      <c r="N324" s="20"/>
      <c r="O324" s="20"/>
    </row>
    <row r="325" spans="1:15" x14ac:dyDescent="0.25">
      <c r="A325" s="14"/>
      <c r="B325" s="15"/>
      <c r="C325" s="15"/>
      <c r="D325" s="15"/>
      <c r="E325" s="15"/>
      <c r="F325" s="15"/>
      <c r="G325" s="15"/>
      <c r="H325" s="15"/>
      <c r="I325" s="14"/>
      <c r="J325" s="14"/>
      <c r="K325" s="20"/>
      <c r="L325" s="20"/>
      <c r="M325" s="20"/>
      <c r="N325" s="20"/>
      <c r="O325" s="20"/>
    </row>
    <row r="326" spans="1:15" x14ac:dyDescent="0.25">
      <c r="A326" s="14"/>
      <c r="B326" s="15"/>
      <c r="C326" s="15"/>
      <c r="D326" s="15"/>
      <c r="E326" s="15"/>
      <c r="F326" s="15"/>
      <c r="G326" s="15"/>
      <c r="H326" s="15"/>
      <c r="I326" s="14"/>
      <c r="J326" s="14"/>
      <c r="K326" s="20"/>
      <c r="L326" s="20"/>
      <c r="M326" s="20"/>
      <c r="N326" s="20"/>
      <c r="O326" s="20"/>
    </row>
    <row r="327" spans="1:15" x14ac:dyDescent="0.25">
      <c r="A327" s="14"/>
      <c r="B327" s="15"/>
      <c r="C327" s="15"/>
      <c r="D327" s="15"/>
      <c r="E327" s="15"/>
      <c r="F327" s="15"/>
      <c r="G327" s="15"/>
      <c r="H327" s="15"/>
      <c r="I327" s="14"/>
      <c r="J327" s="14"/>
      <c r="K327" s="20"/>
      <c r="L327" s="20"/>
      <c r="M327" s="20"/>
      <c r="N327" s="20"/>
      <c r="O327" s="20"/>
    </row>
    <row r="328" spans="1:15" x14ac:dyDescent="0.25">
      <c r="A328" s="14"/>
      <c r="B328" s="15"/>
      <c r="C328" s="15"/>
      <c r="D328" s="15"/>
      <c r="E328" s="15"/>
      <c r="F328" s="15"/>
      <c r="G328" s="15"/>
      <c r="H328" s="15"/>
      <c r="I328" s="14"/>
      <c r="J328" s="14"/>
      <c r="K328" s="20"/>
      <c r="L328" s="20"/>
      <c r="M328" s="20"/>
      <c r="N328" s="20"/>
      <c r="O328" s="20"/>
    </row>
    <row r="329" spans="1:15" x14ac:dyDescent="0.25">
      <c r="A329" s="14"/>
      <c r="B329" s="15"/>
      <c r="C329" s="15"/>
      <c r="D329" s="15"/>
      <c r="E329" s="15"/>
      <c r="F329" s="15"/>
      <c r="G329" s="15"/>
      <c r="H329" s="15"/>
      <c r="I329" s="14"/>
      <c r="J329" s="14"/>
      <c r="K329" s="20"/>
      <c r="L329" s="20"/>
      <c r="M329" s="20"/>
      <c r="N329" s="20"/>
      <c r="O329" s="20"/>
    </row>
    <row r="330" spans="1:15" x14ac:dyDescent="0.25">
      <c r="A330" s="14"/>
      <c r="B330" s="15"/>
      <c r="C330" s="15"/>
      <c r="D330" s="15"/>
      <c r="E330" s="15"/>
      <c r="F330" s="15"/>
      <c r="G330" s="15"/>
      <c r="H330" s="15"/>
      <c r="I330" s="14"/>
      <c r="J330" s="14"/>
      <c r="K330" s="20"/>
      <c r="L330" s="20"/>
      <c r="M330" s="20"/>
      <c r="N330" s="20"/>
      <c r="O330" s="20"/>
    </row>
    <row r="331" spans="1:15" x14ac:dyDescent="0.25">
      <c r="A331" s="14"/>
      <c r="B331" s="15"/>
      <c r="C331" s="15"/>
      <c r="D331" s="15"/>
      <c r="E331" s="15"/>
      <c r="F331" s="15"/>
      <c r="G331" s="15"/>
      <c r="H331" s="15"/>
      <c r="I331" s="14"/>
      <c r="J331" s="14"/>
      <c r="K331" s="20"/>
      <c r="L331" s="20"/>
      <c r="M331" s="20"/>
      <c r="N331" s="20"/>
      <c r="O331" s="20"/>
    </row>
    <row r="332" spans="1:15" x14ac:dyDescent="0.25">
      <c r="B332" s="20"/>
      <c r="C332" s="20"/>
      <c r="D332" s="20"/>
      <c r="E332" s="20"/>
      <c r="F332" s="20"/>
      <c r="G332" s="20"/>
      <c r="H332" s="20"/>
      <c r="K332" s="20"/>
      <c r="L332" s="20"/>
      <c r="M332" s="20"/>
      <c r="N332" s="20"/>
      <c r="O332" s="20"/>
    </row>
    <row r="333" spans="1:15" x14ac:dyDescent="0.25">
      <c r="B333" s="20"/>
      <c r="C333" s="20"/>
      <c r="D333" s="20"/>
      <c r="E333" s="20"/>
      <c r="F333" s="20"/>
      <c r="G333" s="20"/>
      <c r="H333" s="20"/>
      <c r="K333" s="20"/>
      <c r="L333" s="20"/>
      <c r="M333" s="20"/>
      <c r="N333" s="20"/>
      <c r="O333" s="20"/>
    </row>
    <row r="334" spans="1:15" x14ac:dyDescent="0.25">
      <c r="B334" s="20"/>
      <c r="C334" s="20"/>
      <c r="D334" s="20"/>
      <c r="E334" s="20"/>
      <c r="F334" s="20"/>
      <c r="G334" s="20"/>
      <c r="H334" s="20"/>
      <c r="K334" s="20"/>
      <c r="L334" s="20"/>
      <c r="M334" s="20"/>
      <c r="N334" s="20"/>
      <c r="O334" s="20"/>
    </row>
    <row r="335" spans="1:15" x14ac:dyDescent="0.25">
      <c r="B335" s="20"/>
      <c r="C335" s="20"/>
      <c r="D335" s="20"/>
      <c r="E335" s="20"/>
      <c r="F335" s="20"/>
      <c r="G335" s="20"/>
      <c r="H335" s="20"/>
      <c r="K335" s="20"/>
      <c r="L335" s="20"/>
      <c r="M335" s="20"/>
      <c r="N335" s="20"/>
      <c r="O335" s="20"/>
    </row>
  </sheetData>
  <sheetProtection algorithmName="SHA-512" hashValue="B1gd0Yr0uSROpdusmtiUhxxd0ixxP8PJ4bWKEAUvVUUP/WbT3/MfsGU292OnmpZKy4o56KBiMIVbCnsR3TCeVw==" saltValue="aZ9M65R7f7bH5PT6z+pR+w==" spinCount="100000" sheet="1"/>
  <phoneticPr fontId="51" type="noConversion"/>
  <conditionalFormatting sqref="D247:E247">
    <cfRule type="expression" dxfId="1966" priority="196">
      <formula>D247&gt;C247</formula>
    </cfRule>
  </conditionalFormatting>
  <conditionalFormatting sqref="D247:H247">
    <cfRule type="expression" dxfId="1965" priority="190">
      <formula>#REF!=2</formula>
    </cfRule>
  </conditionalFormatting>
  <conditionalFormatting sqref="G9 O9">
    <cfRule type="expression" dxfId="1964" priority="7350">
      <formula>$T59=4</formula>
    </cfRule>
    <cfRule type="expression" dxfId="1963" priority="7351">
      <formula>$T59=3</formula>
    </cfRule>
    <cfRule type="expression" dxfId="1962" priority="7352">
      <formula>$T59=2</formula>
    </cfRule>
    <cfRule type="expression" dxfId="1961" priority="7353">
      <formula>$T59=1</formula>
    </cfRule>
  </conditionalFormatting>
  <conditionalFormatting sqref="G22 O22 O27 G44 O44 G48 O48 G53 O53 G60 O60 G64 O64 G78 O78 G82 O82 G89 O89 G126 O126 O132 G136:G137 O136:O137">
    <cfRule type="expression" dxfId="1960" priority="7368">
      <formula>$T213=4</formula>
    </cfRule>
    <cfRule type="expression" dxfId="1959" priority="7369">
      <formula>$T213=3</formula>
    </cfRule>
    <cfRule type="expression" dxfId="1958" priority="7370">
      <formula>$T213=2</formula>
    </cfRule>
    <cfRule type="expression" dxfId="1957" priority="7371">
      <formula>$T213=1</formula>
    </cfRule>
  </conditionalFormatting>
  <conditionalFormatting sqref="G27">
    <cfRule type="expression" dxfId="1956" priority="7556">
      <formula>$T218=1</formula>
    </cfRule>
    <cfRule type="expression" dxfId="1955" priority="7555">
      <formula>$T218=2</formula>
    </cfRule>
    <cfRule type="expression" dxfId="1954" priority="7554">
      <formula>$T218=3</formula>
    </cfRule>
    <cfRule type="expression" dxfId="1953" priority="7553">
      <formula>$T218=4</formula>
    </cfRule>
  </conditionalFormatting>
  <conditionalFormatting sqref="G106 O106 G111 O111">
    <cfRule type="expression" dxfId="1952" priority="7619">
      <formula>$T293=1</formula>
    </cfRule>
    <cfRule type="expression" dxfId="1951" priority="7618">
      <formula>$T293=2</formula>
    </cfRule>
    <cfRule type="expression" dxfId="1950" priority="7617">
      <formula>$T293=3</formula>
    </cfRule>
    <cfRule type="expression" dxfId="1949" priority="7616">
      <formula>$T293=4</formula>
    </cfRule>
  </conditionalFormatting>
  <conditionalFormatting sqref="G132">
    <cfRule type="expression" dxfId="1948" priority="7510">
      <formula>$T323=1</formula>
    </cfRule>
    <cfRule type="expression" dxfId="1947" priority="7508">
      <formula>$T323=3</formula>
    </cfRule>
    <cfRule type="expression" dxfId="1946" priority="7509">
      <formula>$T323=2</formula>
    </cfRule>
    <cfRule type="expression" dxfId="1945" priority="7507">
      <formula>$T323=4</formula>
    </cfRule>
  </conditionalFormatting>
  <conditionalFormatting sqref="G148 O148 G152 O152">
    <cfRule type="expression" dxfId="1944" priority="7385">
      <formula>$T342=1</formula>
    </cfRule>
    <cfRule type="expression" dxfId="1943" priority="7384">
      <formula>$T342=2</formula>
    </cfRule>
    <cfRule type="expression" dxfId="1942" priority="7383">
      <formula>$T342=3</formula>
    </cfRule>
    <cfRule type="expression" dxfId="1941" priority="7382">
      <formula>$T342=4</formula>
    </cfRule>
  </conditionalFormatting>
  <conditionalFormatting sqref="G161 O161 G165 O165 G169 O169 G173 O173 G182 O182 G187 O187">
    <cfRule type="expression" dxfId="1940" priority="166">
      <formula>$T359=4</formula>
    </cfRule>
    <cfRule type="expression" dxfId="1939" priority="167">
      <formula>$T359=3</formula>
    </cfRule>
    <cfRule type="expression" dxfId="1938" priority="168">
      <formula>$T359=2</formula>
    </cfRule>
    <cfRule type="expression" dxfId="1937" priority="169">
      <formula>$T359=1</formula>
    </cfRule>
  </conditionalFormatting>
  <conditionalFormatting sqref="G207 O207 G216 O216">
    <cfRule type="expression" dxfId="1936" priority="256">
      <formula>$T207=3</formula>
    </cfRule>
    <cfRule type="expression" dxfId="1935" priority="257">
      <formula>$T207=2</formula>
    </cfRule>
    <cfRule type="expression" dxfId="1934" priority="255">
      <formula>$T207=4</formula>
    </cfRule>
    <cfRule type="expression" dxfId="1933" priority="258">
      <formula>$T207=1</formula>
    </cfRule>
  </conditionalFormatting>
  <conditionalFormatting sqref="G221 O221">
    <cfRule type="expression" dxfId="1932" priority="237">
      <formula>$T208=1</formula>
    </cfRule>
    <cfRule type="expression" dxfId="1931" priority="236">
      <formula>$T208=2</formula>
    </cfRule>
    <cfRule type="expression" dxfId="1930" priority="234">
      <formula>$T208=4</formula>
    </cfRule>
    <cfRule type="expression" dxfId="1929" priority="235">
      <formula>$T208=3</formula>
    </cfRule>
  </conditionalFormatting>
  <conditionalFormatting sqref="G225 O225">
    <cfRule type="expression" dxfId="1928" priority="230">
      <formula>$T214=1</formula>
    </cfRule>
    <cfRule type="expression" dxfId="1927" priority="228">
      <formula>$T214=3</formula>
    </cfRule>
    <cfRule type="expression" dxfId="1926" priority="229">
      <formula>$T214=2</formula>
    </cfRule>
    <cfRule type="expression" dxfId="1925" priority="227">
      <formula>$T214=4</formula>
    </cfRule>
  </conditionalFormatting>
  <conditionalFormatting sqref="G230">
    <cfRule type="expression" dxfId="1924" priority="214">
      <formula>#REF!=4</formula>
    </cfRule>
    <cfRule type="expression" dxfId="1923" priority="215">
      <formula>#REF!=3</formula>
    </cfRule>
    <cfRule type="expression" dxfId="1922" priority="217">
      <formula>#REF!=1</formula>
    </cfRule>
    <cfRule type="expression" dxfId="1921" priority="216">
      <formula>#REF!=2</formula>
    </cfRule>
  </conditionalFormatting>
  <conditionalFormatting sqref="G236 O236">
    <cfRule type="expression" dxfId="1920" priority="209">
      <formula>$T215=4</formula>
    </cfRule>
    <cfRule type="expression" dxfId="1919" priority="210">
      <formula>$T215=3</formula>
    </cfRule>
    <cfRule type="expression" dxfId="1918" priority="211">
      <formula>$T215=2</formula>
    </cfRule>
    <cfRule type="expression" dxfId="1917" priority="212">
      <formula>$T215=1</formula>
    </cfRule>
  </conditionalFormatting>
  <conditionalFormatting sqref="G240">
    <cfRule type="expression" dxfId="1916" priority="244">
      <formula>#REF!=1</formula>
    </cfRule>
    <cfRule type="expression" dxfId="1915" priority="242">
      <formula>#REF!=3</formula>
    </cfRule>
    <cfRule type="expression" dxfId="1914" priority="241">
      <formula>#REF!=4</formula>
    </cfRule>
    <cfRule type="expression" dxfId="1913" priority="243">
      <formula>#REF!=2</formula>
    </cfRule>
  </conditionalFormatting>
  <conditionalFormatting sqref="G244">
    <cfRule type="expression" dxfId="1912" priority="176">
      <formula>#REF!=4</formula>
    </cfRule>
    <cfRule type="expression" dxfId="1911" priority="177">
      <formula>#REF!=3</formula>
    </cfRule>
    <cfRule type="expression" dxfId="1910" priority="178">
      <formula>#REF!=2</formula>
    </cfRule>
    <cfRule type="expression" dxfId="1909" priority="179">
      <formula>#REF!=1</formula>
    </cfRule>
  </conditionalFormatting>
  <conditionalFormatting sqref="G247">
    <cfRule type="expression" dxfId="1908" priority="186">
      <formula>#REF!=4</formula>
    </cfRule>
    <cfRule type="expression" dxfId="1907" priority="187">
      <formula>#REF!=3</formula>
    </cfRule>
    <cfRule type="expression" dxfId="1906" priority="188">
      <formula>#REF!=2</formula>
    </cfRule>
    <cfRule type="expression" dxfId="1905" priority="189">
      <formula>#REF!=1</formula>
    </cfRule>
  </conditionalFormatting>
  <conditionalFormatting sqref="G9:H9 L9:O9">
    <cfRule type="expression" dxfId="1904" priority="7349">
      <formula>$S59=2</formula>
    </cfRule>
  </conditionalFormatting>
  <conditionalFormatting sqref="G22:H22 L22:O22 L27:O27 G44:H44 L44:O44 G48:H48 L48:O48 G53:H53 L53:O53 G60:H60 L60:O60 G64:H64 L64:O64 G78:H78 L78:O78 G82:H82 L82:O82 G89:H89 L89:O89 G126:H126 L126:O126 L132:O132 G136:H137 L136:O137">
    <cfRule type="expression" dxfId="1903" priority="7354">
      <formula>$S213=2</formula>
    </cfRule>
  </conditionalFormatting>
  <conditionalFormatting sqref="G27:H27">
    <cfRule type="expression" dxfId="1902" priority="7549">
      <formula>$S218=2</formula>
    </cfRule>
  </conditionalFormatting>
  <conditionalFormatting sqref="G106:H106 L106:O106 G111:H111 L111:O111">
    <cfRule type="expression" dxfId="1901" priority="7612">
      <formula>$S293=2</formula>
    </cfRule>
  </conditionalFormatting>
  <conditionalFormatting sqref="G132:H132">
    <cfRule type="expression" dxfId="1900" priority="7501">
      <formula>$S323=2</formula>
    </cfRule>
  </conditionalFormatting>
  <conditionalFormatting sqref="G148:H148 L148:O148 G152:H152 L152:O152">
    <cfRule type="expression" dxfId="1899" priority="7372">
      <formula>$S342=2</formula>
    </cfRule>
  </conditionalFormatting>
  <conditionalFormatting sqref="G161:H161 L161:O161 G165:H165 L165:O165 G169:H169 L169:O169 G173:H173 L173:O173 G182:H182 L182:O182 G187:H187 L187:O187">
    <cfRule type="expression" dxfId="1898" priority="165">
      <formula>$S359=2</formula>
    </cfRule>
  </conditionalFormatting>
  <conditionalFormatting sqref="G207:H207 L207:O207 G216:H216 L216:O216">
    <cfRule type="expression" dxfId="1897" priority="259">
      <formula>$S207=2</formula>
    </cfRule>
  </conditionalFormatting>
  <conditionalFormatting sqref="G221:H221 L221:O221">
    <cfRule type="expression" dxfId="1896" priority="233">
      <formula>$S208=2</formula>
    </cfRule>
  </conditionalFormatting>
  <conditionalFormatting sqref="G225:H225 L225:O225">
    <cfRule type="expression" dxfId="1895" priority="226">
      <formula>$S214=2</formula>
    </cfRule>
  </conditionalFormatting>
  <conditionalFormatting sqref="G236:H236 L236:O236">
    <cfRule type="expression" dxfId="1894" priority="208">
      <formula>$S215=2</formula>
    </cfRule>
  </conditionalFormatting>
  <conditionalFormatting sqref="G240:H240 L230:O230 G230:H230 K247:N247 L244:O244 G244:H244 L240:O240">
    <cfRule type="expression" dxfId="1893" priority="246">
      <formula>#REF!=2</formula>
    </cfRule>
  </conditionalFormatting>
  <conditionalFormatting sqref="K247:M247">
    <cfRule type="expression" dxfId="1892" priority="202">
      <formula>#REF!=4</formula>
    </cfRule>
    <cfRule type="expression" dxfId="1891" priority="203">
      <formula>#REF!=3</formula>
    </cfRule>
    <cfRule type="expression" dxfId="1890" priority="204">
      <formula>#REF!=2</formula>
    </cfRule>
    <cfRule type="expression" dxfId="1889" priority="205">
      <formula>#REF!=1</formula>
    </cfRule>
  </conditionalFormatting>
  <conditionalFormatting sqref="L9:M9">
    <cfRule type="expression" dxfId="1888" priority="253">
      <formula>L9&gt;K9</formula>
    </cfRule>
  </conditionalFormatting>
  <conditionalFormatting sqref="L22:M22">
    <cfRule type="expression" dxfId="1887" priority="163">
      <formula>L22&gt;K22</formula>
    </cfRule>
  </conditionalFormatting>
  <conditionalFormatting sqref="L27:M27">
    <cfRule type="expression" dxfId="1886" priority="156">
      <formula>L27&gt;K27</formula>
    </cfRule>
  </conditionalFormatting>
  <conditionalFormatting sqref="L44:M44">
    <cfRule type="expression" dxfId="1885" priority="149">
      <formula>L44&gt;K44</formula>
    </cfRule>
  </conditionalFormatting>
  <conditionalFormatting sqref="L48:M48">
    <cfRule type="expression" dxfId="1884" priority="142">
      <formula>L48&gt;K48</formula>
    </cfRule>
  </conditionalFormatting>
  <conditionalFormatting sqref="L53:M53">
    <cfRule type="expression" dxfId="1883" priority="135">
      <formula>L53&gt;K53</formula>
    </cfRule>
  </conditionalFormatting>
  <conditionalFormatting sqref="L60:M60">
    <cfRule type="expression" dxfId="1882" priority="128">
      <formula>L60&gt;K60</formula>
    </cfRule>
  </conditionalFormatting>
  <conditionalFormatting sqref="L64:M64">
    <cfRule type="expression" dxfId="1881" priority="121">
      <formula>L64&gt;K64</formula>
    </cfRule>
  </conditionalFormatting>
  <conditionalFormatting sqref="L78:M78">
    <cfRule type="expression" dxfId="1880" priority="114">
      <formula>L78&gt;K78</formula>
    </cfRule>
  </conditionalFormatting>
  <conditionalFormatting sqref="L82:M82">
    <cfRule type="expression" dxfId="1879" priority="107">
      <formula>L82&gt;K82</formula>
    </cfRule>
  </conditionalFormatting>
  <conditionalFormatting sqref="L89:M89">
    <cfRule type="expression" dxfId="1878" priority="100">
      <formula>L89&gt;K89</formula>
    </cfRule>
  </conditionalFormatting>
  <conditionalFormatting sqref="L106:M106">
    <cfRule type="expression" dxfId="1877" priority="93">
      <formula>L106&gt;K106</formula>
    </cfRule>
  </conditionalFormatting>
  <conditionalFormatting sqref="L111:M111">
    <cfRule type="expression" dxfId="1876" priority="86">
      <formula>L111&gt;K111</formula>
    </cfRule>
  </conditionalFormatting>
  <conditionalFormatting sqref="L126:M126">
    <cfRule type="expression" dxfId="1875" priority="79">
      <formula>L126&gt;K126</formula>
    </cfRule>
  </conditionalFormatting>
  <conditionalFormatting sqref="L132:M132">
    <cfRule type="expression" dxfId="1874" priority="72">
      <formula>L132&gt;K132</formula>
    </cfRule>
  </conditionalFormatting>
  <conditionalFormatting sqref="L136:M137">
    <cfRule type="expression" dxfId="1873" priority="65">
      <formula>L136&gt;K136</formula>
    </cfRule>
  </conditionalFormatting>
  <conditionalFormatting sqref="L148:M148">
    <cfRule type="expression" dxfId="1872" priority="58">
      <formula>L148&gt;K148</formula>
    </cfRule>
  </conditionalFormatting>
  <conditionalFormatting sqref="L152:M152">
    <cfRule type="expression" dxfId="1871" priority="51">
      <formula>L152&gt;K152</formula>
    </cfRule>
  </conditionalFormatting>
  <conditionalFormatting sqref="L161:M161">
    <cfRule type="expression" dxfId="1870" priority="37">
      <formula>L161&gt;K161</formula>
    </cfRule>
  </conditionalFormatting>
  <conditionalFormatting sqref="L165:M165">
    <cfRule type="expression" dxfId="1869" priority="30">
      <formula>L165&gt;K165</formula>
    </cfRule>
  </conditionalFormatting>
  <conditionalFormatting sqref="L169:M169">
    <cfRule type="expression" dxfId="1868" priority="23">
      <formula>L169&gt;K169</formula>
    </cfRule>
  </conditionalFormatting>
  <conditionalFormatting sqref="L173:M173">
    <cfRule type="expression" dxfId="1867" priority="16">
      <formula>L173&gt;K173</formula>
    </cfRule>
  </conditionalFormatting>
  <conditionalFormatting sqref="L182:M182">
    <cfRule type="expression" dxfId="1866" priority="9">
      <formula>L182&gt;K182</formula>
    </cfRule>
  </conditionalFormatting>
  <conditionalFormatting sqref="L187:M187">
    <cfRule type="expression" dxfId="1865" priority="2">
      <formula>L187&gt;K187</formula>
    </cfRule>
  </conditionalFormatting>
  <conditionalFormatting sqref="L207:M207">
    <cfRule type="expression" dxfId="1864" priority="251">
      <formula>L207&gt;K207</formula>
    </cfRule>
  </conditionalFormatting>
  <conditionalFormatting sqref="L216:M216">
    <cfRule type="expression" dxfId="1863" priority="238">
      <formula>L216&gt;K216</formula>
    </cfRule>
  </conditionalFormatting>
  <conditionalFormatting sqref="L221:M221">
    <cfRule type="expression" dxfId="1862" priority="231">
      <formula>L221&gt;K221</formula>
    </cfRule>
  </conditionalFormatting>
  <conditionalFormatting sqref="L225:M225">
    <cfRule type="expression" dxfId="1861" priority="224">
      <formula>L225&gt;K225</formula>
    </cfRule>
  </conditionalFormatting>
  <conditionalFormatting sqref="L230:M230">
    <cfRule type="expression" dxfId="1860" priority="213">
      <formula>L230&gt;K230</formula>
    </cfRule>
  </conditionalFormatting>
  <conditionalFormatting sqref="L236:M236">
    <cfRule type="expression" dxfId="1859" priority="206">
      <formula>L236&gt;K236</formula>
    </cfRule>
  </conditionalFormatting>
  <conditionalFormatting sqref="L240:M240">
    <cfRule type="expression" dxfId="1858" priority="240">
      <formula>L240&gt;K240</formula>
    </cfRule>
  </conditionalFormatting>
  <conditionalFormatting sqref="L244:M244">
    <cfRule type="expression" dxfId="1857" priority="175">
      <formula>L244&gt;K244</formula>
    </cfRule>
  </conditionalFormatting>
  <conditionalFormatting sqref="N247">
    <cfRule type="expression" dxfId="1856" priority="197">
      <formula>#REF!=4</formula>
    </cfRule>
    <cfRule type="expression" dxfId="1855" priority="198">
      <formula>#REF!=3</formula>
    </cfRule>
    <cfRule type="expression" dxfId="1854" priority="199">
      <formula>#REF!=2</formula>
    </cfRule>
    <cfRule type="expression" dxfId="1853" priority="200">
      <formula>#REF!=1</formula>
    </cfRule>
  </conditionalFormatting>
  <conditionalFormatting sqref="O230">
    <cfRule type="expression" dxfId="1852" priority="223">
      <formula>#REF!=1</formula>
    </cfRule>
    <cfRule type="expression" dxfId="1851" priority="220">
      <formula>#REF!=4</formula>
    </cfRule>
    <cfRule type="expression" dxfId="1850" priority="221">
      <formula>#REF!=3</formula>
    </cfRule>
    <cfRule type="expression" dxfId="1849" priority="222">
      <formula>#REF!=2</formula>
    </cfRule>
  </conditionalFormatting>
  <conditionalFormatting sqref="O240">
    <cfRule type="expression" dxfId="1848" priority="250">
      <formula>#REF!=1</formula>
    </cfRule>
    <cfRule type="expression" dxfId="1847" priority="247">
      <formula>#REF!=4</formula>
    </cfRule>
    <cfRule type="expression" dxfId="1846" priority="248">
      <formula>#REF!=3</formula>
    </cfRule>
    <cfRule type="expression" dxfId="1845" priority="249">
      <formula>#REF!=2</formula>
    </cfRule>
  </conditionalFormatting>
  <conditionalFormatting sqref="O244">
    <cfRule type="expression" dxfId="1844" priority="182">
      <formula>#REF!=4</formula>
    </cfRule>
    <cfRule type="expression" dxfId="1843" priority="183">
      <formula>#REF!=3</formula>
    </cfRule>
    <cfRule type="expression" dxfId="1842" priority="184">
      <formula>#REF!=2</formula>
    </cfRule>
    <cfRule type="expression" dxfId="1841" priority="185">
      <formula>#REF!=1</formula>
    </cfRule>
  </conditionalFormatting>
  <conditionalFormatting sqref="O247">
    <cfRule type="expression" dxfId="1840" priority="191">
      <formula>#REF!=4</formula>
    </cfRule>
    <cfRule type="expression" dxfId="1839" priority="194">
      <formula>#REF!=1</formula>
    </cfRule>
    <cfRule type="expression" dxfId="1838" priority="192">
      <formula>#REF!=3</formula>
    </cfRule>
    <cfRule type="expression" dxfId="1837" priority="193">
      <formula>#REF!=2</formula>
    </cfRule>
    <cfRule type="expression" dxfId="1836" priority="195">
      <formula>#REF!=2</formula>
    </cfRule>
  </conditionalFormatting>
  <conditionalFormatting sqref="O277:O282">
    <cfRule type="expression" dxfId="1835" priority="174">
      <formula>#REF!=AIS_No_SR</formula>
    </cfRule>
  </conditionalFormatting>
  <conditionalFormatting sqref="O284:O292">
    <cfRule type="expression" dxfId="1834" priority="173">
      <formula>#REF!=AIS_No_SR</formula>
    </cfRule>
  </conditionalFormatting>
  <conditionalFormatting sqref="O294:O296">
    <cfRule type="expression" dxfId="1833" priority="172">
      <formula>#REF!=AIS_No_SR</formula>
    </cfRule>
  </conditionalFormatting>
  <conditionalFormatting sqref="O298">
    <cfRule type="expression" dxfId="1832" priority="171">
      <formula>#REF!=AIS_No_SR</formula>
    </cfRule>
  </conditionalFormatting>
  <conditionalFormatting sqref="O300:O304">
    <cfRule type="expression" dxfId="1831" priority="170">
      <formula>#REF!=AIS_No_SR</formula>
    </cfRule>
  </conditionalFormatting>
  <dataValidations disablePrompts="1" count="1">
    <dataValidation type="list" allowBlank="1" showInputMessage="1" showErrorMessage="1" sqref="C4" xr:uid="{16B83538-F467-45E4-B0EC-AFFA3A10EF10}">
      <formula1>janei</formula1>
    </dataValidation>
  </dataValidations>
  <pageMargins left="0.7" right="0.7" top="0.75" bottom="0.75"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 id="{AFEE4734-71F5-4F7A-941D-B0C66EE8DDA6}">
            <xm:f>$C$4='Assessment Details'!$O$56</xm:f>
            <x14:dxf>
              <font>
                <color theme="0"/>
              </font>
              <fill>
                <patternFill>
                  <bgColor theme="0"/>
                </patternFill>
              </fill>
              <border>
                <left/>
                <right/>
                <top/>
                <bottom/>
                <vertical/>
                <horizontal/>
              </border>
            </x14:dxf>
          </x14:cfRule>
          <xm:sqref>B6:H195 K6:O195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373"/>
  <sheetViews>
    <sheetView topLeftCell="A243" zoomScale="85" zoomScaleNormal="85" workbookViewId="0">
      <pane xSplit="5" topLeftCell="AF1" activePane="topRight" state="frozen"/>
      <selection activeCell="A142" sqref="A142"/>
      <selection pane="topRight" activeCell="BK259" sqref="BK259"/>
    </sheetView>
  </sheetViews>
  <sheetFormatPr defaultColWidth="9.140625" defaultRowHeight="15" x14ac:dyDescent="0.25"/>
  <cols>
    <col min="1" max="1" width="8.42578125" customWidth="1"/>
    <col min="2" max="3" width="10.7109375" customWidth="1"/>
    <col min="4" max="4" width="8.7109375" customWidth="1"/>
    <col min="5" max="5" width="60.85546875" customWidth="1"/>
    <col min="6" max="14" width="11.28515625" style="576" hidden="1" customWidth="1"/>
    <col min="15" max="15" width="11.5703125" style="576" hidden="1" customWidth="1"/>
    <col min="16" max="18" width="11.28515625" style="576" hidden="1" customWidth="1"/>
    <col min="19" max="19" width="11.5703125" customWidth="1"/>
    <col min="20" max="20" width="15.7109375" customWidth="1"/>
    <col min="21" max="21" width="7" customWidth="1"/>
    <col min="22" max="22" width="5.5703125" customWidth="1"/>
    <col min="23" max="23" width="6.5703125" customWidth="1"/>
    <col min="24" max="24" width="6.85546875" customWidth="1"/>
    <col min="25" max="25" width="9.42578125" customWidth="1"/>
    <col min="26" max="26" width="11.28515625" customWidth="1"/>
    <col min="27" max="27" width="5.7109375" customWidth="1"/>
    <col min="28" max="28" width="14" customWidth="1"/>
    <col min="29" max="29" width="6.85546875" customWidth="1"/>
    <col min="30" max="30" width="14.5703125" customWidth="1"/>
    <col min="31" max="33" width="17.5703125" customWidth="1"/>
    <col min="34" max="34" width="8.42578125" customWidth="1"/>
    <col min="35" max="35" width="14.42578125" customWidth="1"/>
    <col min="36" max="36" width="10.42578125" customWidth="1"/>
    <col min="37" max="37" width="9.5703125" customWidth="1"/>
    <col min="38" max="38" width="9.42578125" customWidth="1"/>
    <col min="39" max="43" width="4.28515625" customWidth="1"/>
    <col min="44" max="44" width="3.7109375" customWidth="1"/>
    <col min="45" max="49" width="4.28515625" customWidth="1"/>
    <col min="50" max="50" width="3.140625" customWidth="1"/>
    <col min="51" max="54" width="4" customWidth="1"/>
    <col min="55" max="55" width="4.28515625" customWidth="1"/>
    <col min="56" max="56" width="10.85546875" customWidth="1"/>
    <col min="57" max="57" width="26.7109375" customWidth="1"/>
    <col min="58" max="58" width="5.85546875" customWidth="1"/>
    <col min="59" max="59" width="6.7109375" customWidth="1"/>
    <col min="60" max="60" width="26.7109375" customWidth="1"/>
    <col min="61" max="61" width="6.5703125" customWidth="1"/>
    <col min="62" max="62" width="6.7109375" customWidth="1"/>
    <col min="63" max="63" width="26.7109375" customWidth="1"/>
    <col min="64" max="64" width="5.7109375" customWidth="1"/>
    <col min="65" max="65" width="9.140625" customWidth="1"/>
    <col min="66" max="66" width="4.42578125" customWidth="1"/>
    <col min="67" max="67" width="10.28515625" customWidth="1"/>
    <col min="68" max="68" width="13.28515625" customWidth="1"/>
    <col min="69" max="69" width="12.7109375" customWidth="1"/>
    <col min="70" max="70" width="10.140625" customWidth="1"/>
    <col min="71" max="71" width="9" customWidth="1"/>
    <col min="72" max="72" width="15.140625" bestFit="1" customWidth="1"/>
    <col min="73" max="73" width="9.140625" customWidth="1"/>
    <col min="74" max="74" width="10.140625" customWidth="1"/>
    <col min="76" max="76" width="30.7109375" bestFit="1" customWidth="1"/>
    <col min="77" max="77" width="14.7109375" bestFit="1" customWidth="1"/>
    <col min="80" max="80" width="20.85546875" bestFit="1" customWidth="1"/>
    <col min="81" max="81" width="11.28515625" bestFit="1" customWidth="1"/>
    <col min="82" max="82" width="8.7109375" bestFit="1" customWidth="1"/>
    <col min="83" max="83" width="12.7109375" bestFit="1" customWidth="1"/>
    <col min="85" max="85" width="14.28515625" bestFit="1" customWidth="1"/>
    <col min="87" max="87" width="12.28515625" customWidth="1"/>
  </cols>
  <sheetData>
    <row r="1" spans="1:90" x14ac:dyDescent="0.25">
      <c r="B1" s="504">
        <v>1</v>
      </c>
      <c r="C1" s="504">
        <v>2</v>
      </c>
      <c r="D1" s="504">
        <v>3</v>
      </c>
      <c r="E1" s="504">
        <v>4</v>
      </c>
      <c r="F1" s="504">
        <v>5</v>
      </c>
      <c r="G1" s="504">
        <v>6</v>
      </c>
      <c r="H1" s="504">
        <v>7</v>
      </c>
      <c r="I1" s="504">
        <v>8</v>
      </c>
      <c r="J1" s="504">
        <v>9</v>
      </c>
      <c r="K1" s="504">
        <v>10</v>
      </c>
      <c r="L1" s="504">
        <v>11</v>
      </c>
      <c r="M1" s="504">
        <v>12</v>
      </c>
      <c r="N1" s="504">
        <v>13</v>
      </c>
      <c r="O1" s="504">
        <v>14</v>
      </c>
      <c r="P1" s="504">
        <v>15</v>
      </c>
      <c r="Q1" s="504">
        <v>16</v>
      </c>
      <c r="R1" s="504">
        <v>17</v>
      </c>
      <c r="S1" s="504">
        <v>18</v>
      </c>
      <c r="T1" s="504">
        <v>19</v>
      </c>
      <c r="U1" s="504">
        <v>20</v>
      </c>
      <c r="V1" s="504">
        <v>21</v>
      </c>
      <c r="W1" s="504">
        <v>22</v>
      </c>
      <c r="X1" s="504">
        <v>23</v>
      </c>
      <c r="Y1" s="504">
        <v>24</v>
      </c>
      <c r="Z1" s="504">
        <v>25</v>
      </c>
      <c r="AA1" s="504">
        <v>26</v>
      </c>
      <c r="AB1" s="504">
        <v>27</v>
      </c>
      <c r="AC1" s="504">
        <v>28</v>
      </c>
      <c r="AD1" s="504">
        <v>29</v>
      </c>
      <c r="AE1" s="504">
        <v>30</v>
      </c>
      <c r="AF1" s="504">
        <v>31</v>
      </c>
      <c r="AG1" s="504">
        <v>32</v>
      </c>
      <c r="AH1" s="504">
        <v>33</v>
      </c>
      <c r="AI1" s="504">
        <v>34</v>
      </c>
      <c r="AJ1" s="504">
        <v>35</v>
      </c>
      <c r="AK1" s="504">
        <v>36</v>
      </c>
      <c r="AL1" s="504">
        <v>37</v>
      </c>
      <c r="AM1" s="504">
        <v>38</v>
      </c>
      <c r="AN1" s="504">
        <v>39</v>
      </c>
      <c r="AO1" s="504">
        <v>40</v>
      </c>
      <c r="AP1" s="504">
        <v>41</v>
      </c>
      <c r="AQ1" s="504">
        <v>42</v>
      </c>
      <c r="AR1" s="504">
        <v>43</v>
      </c>
      <c r="AS1" s="504">
        <v>44</v>
      </c>
      <c r="AT1" s="504">
        <v>45</v>
      </c>
      <c r="AU1" s="504">
        <v>46</v>
      </c>
      <c r="AV1" s="504">
        <v>47</v>
      </c>
      <c r="AW1" s="504">
        <v>48</v>
      </c>
      <c r="AX1" s="504">
        <v>49</v>
      </c>
      <c r="AY1" s="504">
        <v>50</v>
      </c>
      <c r="AZ1" s="504">
        <v>51</v>
      </c>
      <c r="BA1" s="504">
        <v>52</v>
      </c>
      <c r="BB1" s="504">
        <v>53</v>
      </c>
      <c r="BC1" s="504">
        <v>54</v>
      </c>
      <c r="BD1" s="504">
        <v>55</v>
      </c>
      <c r="BE1" s="504">
        <v>56</v>
      </c>
      <c r="BF1" s="504">
        <v>57</v>
      </c>
      <c r="BG1" s="504">
        <v>58</v>
      </c>
      <c r="BH1" s="504">
        <v>59</v>
      </c>
      <c r="BI1" s="504">
        <v>60</v>
      </c>
      <c r="BJ1" s="504">
        <v>61</v>
      </c>
      <c r="BK1" s="504">
        <v>62</v>
      </c>
      <c r="BL1" s="504">
        <v>63</v>
      </c>
      <c r="BM1" s="504">
        <v>64</v>
      </c>
      <c r="BN1" s="504">
        <v>65</v>
      </c>
      <c r="BO1" s="504">
        <v>66</v>
      </c>
      <c r="BP1" s="504">
        <v>67</v>
      </c>
      <c r="BQ1" s="504">
        <v>68</v>
      </c>
      <c r="BR1" s="504">
        <v>69</v>
      </c>
      <c r="BS1" s="504">
        <v>70</v>
      </c>
      <c r="BT1" s="504">
        <v>71</v>
      </c>
    </row>
    <row r="2" spans="1:90" x14ac:dyDescent="0.25">
      <c r="D2">
        <v>1</v>
      </c>
      <c r="E2">
        <v>2</v>
      </c>
      <c r="F2" s="576">
        <v>3</v>
      </c>
      <c r="G2" s="576">
        <v>4</v>
      </c>
      <c r="H2" s="576">
        <v>5</v>
      </c>
      <c r="I2" s="576">
        <v>6</v>
      </c>
      <c r="J2" s="576">
        <v>7</v>
      </c>
      <c r="K2" s="576">
        <v>8</v>
      </c>
      <c r="L2" s="576">
        <v>9</v>
      </c>
      <c r="M2" s="576">
        <v>10</v>
      </c>
      <c r="N2" s="576">
        <v>11</v>
      </c>
      <c r="O2" s="576">
        <v>12</v>
      </c>
      <c r="P2" s="576">
        <v>13</v>
      </c>
      <c r="Q2" s="576">
        <v>14</v>
      </c>
      <c r="R2" s="576">
        <v>15</v>
      </c>
      <c r="S2" s="576">
        <v>16</v>
      </c>
      <c r="T2" s="576">
        <v>17</v>
      </c>
      <c r="U2" s="576">
        <v>18</v>
      </c>
      <c r="V2" s="576">
        <v>19</v>
      </c>
      <c r="W2" s="576">
        <v>20</v>
      </c>
      <c r="X2" s="576">
        <v>21</v>
      </c>
      <c r="Y2" s="576">
        <v>22</v>
      </c>
      <c r="Z2" s="576">
        <v>23</v>
      </c>
      <c r="AA2" s="576">
        <v>24</v>
      </c>
      <c r="AB2" s="576">
        <v>25</v>
      </c>
      <c r="AC2" s="576">
        <v>26</v>
      </c>
      <c r="AD2" s="576">
        <v>27</v>
      </c>
      <c r="AE2" s="576">
        <v>28</v>
      </c>
      <c r="AF2" s="576">
        <v>29</v>
      </c>
      <c r="AG2" s="576">
        <v>30</v>
      </c>
      <c r="AH2" s="576">
        <v>31</v>
      </c>
      <c r="AI2" s="576">
        <v>32</v>
      </c>
      <c r="AJ2" s="576">
        <v>33</v>
      </c>
      <c r="AK2" s="576">
        <v>34</v>
      </c>
      <c r="AL2" s="576">
        <v>35</v>
      </c>
      <c r="AM2" s="576">
        <v>36</v>
      </c>
      <c r="AN2" s="576">
        <v>37</v>
      </c>
      <c r="AO2" s="576">
        <v>38</v>
      </c>
      <c r="AP2" s="576">
        <v>39</v>
      </c>
      <c r="AQ2" s="576">
        <v>40</v>
      </c>
      <c r="AR2" s="576">
        <v>41</v>
      </c>
      <c r="AS2" s="576">
        <v>42</v>
      </c>
      <c r="AT2" s="576">
        <v>43</v>
      </c>
      <c r="AU2" s="576">
        <v>44</v>
      </c>
      <c r="AV2" s="576">
        <v>45</v>
      </c>
      <c r="AW2" s="576">
        <v>46</v>
      </c>
      <c r="AX2" s="576">
        <v>47</v>
      </c>
      <c r="AY2" s="576">
        <v>48</v>
      </c>
      <c r="AZ2" s="576">
        <v>49</v>
      </c>
      <c r="BA2" s="576">
        <v>50</v>
      </c>
      <c r="BB2" s="576">
        <v>51</v>
      </c>
      <c r="BC2" s="576">
        <v>52</v>
      </c>
      <c r="BD2" s="576">
        <v>53</v>
      </c>
      <c r="BE2" s="576">
        <v>54</v>
      </c>
      <c r="BF2" s="576">
        <v>55</v>
      </c>
      <c r="BG2" s="576">
        <v>56</v>
      </c>
      <c r="BH2" s="576">
        <v>57</v>
      </c>
      <c r="BI2" s="576">
        <v>58</v>
      </c>
      <c r="BJ2" s="576">
        <v>59</v>
      </c>
      <c r="BK2" s="576">
        <v>60</v>
      </c>
      <c r="BL2" s="576">
        <v>61</v>
      </c>
    </row>
    <row r="3" spans="1:90" ht="15.75" thickBot="1" x14ac:dyDescent="0.3">
      <c r="A3" s="121" t="s">
        <v>82</v>
      </c>
      <c r="B3" s="121"/>
      <c r="C3" s="121"/>
      <c r="D3" s="121"/>
      <c r="E3" s="121"/>
      <c r="F3" s="577"/>
      <c r="G3" s="577"/>
      <c r="H3" s="577"/>
      <c r="I3" s="577"/>
      <c r="J3" s="577"/>
      <c r="K3" s="577"/>
      <c r="L3" s="577"/>
      <c r="M3" s="577"/>
      <c r="N3" s="577"/>
      <c r="O3" s="577"/>
      <c r="P3" s="577"/>
      <c r="Q3" s="577"/>
      <c r="R3" s="577"/>
      <c r="Y3" t="s">
        <v>32</v>
      </c>
    </row>
    <row r="4" spans="1:90" ht="15.75" thickBot="1" x14ac:dyDescent="0.3">
      <c r="G4" s="576" t="s">
        <v>383</v>
      </c>
      <c r="W4" t="s">
        <v>1247</v>
      </c>
      <c r="Y4" s="121" t="str">
        <f>ADPT</f>
        <v>New Construction (fully fitted)</v>
      </c>
      <c r="BX4" s="512" t="s">
        <v>402</v>
      </c>
      <c r="BY4" s="513" t="s">
        <v>388</v>
      </c>
      <c r="CA4" s="510" t="s">
        <v>408</v>
      </c>
      <c r="CB4">
        <v>0</v>
      </c>
      <c r="CC4" t="s">
        <v>13</v>
      </c>
    </row>
    <row r="5" spans="1:90" ht="15.75" thickBot="1" x14ac:dyDescent="0.3">
      <c r="E5" s="122" t="s">
        <v>95</v>
      </c>
      <c r="G5" s="576" t="s">
        <v>384</v>
      </c>
      <c r="H5" s="578"/>
      <c r="R5" s="579"/>
      <c r="W5" t="s">
        <v>2009</v>
      </c>
      <c r="Y5" t="str">
        <f>'Assessment Details'!Q12</f>
        <v>New Construction (shell and core)</v>
      </c>
      <c r="AB5" s="300" t="s">
        <v>317</v>
      </c>
      <c r="AC5" s="301" t="str">
        <f>'Manuell filtrering og justering'!I2</f>
        <v>No</v>
      </c>
      <c r="BX5" s="220" t="str">
        <f>'Pre-Assessment Estimator'!AJ4</f>
        <v>Nei</v>
      </c>
      <c r="BY5" s="206" t="str">
        <f>'Pre-Assessment Estimator'!AJ8</f>
        <v>Ja</v>
      </c>
      <c r="CA5" s="514" t="s">
        <v>410</v>
      </c>
      <c r="CB5">
        <v>1</v>
      </c>
    </row>
    <row r="6" spans="1:90" ht="15.75" thickBot="1" x14ac:dyDescent="0.3">
      <c r="E6" s="124" t="str">
        <f>ADBT0</f>
        <v>Office</v>
      </c>
      <c r="G6" s="576" t="s">
        <v>14</v>
      </c>
      <c r="Y6" t="str">
        <f>ADPT02</f>
        <v>New Construction (shell only)</v>
      </c>
      <c r="BC6" s="125"/>
    </row>
    <row r="7" spans="1:90" ht="15.75" thickBot="1" x14ac:dyDescent="0.3">
      <c r="F7" s="510" t="s">
        <v>858</v>
      </c>
      <c r="AE7" s="1548" t="s">
        <v>77</v>
      </c>
      <c r="AF7" s="1548"/>
      <c r="AG7" s="1548"/>
      <c r="BC7" s="125"/>
    </row>
    <row r="8" spans="1:90" ht="51" customHeight="1" thickBot="1" x14ac:dyDescent="0.3">
      <c r="D8" s="52" t="s">
        <v>94</v>
      </c>
      <c r="E8" s="55" t="s">
        <v>81</v>
      </c>
      <c r="F8" s="1552" t="s">
        <v>517</v>
      </c>
      <c r="G8" s="1553"/>
      <c r="H8" s="1553"/>
      <c r="I8" s="1553"/>
      <c r="J8" s="1553"/>
      <c r="K8" s="1553"/>
      <c r="L8" s="1553"/>
      <c r="M8" s="1553"/>
      <c r="N8" s="1553"/>
      <c r="O8" s="1553"/>
      <c r="P8" s="1553"/>
      <c r="Q8" s="1553"/>
      <c r="R8" s="1553"/>
      <c r="T8" s="51" t="s">
        <v>216</v>
      </c>
      <c r="U8" s="1554" t="s">
        <v>217</v>
      </c>
      <c r="V8" s="1555"/>
      <c r="W8" s="1555"/>
      <c r="X8" s="1555"/>
      <c r="Y8" s="1555"/>
      <c r="Z8" s="1556"/>
      <c r="AA8" s="126" t="s">
        <v>204</v>
      </c>
      <c r="AB8" s="53" t="s">
        <v>15</v>
      </c>
      <c r="AD8" s="692" t="s">
        <v>76</v>
      </c>
      <c r="AE8" s="693" t="s">
        <v>218</v>
      </c>
      <c r="AF8" s="693" t="s">
        <v>219</v>
      </c>
      <c r="AG8" s="693" t="s">
        <v>220</v>
      </c>
      <c r="AI8" s="53" t="s">
        <v>218</v>
      </c>
      <c r="AJ8" s="53" t="s">
        <v>219</v>
      </c>
      <c r="AK8" s="53" t="s">
        <v>220</v>
      </c>
      <c r="AM8" s="1557" t="s">
        <v>225</v>
      </c>
      <c r="AN8" s="1558"/>
      <c r="AO8" s="1558"/>
      <c r="AP8" s="1558"/>
      <c r="AQ8" s="1559"/>
      <c r="AS8" s="1557" t="s">
        <v>9</v>
      </c>
      <c r="AT8" s="1558"/>
      <c r="AU8" s="1558"/>
      <c r="AV8" s="1558"/>
      <c r="AW8" s="1559"/>
      <c r="AY8" s="1557" t="str">
        <f>"Chosen "&amp;E6</f>
        <v>Chosen Office</v>
      </c>
      <c r="AZ8" s="1558"/>
      <c r="BA8" s="1558"/>
      <c r="BB8" s="1558"/>
      <c r="BC8" s="1558"/>
      <c r="BD8" s="1566" t="s">
        <v>218</v>
      </c>
      <c r="BE8" s="1567"/>
      <c r="BF8" s="1567"/>
      <c r="BG8" s="1568" t="s">
        <v>219</v>
      </c>
      <c r="BH8" s="1564"/>
      <c r="BI8" s="1565"/>
      <c r="BJ8" s="1563" t="s">
        <v>220</v>
      </c>
      <c r="BK8" s="1564"/>
      <c r="BL8" s="1565"/>
      <c r="BO8" s="1560" t="s">
        <v>949</v>
      </c>
      <c r="BP8" s="1561"/>
      <c r="BQ8" s="1562"/>
      <c r="BR8" s="485"/>
      <c r="BS8" s="485"/>
      <c r="BT8" s="485"/>
      <c r="BW8" s="215" t="s">
        <v>403</v>
      </c>
      <c r="BX8" s="215"/>
      <c r="BY8" s="215"/>
      <c r="BZ8" s="215"/>
      <c r="CA8" s="215"/>
      <c r="CB8" s="215"/>
      <c r="CC8" s="515" t="s">
        <v>413</v>
      </c>
      <c r="CD8" s="515" t="s">
        <v>415</v>
      </c>
      <c r="CE8" s="215" t="s">
        <v>412</v>
      </c>
      <c r="CF8" s="215"/>
      <c r="CG8" s="215"/>
      <c r="CH8" s="215"/>
      <c r="CI8" s="519" t="s">
        <v>437</v>
      </c>
      <c r="CJ8" s="215"/>
      <c r="CK8" s="215"/>
      <c r="CL8" s="215"/>
    </row>
    <row r="9" spans="1:90" ht="58.5" customHeight="1" thickBot="1" x14ac:dyDescent="0.3">
      <c r="A9">
        <v>1</v>
      </c>
      <c r="D9" s="132"/>
      <c r="E9" s="133" t="s">
        <v>57</v>
      </c>
      <c r="F9" s="658" t="str">
        <f>ADBT2</f>
        <v>Office</v>
      </c>
      <c r="G9" s="658" t="str">
        <f>ADBT3</f>
        <v>Retail</v>
      </c>
      <c r="H9" s="658" t="str">
        <f>ADBT12</f>
        <v>Residential</v>
      </c>
      <c r="I9" s="658" t="str">
        <f>ADBT1</f>
        <v>Industrial</v>
      </c>
      <c r="J9" s="684" t="str">
        <f>ADBT13</f>
        <v>Healthcare</v>
      </c>
      <c r="K9" s="684" t="str">
        <f>ADBT14</f>
        <v>Prison</v>
      </c>
      <c r="L9" s="684" t="str">
        <f>ADBT15</f>
        <v>Law Court</v>
      </c>
      <c r="M9" s="872" t="str">
        <f>ADBT16</f>
        <v>Residential institution (long term stay)</v>
      </c>
      <c r="N9" s="872" t="str">
        <f>ADBT17</f>
        <v>Residential institution (short term stay)</v>
      </c>
      <c r="O9" s="684" t="str">
        <f>ADBT18</f>
        <v>Non-residential institution</v>
      </c>
      <c r="P9" s="684" t="str">
        <f>ADBT19</f>
        <v>Assembly and leisure</v>
      </c>
      <c r="Q9" s="684" t="str">
        <f>ADBT8</f>
        <v>Education</v>
      </c>
      <c r="R9" s="659" t="str">
        <f>ADBT20</f>
        <v>Other</v>
      </c>
      <c r="T9" s="128" t="str">
        <f>$E$6</f>
        <v>Office</v>
      </c>
      <c r="U9" s="129"/>
      <c r="V9" s="130"/>
      <c r="W9" s="130"/>
      <c r="X9" s="869"/>
      <c r="Y9" s="882" t="s">
        <v>391</v>
      </c>
      <c r="Z9" s="880" t="s">
        <v>317</v>
      </c>
      <c r="AA9" s="875" t="s">
        <v>204</v>
      </c>
      <c r="AB9" s="876"/>
      <c r="AI9" s="71"/>
      <c r="AJ9" s="54"/>
      <c r="AK9" s="54"/>
      <c r="AM9" s="132" t="s">
        <v>83</v>
      </c>
      <c r="AN9" s="133" t="s">
        <v>84</v>
      </c>
      <c r="AO9" s="133" t="s">
        <v>85</v>
      </c>
      <c r="AP9" s="133" t="s">
        <v>224</v>
      </c>
      <c r="AQ9" s="134" t="s">
        <v>86</v>
      </c>
      <c r="AS9" s="127" t="s">
        <v>83</v>
      </c>
      <c r="AT9" s="47" t="s">
        <v>84</v>
      </c>
      <c r="AU9" s="47" t="s">
        <v>85</v>
      </c>
      <c r="AV9" s="47" t="s">
        <v>224</v>
      </c>
      <c r="AW9" s="135" t="s">
        <v>86</v>
      </c>
      <c r="AY9" s="127" t="s">
        <v>83</v>
      </c>
      <c r="AZ9" s="47" t="s">
        <v>84</v>
      </c>
      <c r="BA9" s="47" t="s">
        <v>85</v>
      </c>
      <c r="BB9" s="47" t="s">
        <v>224</v>
      </c>
      <c r="BC9" s="136" t="s">
        <v>86</v>
      </c>
      <c r="BD9" s="137" t="s">
        <v>226</v>
      </c>
      <c r="BE9" s="138" t="s">
        <v>46</v>
      </c>
      <c r="BF9" s="138"/>
      <c r="BG9" s="139" t="s">
        <v>226</v>
      </c>
      <c r="BH9" s="140" t="s">
        <v>46</v>
      </c>
      <c r="BI9" s="141"/>
      <c r="BJ9" s="142" t="s">
        <v>226</v>
      </c>
      <c r="BK9" s="140" t="s">
        <v>46</v>
      </c>
      <c r="BL9" s="143"/>
      <c r="BO9" s="515" t="s">
        <v>950</v>
      </c>
      <c r="BP9" s="515" t="s">
        <v>951</v>
      </c>
      <c r="BQ9" s="854" t="s">
        <v>952</v>
      </c>
      <c r="BR9" s="485" t="s">
        <v>953</v>
      </c>
      <c r="BS9" s="485" t="s">
        <v>954</v>
      </c>
      <c r="BT9" s="485" t="s">
        <v>955</v>
      </c>
      <c r="BW9" s="47"/>
      <c r="BX9" s="47" t="str">
        <f>E9</f>
        <v>Management</v>
      </c>
      <c r="BY9" s="47" t="s">
        <v>406</v>
      </c>
      <c r="BZ9" s="47" t="s">
        <v>404</v>
      </c>
      <c r="CA9" s="47" t="s">
        <v>414</v>
      </c>
      <c r="CB9" s="47" t="s">
        <v>411</v>
      </c>
      <c r="CG9" t="s">
        <v>407</v>
      </c>
    </row>
    <row r="10" spans="1:90" x14ac:dyDescent="0.25">
      <c r="A10">
        <v>2</v>
      </c>
      <c r="B10" s="121" t="str">
        <f>D10</f>
        <v>Man 01</v>
      </c>
      <c r="C10" s="121"/>
      <c r="D10" s="636" t="s">
        <v>87</v>
      </c>
      <c r="E10" s="636" t="s">
        <v>289</v>
      </c>
      <c r="F10" s="699">
        <f>SUM(F11:F15)</f>
        <v>5</v>
      </c>
      <c r="G10" s="699">
        <f t="shared" ref="G10:R10" si="0">SUM(G11:G15)</f>
        <v>5</v>
      </c>
      <c r="H10" s="699">
        <f t="shared" si="0"/>
        <v>5</v>
      </c>
      <c r="I10" s="699">
        <f t="shared" si="0"/>
        <v>5</v>
      </c>
      <c r="J10" s="699">
        <f t="shared" si="0"/>
        <v>5</v>
      </c>
      <c r="K10" s="699">
        <f t="shared" si="0"/>
        <v>5</v>
      </c>
      <c r="L10" s="699">
        <f t="shared" si="0"/>
        <v>5</v>
      </c>
      <c r="M10" s="699">
        <f t="shared" si="0"/>
        <v>5</v>
      </c>
      <c r="N10" s="699">
        <f t="shared" si="0"/>
        <v>5</v>
      </c>
      <c r="O10" s="699">
        <f t="shared" si="0"/>
        <v>5</v>
      </c>
      <c r="P10" s="699">
        <f t="shared" si="0"/>
        <v>5</v>
      </c>
      <c r="Q10" s="699">
        <f t="shared" ref="Q10" si="1">SUM(Q11:Q15)</f>
        <v>5</v>
      </c>
      <c r="R10" s="699">
        <f t="shared" si="0"/>
        <v>5</v>
      </c>
      <c r="S10" s="504"/>
      <c r="T10" s="685">
        <f t="shared" ref="T10:T36" si="2">HLOOKUP($E$6,$F$9:$R$231,$A10,FALSE)</f>
        <v>5</v>
      </c>
      <c r="U10" s="146"/>
      <c r="V10" s="43"/>
      <c r="W10" s="43"/>
      <c r="X10" s="147">
        <f>'Manuell filtrering og justering'!E7</f>
        <v>0</v>
      </c>
      <c r="Y10" s="148"/>
      <c r="Z10" s="881">
        <f t="shared" ref="Z10" si="3">SUM(Z11:Z15)</f>
        <v>6</v>
      </c>
      <c r="AA10" s="873">
        <f t="shared" ref="AA10:AA35" si="4">IF(SUM(U10:Y10)&gt;T10,T10,SUM(U10:Y10))</f>
        <v>0</v>
      </c>
      <c r="AB10" s="877">
        <f>SUM(AB11:AB15)</f>
        <v>5</v>
      </c>
      <c r="AD10" s="687">
        <f t="shared" ref="AD10:AD33" si="5">(Man_Weight/Man_Credits)*AB10</f>
        <v>3.0952380952380953E-2</v>
      </c>
      <c r="AE10" s="687">
        <f>SUM(AE11:AE15)</f>
        <v>0</v>
      </c>
      <c r="AF10" s="687">
        <f>SUM(AF11:AF15)</f>
        <v>0</v>
      </c>
      <c r="AG10" s="687">
        <f>SUM(AG11:AG15)</f>
        <v>0</v>
      </c>
      <c r="AI10" s="688">
        <f t="shared" ref="AI10:AK10" si="6">SUM(AI11:AI15)</f>
        <v>0</v>
      </c>
      <c r="AJ10" s="688">
        <f t="shared" si="6"/>
        <v>0</v>
      </c>
      <c r="AK10" s="688">
        <f t="shared" si="6"/>
        <v>0</v>
      </c>
      <c r="AM10" s="152"/>
      <c r="AN10" s="249"/>
      <c r="AO10" s="249"/>
      <c r="AP10" s="159"/>
      <c r="AQ10" s="164"/>
      <c r="AS10" s="250"/>
      <c r="AT10" s="159"/>
      <c r="AU10" s="159"/>
      <c r="AV10" s="159"/>
      <c r="AW10" s="164"/>
      <c r="AX10" s="125"/>
      <c r="AY10" s="153"/>
      <c r="AZ10" s="154"/>
      <c r="BA10" s="154"/>
      <c r="BB10" s="154"/>
      <c r="BC10" s="155"/>
      <c r="BD10" s="153">
        <f>IF(BC10=0,9,IF(AI10&gt;=BC10,5,IF(AI10&gt;=BB10,4,IF(AI10&gt;=BA10,3,IF(AI10&gt;=AZ10,2,IF(AI10&lt;AY10,0,1))))))</f>
        <v>9</v>
      </c>
      <c r="BE10" s="156" t="str">
        <f t="shared" ref="BE10:BE35" si="7">VLOOKUP(BD10,$BO$285:$BT$291,6,FALSE)</f>
        <v>N/A</v>
      </c>
      <c r="BF10" s="157"/>
      <c r="BG10" s="153">
        <f t="shared" ref="BG10:BG35" si="8">IF(BC10=0,9,IF(AJ10&gt;=BC10,5,IF(AJ10&gt;=BB10,4,IF(AJ10&gt;=BA10,3,IF(AJ10&gt;=AZ10,2,IF(AJ10&lt;AY10,0,1))))))</f>
        <v>9</v>
      </c>
      <c r="BH10" s="156" t="str">
        <f t="shared" ref="BH10:BH35" si="9">VLOOKUP(BG10,$BO$285:$BT$291,6,FALSE)</f>
        <v>N/A</v>
      </c>
      <c r="BI10" s="157"/>
      <c r="BJ10" s="153">
        <f>IF(BC10=0,9,IF(AK10&gt;=BC10,5,IF(AK10&gt;=BB10,4,IF(AK10&gt;=BA10,3,IF(AK10&gt;=AZ10,2,IF(AK10&lt;AY10,0,1))))))</f>
        <v>9</v>
      </c>
      <c r="BK10" s="156" t="str">
        <f t="shared" ref="BK10:BK35" si="10">VLOOKUP(BJ10,$BO$285:$BT$291,6,FALSE)</f>
        <v>N/A</v>
      </c>
      <c r="BL10" s="157"/>
      <c r="BO10" s="43"/>
      <c r="BP10" s="43"/>
      <c r="BQ10" s="43" t="str">
        <f>IF(BO10&lt;&gt;"",BO10,IF(BP10&lt;&gt;"",BP10,""))</f>
        <v/>
      </c>
      <c r="BR10" s="43">
        <f>IF(BQ10="",9,(IF(AI10&gt;=BQ10,5,0)))</f>
        <v>9</v>
      </c>
      <c r="BS10" s="43">
        <f>IF(BQ10="",9,(IF(AJ10&gt;=BQ10,5,0)))</f>
        <v>9</v>
      </c>
      <c r="BT10" s="43">
        <f>IF(BQ10="",9,(IF(AK10&gt;=BQ10,5,0)))</f>
        <v>9</v>
      </c>
      <c r="BW10" s="45" t="str">
        <f>D10</f>
        <v>Man 01</v>
      </c>
      <c r="BX10" s="45" t="str">
        <f>IFERROR(VLOOKUP($E10,'Pre-Assessment Estimator'!$E$11:$AB$228,'Pre-Assessment Estimator'!AB$2,FALSE),"")</f>
        <v>No</v>
      </c>
      <c r="BY10" s="248">
        <f>IFERROR(VLOOKUP($E10,'Pre-Assessment Estimator'!$E$11:$AI$228,'Pre-Assessment Estimator'!AI$2,FALSE),"")</f>
        <v>0</v>
      </c>
      <c r="BZ10" s="248">
        <f>IFERROR(VLOOKUP($BX10,$E$294:$H$327,F$292,FALSE),"")</f>
        <v>1</v>
      </c>
      <c r="CA10" s="248">
        <f>IFERROR(VLOOKUP($BX10,$E$294:$H$327,G$292,FALSE),"")</f>
        <v>0</v>
      </c>
      <c r="CB10" s="248"/>
      <c r="CC10" t="str">
        <f>IFERROR(VLOOKUP($BX10,$E$294:$H$327,I$292,FALSE),"")</f>
        <v/>
      </c>
    </row>
    <row r="11" spans="1:90" x14ac:dyDescent="0.25">
      <c r="A11">
        <v>3</v>
      </c>
      <c r="B11" t="str">
        <f t="shared" ref="B11:B15" si="11">$D$10&amp;D11</f>
        <v>Man 01a</v>
      </c>
      <c r="D11" s="43" t="s">
        <v>673</v>
      </c>
      <c r="E11" s="826" t="s">
        <v>570</v>
      </c>
      <c r="F11" s="582">
        <v>1</v>
      </c>
      <c r="G11" s="582">
        <v>1</v>
      </c>
      <c r="H11" s="582">
        <v>1</v>
      </c>
      <c r="I11" s="582">
        <v>1</v>
      </c>
      <c r="J11" s="582">
        <v>1</v>
      </c>
      <c r="K11" s="582">
        <v>1</v>
      </c>
      <c r="L11" s="582">
        <v>1</v>
      </c>
      <c r="M11" s="582">
        <v>1</v>
      </c>
      <c r="N11" s="582">
        <v>1</v>
      </c>
      <c r="O11" s="582">
        <v>1</v>
      </c>
      <c r="P11" s="582">
        <v>1</v>
      </c>
      <c r="Q11" s="582">
        <v>1</v>
      </c>
      <c r="R11" s="582">
        <v>1</v>
      </c>
      <c r="S11" s="504"/>
      <c r="T11" s="145">
        <f t="shared" si="2"/>
        <v>1</v>
      </c>
      <c r="U11" s="146"/>
      <c r="V11" s="43"/>
      <c r="W11" s="43"/>
      <c r="X11" s="147"/>
      <c r="Y11" s="148"/>
      <c r="Z11" s="865">
        <f>VLOOKUP(B11,'Manuell filtrering og justering'!$A$7:$H$107,'Manuell filtrering og justering'!$H$1,FALSE)</f>
        <v>1</v>
      </c>
      <c r="AA11" s="873">
        <f t="shared" si="4"/>
        <v>0</v>
      </c>
      <c r="AB11" s="163">
        <f>IF($AC$5='Manuell filtrering og justering'!$J$2,Z11,(T11-AA11))</f>
        <v>1</v>
      </c>
      <c r="AD11" s="150">
        <f t="shared" si="5"/>
        <v>6.1904761904761907E-3</v>
      </c>
      <c r="AE11" s="150">
        <f>IF(AB11=0,0,(AD11/AB11)*AI11)</f>
        <v>0</v>
      </c>
      <c r="AF11" s="150">
        <f>IF(AB11=0,0,(AD11/AB11)*AJ11)</f>
        <v>0</v>
      </c>
      <c r="AG11" s="150">
        <f>IF(AB11=0,0,(AD11/AB11)*AK11)</f>
        <v>0</v>
      </c>
      <c r="AI11" s="151">
        <f>IF(VLOOKUP(E11,'Pre-Assessment Estimator'!$E$11:$Z$228,'Pre-Assessment Estimator'!$G$2,FALSE)&gt;AB11,AB11,VLOOKUP(E11,'Pre-Assessment Estimator'!$E$11:$Z$228,'Pre-Assessment Estimator'!$G$2,FALSE))</f>
        <v>0</v>
      </c>
      <c r="AJ11" s="151">
        <f>IF(VLOOKUP(E11,'Pre-Assessment Estimator'!$E$11:$Z$228,'Pre-Assessment Estimator'!$N$2,FALSE)&gt;AB11,AB11,VLOOKUP(E11,'Pre-Assessment Estimator'!$E$11:$Z$228,'Pre-Assessment Estimator'!$N$2,FALSE))</f>
        <v>0</v>
      </c>
      <c r="AK11" s="151">
        <f>IF(VLOOKUP(E11,'Pre-Assessment Estimator'!$E$11:$Z$228,'Pre-Assessment Estimator'!$U$2,FALSE)&gt;AB11,AB11,VLOOKUP(E11,'Pre-Assessment Estimator'!$E$11:$Z$228,'Pre-Assessment Estimator'!$U$2,FALSE))</f>
        <v>0</v>
      </c>
      <c r="AM11" s="630"/>
      <c r="AN11" s="631"/>
      <c r="AO11" s="631"/>
      <c r="AP11" s="159">
        <v>1</v>
      </c>
      <c r="AQ11" s="164">
        <v>1</v>
      </c>
      <c r="AS11" s="250"/>
      <c r="AT11" s="159"/>
      <c r="AU11" s="159"/>
      <c r="AV11" s="159">
        <v>1</v>
      </c>
      <c r="AW11" s="164">
        <v>1</v>
      </c>
      <c r="AX11" s="125"/>
      <c r="AY11" s="632"/>
      <c r="AZ11" s="633"/>
      <c r="BA11" s="633"/>
      <c r="BB11" s="161">
        <f>IF($E$6=$H$9,AV11,AP11)</f>
        <v>1</v>
      </c>
      <c r="BC11" s="161">
        <f>IF($E$6=$H$9,AW11,AQ11)</f>
        <v>1</v>
      </c>
      <c r="BD11" s="160">
        <f t="shared" ref="BD11:BD15" si="12">IF(BC11=0,9,IF(AI11&gt;=BC11,5,IF(AI11&gt;=BB11,4,IF(AI11&gt;=BA11,3,IF(AI11&gt;=AZ11,2,IF(AI11&lt;AY11,0,1))))))</f>
        <v>3</v>
      </c>
      <c r="BE11" s="45" t="str">
        <f t="shared" si="7"/>
        <v>Very Good</v>
      </c>
      <c r="BF11" s="163"/>
      <c r="BG11" s="160">
        <f t="shared" ref="BG11:BG15" si="13">IF(BC11=0,9,IF(AJ11&gt;=BC11,5,IF(AJ11&gt;=BB11,4,IF(AJ11&gt;=BA11,3,IF(AJ11&gt;=AZ11,2,IF(AJ11&lt;AY11,0,1))))))</f>
        <v>3</v>
      </c>
      <c r="BH11" s="45" t="str">
        <f t="shared" si="9"/>
        <v>Very Good</v>
      </c>
      <c r="BI11" s="163"/>
      <c r="BJ11" s="160">
        <f t="shared" ref="BJ11:BJ15" si="14">IF(BC11=0,9,IF(AK11&gt;=BC11,5,IF(AK11&gt;=BB11,4,IF(AK11&gt;=BA11,3,IF(AK11&gt;=AZ11,2,IF(AK11&lt;AY11,0,1))))))</f>
        <v>3</v>
      </c>
      <c r="BK11" s="45" t="str">
        <f t="shared" si="10"/>
        <v>Very Good</v>
      </c>
      <c r="BL11" s="634"/>
      <c r="BO11" s="43"/>
      <c r="BP11" s="43"/>
      <c r="BQ11" s="43" t="str">
        <f t="shared" ref="BQ11:BQ74" si="15">IF(BO11&lt;&gt;"",BO11,IF(BP11&lt;&gt;"",BP11,""))</f>
        <v/>
      </c>
      <c r="BR11" s="43">
        <f t="shared" ref="BR11" si="16">IF(BQ11="",9,(IF(AI11&gt;=BQ11,5,0)))</f>
        <v>9</v>
      </c>
      <c r="BS11" s="43">
        <f t="shared" ref="BS11:BS30" si="17">IF(BQ11="",9,(IF(AJ11&gt;=BQ11,5,0)))</f>
        <v>9</v>
      </c>
      <c r="BT11" s="43">
        <f t="shared" ref="BT11:BT30" si="18">IF(BQ11="",9,(IF(AK11&gt;=BQ11,5,0)))</f>
        <v>9</v>
      </c>
      <c r="BW11" s="45"/>
      <c r="BX11" s="45"/>
      <c r="BY11" s="248"/>
      <c r="BZ11" s="248"/>
      <c r="CA11" s="248"/>
      <c r="CB11" s="248"/>
    </row>
    <row r="12" spans="1:90" x14ac:dyDescent="0.25">
      <c r="A12">
        <v>4</v>
      </c>
      <c r="B12" t="str">
        <f t="shared" si="11"/>
        <v>Man 01b</v>
      </c>
      <c r="D12" s="43" t="s">
        <v>676</v>
      </c>
      <c r="E12" s="1406" t="s">
        <v>1971</v>
      </c>
      <c r="F12" s="582">
        <v>1</v>
      </c>
      <c r="G12" s="582">
        <v>1</v>
      </c>
      <c r="H12" s="582">
        <v>1</v>
      </c>
      <c r="I12" s="582">
        <v>1</v>
      </c>
      <c r="J12" s="582">
        <v>1</v>
      </c>
      <c r="K12" s="582">
        <v>1</v>
      </c>
      <c r="L12" s="582">
        <v>1</v>
      </c>
      <c r="M12" s="582">
        <v>1</v>
      </c>
      <c r="N12" s="582">
        <v>1</v>
      </c>
      <c r="O12" s="582">
        <v>1</v>
      </c>
      <c r="P12" s="582">
        <v>1</v>
      </c>
      <c r="Q12" s="582">
        <v>1</v>
      </c>
      <c r="R12" s="582">
        <v>1</v>
      </c>
      <c r="S12" s="504"/>
      <c r="T12" s="145">
        <f t="shared" si="2"/>
        <v>1</v>
      </c>
      <c r="U12" s="146"/>
      <c r="V12" s="43"/>
      <c r="W12" s="43"/>
      <c r="X12" s="147"/>
      <c r="Y12" s="148"/>
      <c r="Z12" s="865">
        <f>VLOOKUP(B12,'Manuell filtrering og justering'!$A$7:$H$107,'Manuell filtrering og justering'!$H$1,FALSE)</f>
        <v>1</v>
      </c>
      <c r="AA12" s="873">
        <f t="shared" si="4"/>
        <v>0</v>
      </c>
      <c r="AB12" s="163">
        <f>IF($AC$5='Manuell filtrering og justering'!$J$2,Z12,(T12-AA12))</f>
        <v>1</v>
      </c>
      <c r="AD12" s="150">
        <f t="shared" si="5"/>
        <v>6.1904761904761907E-3</v>
      </c>
      <c r="AE12" s="150">
        <f>IF(AB12=0,0,(AD12/AB12)*AI12)</f>
        <v>0</v>
      </c>
      <c r="AF12" s="150">
        <f t="shared" ref="AF12:AF33" si="19">IF(AB12=0,0,(AD12/AB12)*AJ12)</f>
        <v>0</v>
      </c>
      <c r="AG12" s="150">
        <f t="shared" ref="AG12:AG33" si="20">IF(AB12=0,0,(AD12/AB12)*AK12)</f>
        <v>0</v>
      </c>
      <c r="AI12" s="151">
        <f>IF(VLOOKUP(E12,'Pre-Assessment Estimator'!$E$11:$Z$228,'Pre-Assessment Estimator'!$G$2,FALSE)&gt;AB12,AB12,VLOOKUP(E12,'Pre-Assessment Estimator'!$E$11:$Z$228,'Pre-Assessment Estimator'!$G$2,FALSE))</f>
        <v>0</v>
      </c>
      <c r="AJ12" s="151">
        <f>IF(VLOOKUP(E12,'Pre-Assessment Estimator'!$E$11:$Z$228,'Pre-Assessment Estimator'!$N$2,FALSE)&gt;AB12,AB12,VLOOKUP(E12,'Pre-Assessment Estimator'!$E$11:$Z$228,'Pre-Assessment Estimator'!$N$2,FALSE))</f>
        <v>0</v>
      </c>
      <c r="AK12" s="151">
        <f>IF(VLOOKUP(E12,'Pre-Assessment Estimator'!$E$11:$Z$228,'Pre-Assessment Estimator'!$U$2,FALSE)&gt;AB12,AB12,VLOOKUP(E12,'Pre-Assessment Estimator'!$E$11:$Z$228,'Pre-Assessment Estimator'!$U$2,FALSE))</f>
        <v>0</v>
      </c>
      <c r="AM12" s="630"/>
      <c r="AN12" s="631"/>
      <c r="AO12" s="631"/>
      <c r="AP12" s="159">
        <v>1</v>
      </c>
      <c r="AQ12" s="164">
        <v>1</v>
      </c>
      <c r="AS12" s="250"/>
      <c r="AT12" s="159"/>
      <c r="AU12" s="159"/>
      <c r="AV12" s="159">
        <v>1</v>
      </c>
      <c r="AW12" s="164">
        <v>1</v>
      </c>
      <c r="AX12" s="125"/>
      <c r="AY12" s="632"/>
      <c r="AZ12" s="633"/>
      <c r="BA12" s="633"/>
      <c r="BB12" s="161">
        <f>IF($E$6=$H$9,AV12,AP12)</f>
        <v>1</v>
      </c>
      <c r="BC12" s="161">
        <f>IF($E$6=$H$9,AW12,AQ12)</f>
        <v>1</v>
      </c>
      <c r="BD12" s="160">
        <f t="shared" si="12"/>
        <v>3</v>
      </c>
      <c r="BE12" s="45" t="str">
        <f t="shared" si="7"/>
        <v>Very Good</v>
      </c>
      <c r="BF12" s="163"/>
      <c r="BG12" s="160">
        <f t="shared" si="13"/>
        <v>3</v>
      </c>
      <c r="BH12" s="45" t="str">
        <f t="shared" si="9"/>
        <v>Very Good</v>
      </c>
      <c r="BI12" s="163"/>
      <c r="BJ12" s="160">
        <f t="shared" si="14"/>
        <v>3</v>
      </c>
      <c r="BK12" s="45" t="str">
        <f t="shared" si="10"/>
        <v>Very Good</v>
      </c>
      <c r="BL12" s="634"/>
      <c r="BO12" s="43"/>
      <c r="BP12" s="43"/>
      <c r="BQ12" s="43" t="str">
        <f t="shared" si="15"/>
        <v/>
      </c>
      <c r="BR12" s="43">
        <f>IF(BQ12="",9,(IF(AI12&gt;=BQ12,5,0)))</f>
        <v>9</v>
      </c>
      <c r="BS12" s="43">
        <f t="shared" si="17"/>
        <v>9</v>
      </c>
      <c r="BT12" s="43">
        <f t="shared" si="18"/>
        <v>9</v>
      </c>
      <c r="BW12" s="45"/>
      <c r="BX12" s="45"/>
      <c r="BY12" s="248"/>
      <c r="BZ12" s="248"/>
      <c r="CA12" s="248"/>
      <c r="CB12" s="248"/>
    </row>
    <row r="13" spans="1:90" x14ac:dyDescent="0.25">
      <c r="A13">
        <v>5</v>
      </c>
      <c r="B13" t="str">
        <f t="shared" si="11"/>
        <v>Man 01c</v>
      </c>
      <c r="D13" s="43" t="s">
        <v>677</v>
      </c>
      <c r="E13" s="826" t="s">
        <v>566</v>
      </c>
      <c r="F13" s="582">
        <v>1</v>
      </c>
      <c r="G13" s="582">
        <v>1</v>
      </c>
      <c r="H13" s="582">
        <v>1</v>
      </c>
      <c r="I13" s="582">
        <v>1</v>
      </c>
      <c r="J13" s="582">
        <v>1</v>
      </c>
      <c r="K13" s="582">
        <v>1</v>
      </c>
      <c r="L13" s="582">
        <v>1</v>
      </c>
      <c r="M13" s="582">
        <v>1</v>
      </c>
      <c r="N13" s="582">
        <v>1</v>
      </c>
      <c r="O13" s="582">
        <v>1</v>
      </c>
      <c r="P13" s="582">
        <v>1</v>
      </c>
      <c r="Q13" s="582">
        <v>1</v>
      </c>
      <c r="R13" s="582">
        <v>1</v>
      </c>
      <c r="S13" s="504"/>
      <c r="T13" s="145">
        <f t="shared" si="2"/>
        <v>1</v>
      </c>
      <c r="U13" s="146"/>
      <c r="V13" s="43"/>
      <c r="W13" s="43"/>
      <c r="X13" s="147"/>
      <c r="Y13" s="148"/>
      <c r="Z13" s="865">
        <f>VLOOKUP(B13,'Manuell filtrering og justering'!$A$7:$H$107,'Manuell filtrering og justering'!$H$1,FALSE)</f>
        <v>1</v>
      </c>
      <c r="AA13" s="873">
        <f t="shared" si="4"/>
        <v>0</v>
      </c>
      <c r="AB13" s="163">
        <f>IF($AC$5='Manuell filtrering og justering'!$J$2,Z13,(T13-AA13))</f>
        <v>1</v>
      </c>
      <c r="AD13" s="150">
        <f t="shared" si="5"/>
        <v>6.1904761904761907E-3</v>
      </c>
      <c r="AE13" s="150">
        <f>IF(AB13=0,0,(AD13/AB13)*AI13)</f>
        <v>0</v>
      </c>
      <c r="AF13" s="150">
        <f t="shared" si="19"/>
        <v>0</v>
      </c>
      <c r="AG13" s="150">
        <f t="shared" si="20"/>
        <v>0</v>
      </c>
      <c r="AI13" s="151">
        <f>IF(VLOOKUP(E13,'Pre-Assessment Estimator'!$E$11:$Z$228,'Pre-Assessment Estimator'!$G$2,FALSE)&gt;AB13,AB13,VLOOKUP(E13,'Pre-Assessment Estimator'!$E$11:$Z$228,'Pre-Assessment Estimator'!$G$2,FALSE))</f>
        <v>0</v>
      </c>
      <c r="AJ13" s="151">
        <f>IF(VLOOKUP(E13,'Pre-Assessment Estimator'!$E$11:$Z$228,'Pre-Assessment Estimator'!$N$2,FALSE)&gt;AB13,AB13,VLOOKUP(E13,'Pre-Assessment Estimator'!$E$11:$Z$228,'Pre-Assessment Estimator'!$N$2,FALSE))</f>
        <v>0</v>
      </c>
      <c r="AK13" s="151">
        <f>IF(VLOOKUP(E13,'Pre-Assessment Estimator'!$E$11:$Z$228,'Pre-Assessment Estimator'!$U$2,FALSE)&gt;AB13,AB13,VLOOKUP(E13,'Pre-Assessment Estimator'!$E$11:$Z$228,'Pre-Assessment Estimator'!$U$2,FALSE))</f>
        <v>0</v>
      </c>
      <c r="AM13" s="630"/>
      <c r="AN13" s="631"/>
      <c r="AO13" s="631"/>
      <c r="AP13" s="159"/>
      <c r="AQ13" s="164"/>
      <c r="AS13" s="250"/>
      <c r="AT13" s="159"/>
      <c r="AU13" s="159"/>
      <c r="AV13" s="159"/>
      <c r="AW13" s="164"/>
      <c r="AX13" s="125"/>
      <c r="AY13" s="632"/>
      <c r="AZ13" s="633"/>
      <c r="BA13" s="633"/>
      <c r="BB13" s="633"/>
      <c r="BC13" s="155"/>
      <c r="BD13" s="160">
        <f t="shared" si="12"/>
        <v>9</v>
      </c>
      <c r="BE13" s="45" t="str">
        <f t="shared" si="7"/>
        <v>N/A</v>
      </c>
      <c r="BF13" s="163"/>
      <c r="BG13" s="160">
        <f t="shared" si="13"/>
        <v>9</v>
      </c>
      <c r="BH13" s="45" t="str">
        <f t="shared" si="9"/>
        <v>N/A</v>
      </c>
      <c r="BI13" s="163"/>
      <c r="BJ13" s="160">
        <f t="shared" si="14"/>
        <v>9</v>
      </c>
      <c r="BK13" s="45" t="str">
        <f t="shared" si="10"/>
        <v>N/A</v>
      </c>
      <c r="BL13" s="634"/>
      <c r="BO13" s="43"/>
      <c r="BP13" s="43"/>
      <c r="BQ13" s="43" t="str">
        <f t="shared" si="15"/>
        <v/>
      </c>
      <c r="BR13" s="43">
        <f t="shared" ref="BR13:BR30" si="21">IF(BQ13="",9,(IF(AI13&gt;=BQ13,5,0)))</f>
        <v>9</v>
      </c>
      <c r="BS13" s="43">
        <f t="shared" si="17"/>
        <v>9</v>
      </c>
      <c r="BT13" s="43">
        <f t="shared" si="18"/>
        <v>9</v>
      </c>
      <c r="BW13" s="45"/>
      <c r="BX13" s="45"/>
      <c r="BY13" s="248"/>
      <c r="BZ13" s="248"/>
      <c r="CA13" s="248"/>
      <c r="CB13" s="248"/>
    </row>
    <row r="14" spans="1:90" x14ac:dyDescent="0.25">
      <c r="A14">
        <v>6</v>
      </c>
      <c r="B14" t="str">
        <f t="shared" si="11"/>
        <v>Man 01d</v>
      </c>
      <c r="D14" s="43" t="s">
        <v>675</v>
      </c>
      <c r="E14" s="826" t="s">
        <v>567</v>
      </c>
      <c r="F14" s="582">
        <v>1</v>
      </c>
      <c r="G14" s="582">
        <v>1</v>
      </c>
      <c r="H14" s="582">
        <v>1</v>
      </c>
      <c r="I14" s="582">
        <v>1</v>
      </c>
      <c r="J14" s="582">
        <v>1</v>
      </c>
      <c r="K14" s="582">
        <v>1</v>
      </c>
      <c r="L14" s="582">
        <v>1</v>
      </c>
      <c r="M14" s="582">
        <v>1</v>
      </c>
      <c r="N14" s="582">
        <v>1</v>
      </c>
      <c r="O14" s="582">
        <v>1</v>
      </c>
      <c r="P14" s="582">
        <v>1</v>
      </c>
      <c r="Q14" s="582">
        <v>1</v>
      </c>
      <c r="R14" s="582">
        <v>1</v>
      </c>
      <c r="S14" s="504"/>
      <c r="T14" s="145">
        <f t="shared" si="2"/>
        <v>1</v>
      </c>
      <c r="U14" s="146"/>
      <c r="V14" s="43"/>
      <c r="W14" s="43"/>
      <c r="X14" s="147"/>
      <c r="Y14" s="148"/>
      <c r="Z14" s="865">
        <f>VLOOKUP(B14,'Manuell filtrering og justering'!$A$7:$H$107,'Manuell filtrering og justering'!$H$1,FALSE)</f>
        <v>2</v>
      </c>
      <c r="AA14" s="873">
        <f t="shared" si="4"/>
        <v>0</v>
      </c>
      <c r="AB14" s="163">
        <f>IF($AC$5='Manuell filtrering og justering'!$J$2,Z14,(T14-AA14))</f>
        <v>1</v>
      </c>
      <c r="AD14" s="150">
        <f t="shared" si="5"/>
        <v>6.1904761904761907E-3</v>
      </c>
      <c r="AE14" s="150">
        <f>IF(AB14=0,0,(AD14/AB14)*AI14)</f>
        <v>0</v>
      </c>
      <c r="AF14" s="150">
        <f t="shared" si="19"/>
        <v>0</v>
      </c>
      <c r="AG14" s="150">
        <f t="shared" si="20"/>
        <v>0</v>
      </c>
      <c r="AI14" s="151">
        <f>IF(VLOOKUP(E14,'Pre-Assessment Estimator'!$E$11:$Z$228,'Pre-Assessment Estimator'!$G$2,FALSE)&gt;AB14,AB14,VLOOKUP(E14,'Pre-Assessment Estimator'!$E$11:$Z$228,'Pre-Assessment Estimator'!$G$2,FALSE))</f>
        <v>0</v>
      </c>
      <c r="AJ14" s="151">
        <f>IF(VLOOKUP(E14,'Pre-Assessment Estimator'!$E$11:$Z$228,'Pre-Assessment Estimator'!$N$2,FALSE)&gt;AB14,AB14,VLOOKUP(E14,'Pre-Assessment Estimator'!$E$11:$Z$228,'Pre-Assessment Estimator'!$N$2,FALSE))</f>
        <v>0</v>
      </c>
      <c r="AK14" s="151">
        <f>IF(VLOOKUP(E14,'Pre-Assessment Estimator'!$E$11:$Z$228,'Pre-Assessment Estimator'!$U$2,FALSE)&gt;AB14,AB14,VLOOKUP(E14,'Pre-Assessment Estimator'!$E$11:$Z$228,'Pre-Assessment Estimator'!$U$2,FALSE))</f>
        <v>0</v>
      </c>
      <c r="AM14" s="630"/>
      <c r="AN14" s="631"/>
      <c r="AO14" s="631"/>
      <c r="AP14" s="159"/>
      <c r="AQ14" s="164"/>
      <c r="AS14" s="250"/>
      <c r="AT14" s="159"/>
      <c r="AU14" s="159"/>
      <c r="AV14" s="159"/>
      <c r="AW14" s="164"/>
      <c r="AX14" s="125"/>
      <c r="AY14" s="632"/>
      <c r="AZ14" s="633"/>
      <c r="BA14" s="633"/>
      <c r="BB14" s="633"/>
      <c r="BC14" s="155"/>
      <c r="BD14" s="160">
        <f t="shared" si="12"/>
        <v>9</v>
      </c>
      <c r="BE14" s="45" t="str">
        <f t="shared" si="7"/>
        <v>N/A</v>
      </c>
      <c r="BF14" s="163"/>
      <c r="BG14" s="160">
        <f t="shared" si="13"/>
        <v>9</v>
      </c>
      <c r="BH14" s="45" t="str">
        <f t="shared" si="9"/>
        <v>N/A</v>
      </c>
      <c r="BI14" s="163"/>
      <c r="BJ14" s="160">
        <f t="shared" si="14"/>
        <v>9</v>
      </c>
      <c r="BK14" s="45" t="str">
        <f t="shared" si="10"/>
        <v>N/A</v>
      </c>
      <c r="BL14" s="634"/>
      <c r="BO14" s="43"/>
      <c r="BP14" s="43"/>
      <c r="BQ14" s="43" t="str">
        <f t="shared" si="15"/>
        <v/>
      </c>
      <c r="BR14" s="43">
        <f t="shared" si="21"/>
        <v>9</v>
      </c>
      <c r="BS14" s="43">
        <f t="shared" si="17"/>
        <v>9</v>
      </c>
      <c r="BT14" s="43">
        <f t="shared" si="18"/>
        <v>9</v>
      </c>
      <c r="BW14" s="45"/>
      <c r="BX14" s="45"/>
      <c r="BY14" s="248"/>
      <c r="BZ14" s="248"/>
      <c r="CA14" s="248"/>
      <c r="CB14" s="248"/>
    </row>
    <row r="15" spans="1:90" x14ac:dyDescent="0.25">
      <c r="A15">
        <v>7</v>
      </c>
      <c r="B15" t="str">
        <f t="shared" si="11"/>
        <v>Man 01e</v>
      </c>
      <c r="D15" s="43" t="s">
        <v>674</v>
      </c>
      <c r="E15" s="826" t="s">
        <v>568</v>
      </c>
      <c r="F15" s="582">
        <v>1</v>
      </c>
      <c r="G15" s="582">
        <v>1</v>
      </c>
      <c r="H15" s="582">
        <v>1</v>
      </c>
      <c r="I15" s="582">
        <v>1</v>
      </c>
      <c r="J15" s="582">
        <v>1</v>
      </c>
      <c r="K15" s="582">
        <v>1</v>
      </c>
      <c r="L15" s="582">
        <v>1</v>
      </c>
      <c r="M15" s="582">
        <v>1</v>
      </c>
      <c r="N15" s="582">
        <v>1</v>
      </c>
      <c r="O15" s="582">
        <v>1</v>
      </c>
      <c r="P15" s="582">
        <v>1</v>
      </c>
      <c r="Q15" s="582">
        <v>1</v>
      </c>
      <c r="R15" s="582">
        <v>1</v>
      </c>
      <c r="S15" s="504"/>
      <c r="T15" s="145">
        <f t="shared" si="2"/>
        <v>1</v>
      </c>
      <c r="U15" s="146"/>
      <c r="V15" s="43"/>
      <c r="W15" s="43"/>
      <c r="X15" s="147"/>
      <c r="Y15" s="148"/>
      <c r="Z15" s="865">
        <f>VLOOKUP(B15,'Manuell filtrering og justering'!$A$7:$H$107,'Manuell filtrering og justering'!$H$1,FALSE)</f>
        <v>1</v>
      </c>
      <c r="AA15" s="873">
        <f t="shared" si="4"/>
        <v>0</v>
      </c>
      <c r="AB15" s="163">
        <f>IF($AC$5='Manuell filtrering og justering'!$J$2,Z15,(T15-AA15))</f>
        <v>1</v>
      </c>
      <c r="AD15" s="150">
        <f t="shared" si="5"/>
        <v>6.1904761904761907E-3</v>
      </c>
      <c r="AE15" s="150">
        <f>IF(AB15=0,0,(AD15/AB15)*AI15)</f>
        <v>0</v>
      </c>
      <c r="AF15" s="150">
        <f t="shared" si="19"/>
        <v>0</v>
      </c>
      <c r="AG15" s="150">
        <f t="shared" si="20"/>
        <v>0</v>
      </c>
      <c r="AI15" s="151">
        <f>IF(VLOOKUP(E15,'Pre-Assessment Estimator'!$E$11:$Z$228,'Pre-Assessment Estimator'!$G$2,FALSE)&gt;AB15,AB15,VLOOKUP(E15,'Pre-Assessment Estimator'!$E$11:$Z$228,'Pre-Assessment Estimator'!$G$2,FALSE))</f>
        <v>0</v>
      </c>
      <c r="AJ15" s="151">
        <f>IF(VLOOKUP(E15,'Pre-Assessment Estimator'!$E$11:$Z$228,'Pre-Assessment Estimator'!$N$2,FALSE)&gt;AB15,AB15,VLOOKUP(E15,'Pre-Assessment Estimator'!$E$11:$Z$228,'Pre-Assessment Estimator'!$N$2,FALSE))</f>
        <v>0</v>
      </c>
      <c r="AK15" s="151">
        <f>IF(VLOOKUP(E15,'Pre-Assessment Estimator'!$E$11:$Z$228,'Pre-Assessment Estimator'!$U$2,FALSE)&gt;AB15,AB15,VLOOKUP(E15,'Pre-Assessment Estimator'!$E$11:$Z$228,'Pre-Assessment Estimator'!$U$2,FALSE))</f>
        <v>0</v>
      </c>
      <c r="AM15" s="747"/>
      <c r="AN15" s="748"/>
      <c r="AO15" s="748"/>
      <c r="AP15" s="745"/>
      <c r="AQ15" s="743"/>
      <c r="AR15" s="121"/>
      <c r="AS15" s="744"/>
      <c r="AT15" s="745"/>
      <c r="AU15" s="745"/>
      <c r="AV15" s="745"/>
      <c r="AW15" s="743"/>
      <c r="AX15" s="125"/>
      <c r="AY15" s="632"/>
      <c r="AZ15" s="633"/>
      <c r="BA15" s="633"/>
      <c r="BB15" s="161"/>
      <c r="BC15" s="161"/>
      <c r="BD15" s="160">
        <f t="shared" si="12"/>
        <v>9</v>
      </c>
      <c r="BE15" s="45" t="str">
        <f t="shared" si="7"/>
        <v>N/A</v>
      </c>
      <c r="BF15" s="163"/>
      <c r="BG15" s="160">
        <f t="shared" si="13"/>
        <v>9</v>
      </c>
      <c r="BH15" s="45" t="str">
        <f t="shared" si="9"/>
        <v>N/A</v>
      </c>
      <c r="BI15" s="163"/>
      <c r="BJ15" s="160">
        <f t="shared" si="14"/>
        <v>9</v>
      </c>
      <c r="BK15" s="45" t="str">
        <f t="shared" si="10"/>
        <v>N/A</v>
      </c>
      <c r="BL15" s="634"/>
      <c r="BO15" s="43"/>
      <c r="BP15" s="43"/>
      <c r="BQ15" s="43" t="str">
        <f t="shared" si="15"/>
        <v/>
      </c>
      <c r="BR15" s="43">
        <f t="shared" si="21"/>
        <v>9</v>
      </c>
      <c r="BS15" s="43">
        <f t="shared" si="17"/>
        <v>9</v>
      </c>
      <c r="BT15" s="43">
        <f t="shared" si="18"/>
        <v>9</v>
      </c>
      <c r="BW15" s="45"/>
      <c r="BX15" s="45"/>
      <c r="BY15" s="248"/>
      <c r="BZ15" s="248"/>
      <c r="CA15" s="248"/>
      <c r="CB15" s="248"/>
    </row>
    <row r="16" spans="1:90" x14ac:dyDescent="0.25">
      <c r="A16">
        <v>8</v>
      </c>
      <c r="B16" s="121" t="str">
        <f>D16</f>
        <v>Man 02</v>
      </c>
      <c r="C16" s="121"/>
      <c r="D16" s="636" t="s">
        <v>88</v>
      </c>
      <c r="E16" s="636" t="s">
        <v>290</v>
      </c>
      <c r="F16" s="699">
        <f>SUM(F17:F18)</f>
        <v>3</v>
      </c>
      <c r="G16" s="699">
        <f t="shared" ref="G16:R16" si="22">SUM(G17:G18)</f>
        <v>3</v>
      </c>
      <c r="H16" s="699">
        <f t="shared" si="22"/>
        <v>3</v>
      </c>
      <c r="I16" s="699">
        <f t="shared" si="22"/>
        <v>3</v>
      </c>
      <c r="J16" s="699">
        <f t="shared" si="22"/>
        <v>3</v>
      </c>
      <c r="K16" s="699">
        <f t="shared" si="22"/>
        <v>3</v>
      </c>
      <c r="L16" s="699">
        <f t="shared" si="22"/>
        <v>3</v>
      </c>
      <c r="M16" s="699">
        <f t="shared" si="22"/>
        <v>3</v>
      </c>
      <c r="N16" s="699">
        <f t="shared" si="22"/>
        <v>3</v>
      </c>
      <c r="O16" s="699">
        <f t="shared" si="22"/>
        <v>3</v>
      </c>
      <c r="P16" s="699">
        <f t="shared" si="22"/>
        <v>3</v>
      </c>
      <c r="Q16" s="699">
        <f t="shared" ref="Q16" si="23">SUM(Q17:Q18)</f>
        <v>3</v>
      </c>
      <c r="R16" s="699">
        <f t="shared" si="22"/>
        <v>3</v>
      </c>
      <c r="S16" s="504"/>
      <c r="T16" s="685">
        <f t="shared" si="2"/>
        <v>3</v>
      </c>
      <c r="U16" s="146"/>
      <c r="V16" s="43"/>
      <c r="W16" s="43"/>
      <c r="X16" s="147">
        <f>'Manuell filtrering og justering'!E8</f>
        <v>0</v>
      </c>
      <c r="Y16" s="148"/>
      <c r="Z16" s="881">
        <f t="shared" ref="Z16" si="24">SUM(Z17:Z18)</f>
        <v>3</v>
      </c>
      <c r="AA16" s="873">
        <f t="shared" si="4"/>
        <v>0</v>
      </c>
      <c r="AB16" s="877">
        <f t="shared" ref="AB16" si="25">SUM(AB17:AB18)</f>
        <v>3</v>
      </c>
      <c r="AD16" s="687">
        <f t="shared" si="5"/>
        <v>1.8571428571428572E-2</v>
      </c>
      <c r="AE16" s="687">
        <f>SUM(AE17:AE18)</f>
        <v>0</v>
      </c>
      <c r="AF16" s="687">
        <f>SUM(AF17:AF18)</f>
        <v>0</v>
      </c>
      <c r="AG16" s="687">
        <f>SUM(AG17:AG18)</f>
        <v>0</v>
      </c>
      <c r="AI16" s="688">
        <f t="shared" ref="AI16:AK16" si="26">SUM(AI17:AI18)</f>
        <v>0</v>
      </c>
      <c r="AJ16" s="688">
        <f t="shared" si="26"/>
        <v>0</v>
      </c>
      <c r="AK16" s="688">
        <f t="shared" si="26"/>
        <v>0</v>
      </c>
      <c r="AM16" s="744"/>
      <c r="AN16" s="745"/>
      <c r="AO16" s="745"/>
      <c r="AP16" s="745"/>
      <c r="AQ16" s="743"/>
      <c r="AR16" s="121"/>
      <c r="AS16" s="744"/>
      <c r="AT16" s="745"/>
      <c r="AU16" s="745"/>
      <c r="AV16" s="745"/>
      <c r="AW16" s="743"/>
      <c r="AX16" s="125"/>
      <c r="AY16" s="160"/>
      <c r="AZ16" s="161"/>
      <c r="BA16" s="161"/>
      <c r="BB16" s="161"/>
      <c r="BC16" s="162"/>
      <c r="BD16" s="160">
        <f>IF(BC16=0,9,IF(AI16&gt;=BC16,5,IF(AI16&gt;=BB16,4,IF(AI16&gt;=BA16,3,IF(AI16&gt;=AZ16,2,IF(AI16&lt;AY16,0,1))))))</f>
        <v>9</v>
      </c>
      <c r="BE16" s="45" t="str">
        <f t="shared" si="7"/>
        <v>N/A</v>
      </c>
      <c r="BF16" s="163"/>
      <c r="BG16" s="160">
        <f t="shared" si="8"/>
        <v>9</v>
      </c>
      <c r="BH16" s="45" t="str">
        <f t="shared" si="9"/>
        <v>N/A</v>
      </c>
      <c r="BI16" s="163"/>
      <c r="BJ16" s="160">
        <f t="shared" ref="BJ16:BJ164" si="27">IF(BC16=0,9,IF(AK16&gt;=BC16,5,IF(AK16&gt;=BB16,4,IF(AK16&gt;=BA16,3,IF(AK16&gt;=AZ16,2,IF(AK16&lt;AY16,0,1))))))</f>
        <v>9</v>
      </c>
      <c r="BK16" s="45" t="str">
        <f t="shared" si="10"/>
        <v>N/A</v>
      </c>
      <c r="BL16" s="163"/>
      <c r="BO16" s="43"/>
      <c r="BP16" s="43"/>
      <c r="BQ16" s="43" t="str">
        <f t="shared" si="15"/>
        <v/>
      </c>
      <c r="BR16" s="43">
        <f t="shared" si="21"/>
        <v>9</v>
      </c>
      <c r="BS16" s="43">
        <f t="shared" si="17"/>
        <v>9</v>
      </c>
      <c r="BT16" s="43">
        <f t="shared" si="18"/>
        <v>9</v>
      </c>
      <c r="BW16" s="43" t="str">
        <f>D16</f>
        <v>Man 02</v>
      </c>
      <c r="BX16" s="43" t="str">
        <f>IFERROR(VLOOKUP($E16,'Pre-Assessment Estimator'!$E$11:$AB$228,'Pre-Assessment Estimator'!AB$2,FALSE),"")</f>
        <v>No</v>
      </c>
      <c r="BY16" s="247">
        <f>IFERROR(VLOOKUP($E16,'Pre-Assessment Estimator'!$E$11:$AI$228,'Pre-Assessment Estimator'!AI$2,FALSE),"")</f>
        <v>0</v>
      </c>
      <c r="BZ16" s="247">
        <f>IFERROR(VLOOKUP($BX16,$E$294:$H$327,F$292,FALSE),"")</f>
        <v>1</v>
      </c>
      <c r="CA16" s="247">
        <f>IFERROR(VLOOKUP($BX16,$E$294:$H$327,G$292,FALSE),"")</f>
        <v>0</v>
      </c>
      <c r="CB16" s="247"/>
      <c r="CC16" t="str">
        <f>IFERROR(VLOOKUP($BX16,$E$294:$H$327,I$292,FALSE),"")</f>
        <v/>
      </c>
    </row>
    <row r="17" spans="1:81" x14ac:dyDescent="0.25">
      <c r="A17">
        <v>9</v>
      </c>
      <c r="B17" t="str">
        <f t="shared" ref="B17:B18" si="28">$D$16&amp;D17</f>
        <v>Man 02a</v>
      </c>
      <c r="D17" s="43" t="s">
        <v>673</v>
      </c>
      <c r="E17" s="826" t="s">
        <v>571</v>
      </c>
      <c r="F17" s="582">
        <v>2</v>
      </c>
      <c r="G17" s="582">
        <v>2</v>
      </c>
      <c r="H17" s="582">
        <v>2</v>
      </c>
      <c r="I17" s="582">
        <v>2</v>
      </c>
      <c r="J17" s="582">
        <v>2</v>
      </c>
      <c r="K17" s="582">
        <v>2</v>
      </c>
      <c r="L17" s="582">
        <v>2</v>
      </c>
      <c r="M17" s="582">
        <v>2</v>
      </c>
      <c r="N17" s="582">
        <v>2</v>
      </c>
      <c r="O17" s="582">
        <v>2</v>
      </c>
      <c r="P17" s="582">
        <v>2</v>
      </c>
      <c r="Q17" s="582">
        <v>2</v>
      </c>
      <c r="R17" s="582">
        <v>2</v>
      </c>
      <c r="S17" s="504"/>
      <c r="T17" s="145">
        <f t="shared" si="2"/>
        <v>2</v>
      </c>
      <c r="U17" s="146"/>
      <c r="V17" s="43"/>
      <c r="W17" s="43"/>
      <c r="X17" s="147"/>
      <c r="Y17" s="148"/>
      <c r="Z17" s="865">
        <f>VLOOKUP(B17,'Manuell filtrering og justering'!$A$7:$H$107,'Manuell filtrering og justering'!$H$1,FALSE)</f>
        <v>2</v>
      </c>
      <c r="AA17" s="873">
        <f t="shared" si="4"/>
        <v>0</v>
      </c>
      <c r="AB17" s="163">
        <f>IF($AC$5='Manuell filtrering og justering'!$J$2,Z17,(T17-AA17))</f>
        <v>2</v>
      </c>
      <c r="AD17" s="150">
        <f t="shared" si="5"/>
        <v>1.2380952380952381E-2</v>
      </c>
      <c r="AE17" s="150">
        <f>IF(AB17=0,0,(AD17/AB17)*AI17)</f>
        <v>0</v>
      </c>
      <c r="AF17" s="150">
        <f t="shared" si="19"/>
        <v>0</v>
      </c>
      <c r="AG17" s="150">
        <f t="shared" si="20"/>
        <v>0</v>
      </c>
      <c r="AI17" s="151">
        <f>IF(VLOOKUP(E17,'Pre-Assessment Estimator'!$E$11:$Z$228,'Pre-Assessment Estimator'!$G$2,FALSE)&gt;AB17,AB17,VLOOKUP(E17,'Pre-Assessment Estimator'!$E$11:$Z$228,'Pre-Assessment Estimator'!$G$2,FALSE))</f>
        <v>0</v>
      </c>
      <c r="AJ17" s="151">
        <f>IF(VLOOKUP(E17,'Pre-Assessment Estimator'!$E$11:$Z$228,'Pre-Assessment Estimator'!$N$2,FALSE)&gt;AB17,AB17,VLOOKUP(E17,'Pre-Assessment Estimator'!$E$11:$Z$228,'Pre-Assessment Estimator'!$N$2,FALSE))</f>
        <v>0</v>
      </c>
      <c r="AK17" s="151">
        <f>IF(VLOOKUP(E17,'Pre-Assessment Estimator'!$E$11:$Z$228,'Pre-Assessment Estimator'!$U$2,FALSE)&gt;AB17,AB17,VLOOKUP(E17,'Pre-Assessment Estimator'!$E$11:$Z$228,'Pre-Assessment Estimator'!$U$2,FALSE))</f>
        <v>0</v>
      </c>
      <c r="AM17" s="744"/>
      <c r="AN17" s="745"/>
      <c r="AO17" s="745"/>
      <c r="AP17" s="745"/>
      <c r="AQ17" s="743"/>
      <c r="AR17" s="121"/>
      <c r="AS17" s="744"/>
      <c r="AT17" s="745"/>
      <c r="AU17" s="745"/>
      <c r="AV17" s="745"/>
      <c r="AW17" s="743"/>
      <c r="AX17" s="125"/>
      <c r="AY17" s="160"/>
      <c r="AZ17" s="161"/>
      <c r="BA17" s="161"/>
      <c r="BB17" s="161"/>
      <c r="BC17" s="162"/>
      <c r="BD17" s="160">
        <f t="shared" ref="BD17:BD34" si="29">IF(BC17=0,9,IF(AI17&gt;=BC17,5,IF(AI17&gt;=BB17,4,IF(AI17&gt;=BA17,3,IF(AI17&gt;=AZ17,2,IF(AI17&lt;AY17,0,1))))))</f>
        <v>9</v>
      </c>
      <c r="BE17" s="45" t="str">
        <f t="shared" si="7"/>
        <v>N/A</v>
      </c>
      <c r="BF17" s="163"/>
      <c r="BG17" s="160">
        <f t="shared" si="8"/>
        <v>9</v>
      </c>
      <c r="BH17" s="45" t="str">
        <f t="shared" si="9"/>
        <v>N/A</v>
      </c>
      <c r="BI17" s="163"/>
      <c r="BJ17" s="160">
        <f t="shared" si="27"/>
        <v>9</v>
      </c>
      <c r="BK17" s="45" t="str">
        <f t="shared" si="10"/>
        <v>N/A</v>
      </c>
      <c r="BL17" s="163"/>
      <c r="BO17" s="43"/>
      <c r="BP17" s="43"/>
      <c r="BQ17" s="43" t="str">
        <f t="shared" si="15"/>
        <v/>
      </c>
      <c r="BR17" s="43">
        <f t="shared" si="21"/>
        <v>9</v>
      </c>
      <c r="BS17" s="43">
        <f t="shared" si="17"/>
        <v>9</v>
      </c>
      <c r="BT17" s="43">
        <f t="shared" si="18"/>
        <v>9</v>
      </c>
      <c r="BW17" s="43"/>
      <c r="BX17" s="43"/>
      <c r="BY17" s="247"/>
      <c r="BZ17" s="247"/>
      <c r="CA17" s="247"/>
      <c r="CB17" s="247"/>
    </row>
    <row r="18" spans="1:81" x14ac:dyDescent="0.25">
      <c r="A18">
        <v>10</v>
      </c>
      <c r="B18" t="str">
        <f t="shared" si="28"/>
        <v>Man 02b</v>
      </c>
      <c r="D18" s="43" t="s">
        <v>676</v>
      </c>
      <c r="E18" s="826" t="s">
        <v>572</v>
      </c>
      <c r="F18" s="582">
        <v>1</v>
      </c>
      <c r="G18" s="582">
        <v>1</v>
      </c>
      <c r="H18" s="582">
        <v>1</v>
      </c>
      <c r="I18" s="582">
        <v>1</v>
      </c>
      <c r="J18" s="582">
        <v>1</v>
      </c>
      <c r="K18" s="582">
        <v>1</v>
      </c>
      <c r="L18" s="582">
        <v>1</v>
      </c>
      <c r="M18" s="582">
        <v>1</v>
      </c>
      <c r="N18" s="582">
        <v>1</v>
      </c>
      <c r="O18" s="582">
        <v>1</v>
      </c>
      <c r="P18" s="582">
        <v>1</v>
      </c>
      <c r="Q18" s="582">
        <v>1</v>
      </c>
      <c r="R18" s="582">
        <v>1</v>
      </c>
      <c r="S18" s="504"/>
      <c r="T18" s="145">
        <f t="shared" si="2"/>
        <v>1</v>
      </c>
      <c r="U18" s="146"/>
      <c r="V18" s="43"/>
      <c r="W18" s="43"/>
      <c r="X18" s="147"/>
      <c r="Y18" s="148"/>
      <c r="Z18" s="865">
        <f>VLOOKUP(B18,'Manuell filtrering og justering'!$A$7:$H$107,'Manuell filtrering og justering'!$H$1,FALSE)</f>
        <v>1</v>
      </c>
      <c r="AA18" s="873">
        <f t="shared" si="4"/>
        <v>0</v>
      </c>
      <c r="AB18" s="163">
        <f>IF($AC$5='Manuell filtrering og justering'!$J$2,Z18,(T18-AA18))</f>
        <v>1</v>
      </c>
      <c r="AD18" s="150">
        <f t="shared" si="5"/>
        <v>6.1904761904761907E-3</v>
      </c>
      <c r="AE18" s="150">
        <f>IF(AB18=0,0,(AD18/AB18)*AI18)</f>
        <v>0</v>
      </c>
      <c r="AF18" s="150">
        <f t="shared" si="19"/>
        <v>0</v>
      </c>
      <c r="AG18" s="150">
        <f t="shared" si="20"/>
        <v>0</v>
      </c>
      <c r="AI18" s="151">
        <f>IF(VLOOKUP(E18,'Pre-Assessment Estimator'!$E$11:$Z$228,'Pre-Assessment Estimator'!$G$2,FALSE)&gt;AB18,AB18,VLOOKUP(E18,'Pre-Assessment Estimator'!$E$11:$Z$228,'Pre-Assessment Estimator'!$G$2,FALSE))</f>
        <v>0</v>
      </c>
      <c r="AJ18" s="151">
        <f>IF(VLOOKUP(E18,'Pre-Assessment Estimator'!$E$11:$Z$228,'Pre-Assessment Estimator'!$N$2,FALSE)&gt;AB18,AB18,VLOOKUP(E18,'Pre-Assessment Estimator'!$E$11:$Z$228,'Pre-Assessment Estimator'!$N$2,FALSE))</f>
        <v>0</v>
      </c>
      <c r="AK18" s="151">
        <f>IF(VLOOKUP(E18,'Pre-Assessment Estimator'!$E$11:$Z$228,'Pre-Assessment Estimator'!$U$2,FALSE)&gt;AB18,AB18,VLOOKUP(E18,'Pre-Assessment Estimator'!$E$11:$Z$228,'Pre-Assessment Estimator'!$U$2,FALSE))</f>
        <v>0</v>
      </c>
      <c r="AM18" s="744"/>
      <c r="AN18" s="745"/>
      <c r="AO18" s="745"/>
      <c r="AP18" s="745"/>
      <c r="AQ18" s="743"/>
      <c r="AR18" s="121"/>
      <c r="AS18" s="744"/>
      <c r="AT18" s="745"/>
      <c r="AU18" s="745"/>
      <c r="AV18" s="745"/>
      <c r="AW18" s="743"/>
      <c r="AX18" s="125"/>
      <c r="AY18" s="160"/>
      <c r="AZ18" s="161"/>
      <c r="BA18" s="161"/>
      <c r="BB18" s="161"/>
      <c r="BC18" s="162"/>
      <c r="BD18" s="160">
        <f t="shared" si="29"/>
        <v>9</v>
      </c>
      <c r="BE18" s="45" t="str">
        <f t="shared" si="7"/>
        <v>N/A</v>
      </c>
      <c r="BF18" s="163"/>
      <c r="BG18" s="160">
        <f t="shared" si="8"/>
        <v>9</v>
      </c>
      <c r="BH18" s="45" t="str">
        <f t="shared" si="9"/>
        <v>N/A</v>
      </c>
      <c r="BI18" s="163"/>
      <c r="BJ18" s="160">
        <f t="shared" si="27"/>
        <v>9</v>
      </c>
      <c r="BK18" s="45" t="str">
        <f t="shared" si="10"/>
        <v>N/A</v>
      </c>
      <c r="BL18" s="163"/>
      <c r="BO18" s="43"/>
      <c r="BP18" s="43"/>
      <c r="BQ18" s="43" t="str">
        <f t="shared" si="15"/>
        <v/>
      </c>
      <c r="BR18" s="43">
        <f t="shared" si="21"/>
        <v>9</v>
      </c>
      <c r="BS18" s="43">
        <f t="shared" si="17"/>
        <v>9</v>
      </c>
      <c r="BT18" s="43">
        <f t="shared" si="18"/>
        <v>9</v>
      </c>
      <c r="BW18" s="43"/>
      <c r="BX18" s="43"/>
      <c r="BY18" s="247"/>
      <c r="BZ18" s="247"/>
      <c r="CA18" s="247"/>
      <c r="CB18" s="247"/>
    </row>
    <row r="19" spans="1:81" x14ac:dyDescent="0.25">
      <c r="A19">
        <v>11</v>
      </c>
      <c r="B19" s="121" t="str">
        <f>D19</f>
        <v>Man 03</v>
      </c>
      <c r="C19" s="121"/>
      <c r="D19" s="636" t="s">
        <v>89</v>
      </c>
      <c r="E19" s="636" t="s">
        <v>291</v>
      </c>
      <c r="F19" s="699">
        <f>SUM(F20:F25)</f>
        <v>7</v>
      </c>
      <c r="G19" s="699">
        <f t="shared" ref="G19:R19" si="30">SUM(G20:G25)</f>
        <v>7</v>
      </c>
      <c r="H19" s="699">
        <f t="shared" si="30"/>
        <v>7</v>
      </c>
      <c r="I19" s="699">
        <f t="shared" si="30"/>
        <v>7</v>
      </c>
      <c r="J19" s="699">
        <f t="shared" si="30"/>
        <v>7</v>
      </c>
      <c r="K19" s="699">
        <f t="shared" si="30"/>
        <v>7</v>
      </c>
      <c r="L19" s="699">
        <f t="shared" si="30"/>
        <v>7</v>
      </c>
      <c r="M19" s="699">
        <f t="shared" si="30"/>
        <v>7</v>
      </c>
      <c r="N19" s="699">
        <f t="shared" si="30"/>
        <v>7</v>
      </c>
      <c r="O19" s="699">
        <f t="shared" si="30"/>
        <v>7</v>
      </c>
      <c r="P19" s="699">
        <f t="shared" si="30"/>
        <v>7</v>
      </c>
      <c r="Q19" s="699">
        <f t="shared" ref="Q19" si="31">SUM(Q20:Q25)</f>
        <v>7</v>
      </c>
      <c r="R19" s="699">
        <f t="shared" si="30"/>
        <v>7</v>
      </c>
      <c r="T19" s="685">
        <f t="shared" si="2"/>
        <v>7</v>
      </c>
      <c r="U19" s="146"/>
      <c r="V19" s="43"/>
      <c r="W19" s="43"/>
      <c r="X19" s="147">
        <f>'Manuell filtrering og justering'!E9</f>
        <v>0</v>
      </c>
      <c r="Y19" s="148"/>
      <c r="Z19" s="881">
        <f>SUM(Z20:Z25)</f>
        <v>5</v>
      </c>
      <c r="AA19" s="873">
        <f t="shared" si="4"/>
        <v>0</v>
      </c>
      <c r="AB19" s="877">
        <f>SUM(AB20:AB25)</f>
        <v>7</v>
      </c>
      <c r="AD19" s="687">
        <f t="shared" si="5"/>
        <v>4.3333333333333335E-2</v>
      </c>
      <c r="AE19" s="687">
        <f>SUM(AE20:AE25)</f>
        <v>0</v>
      </c>
      <c r="AF19" s="687">
        <f>SUM(AF20:AF25)</f>
        <v>0</v>
      </c>
      <c r="AG19" s="687">
        <f>SUM(AG20:AG25)</f>
        <v>0</v>
      </c>
      <c r="AI19" s="688">
        <f t="shared" ref="AI19:AK19" si="32">SUM(AI20:AI25)</f>
        <v>0</v>
      </c>
      <c r="AJ19" s="688">
        <f t="shared" si="32"/>
        <v>0</v>
      </c>
      <c r="AK19" s="688">
        <f t="shared" si="32"/>
        <v>0</v>
      </c>
      <c r="AM19" s="744"/>
      <c r="AN19" s="745"/>
      <c r="AO19" s="745"/>
      <c r="AP19" s="745"/>
      <c r="AQ19" s="743"/>
      <c r="AR19" s="121"/>
      <c r="AS19" s="744"/>
      <c r="AT19" s="745"/>
      <c r="AU19" s="745"/>
      <c r="AV19" s="745"/>
      <c r="AW19" s="743"/>
      <c r="AX19" s="125"/>
      <c r="AY19" s="160"/>
      <c r="AZ19" s="161"/>
      <c r="BA19" s="161"/>
      <c r="BB19" s="161"/>
      <c r="BC19" s="162"/>
      <c r="BD19" s="160">
        <f t="shared" si="29"/>
        <v>9</v>
      </c>
      <c r="BE19" s="45" t="str">
        <f t="shared" si="7"/>
        <v>N/A</v>
      </c>
      <c r="BF19" s="163"/>
      <c r="BG19" s="160">
        <f t="shared" si="8"/>
        <v>9</v>
      </c>
      <c r="BH19" s="45" t="str">
        <f t="shared" si="9"/>
        <v>N/A</v>
      </c>
      <c r="BI19" s="163"/>
      <c r="BJ19" s="160">
        <f t="shared" si="27"/>
        <v>9</v>
      </c>
      <c r="BK19" s="45" t="str">
        <f t="shared" si="10"/>
        <v>N/A</v>
      </c>
      <c r="BL19" s="163"/>
      <c r="BO19" s="43"/>
      <c r="BP19" s="43"/>
      <c r="BQ19" s="43" t="str">
        <f t="shared" si="15"/>
        <v/>
      </c>
      <c r="BR19" s="43">
        <f t="shared" si="21"/>
        <v>9</v>
      </c>
      <c r="BS19" s="43">
        <f t="shared" si="17"/>
        <v>9</v>
      </c>
      <c r="BT19" s="43">
        <f t="shared" si="18"/>
        <v>9</v>
      </c>
      <c r="BW19" s="43" t="str">
        <f>D19</f>
        <v>Man 03</v>
      </c>
      <c r="BX19" s="43" t="str">
        <f>IFERROR(VLOOKUP($E19,'Pre-Assessment Estimator'!$E$11:$AB$228,'Pre-Assessment Estimator'!AB$2,FALSE),"")</f>
        <v>N/A</v>
      </c>
      <c r="BY19" s="247">
        <f>IFERROR(VLOOKUP($E19,'Pre-Assessment Estimator'!$E$11:$AI$228,'Pre-Assessment Estimator'!AI$2,FALSE),"")</f>
        <v>0</v>
      </c>
      <c r="BZ19" s="247">
        <f>IFERROR(VLOOKUP($BX19,$E$294:$H$327,F$292,FALSE),"")</f>
        <v>1</v>
      </c>
      <c r="CA19" s="247">
        <f>IFERROR(VLOOKUP($BX19,$E$294:$H$327,G$292,FALSE),"")</f>
        <v>0</v>
      </c>
      <c r="CB19" s="247"/>
      <c r="CC19" t="str">
        <f>IFERROR(VLOOKUP($BX19,$E$294:$H$327,I$292,FALSE),"")</f>
        <v/>
      </c>
    </row>
    <row r="20" spans="1:81" x14ac:dyDescent="0.25">
      <c r="A20">
        <v>12</v>
      </c>
      <c r="B20" t="str">
        <f t="shared" ref="B20:B25" si="33">$D$19&amp;D20</f>
        <v>Man 03a</v>
      </c>
      <c r="D20" s="43" t="s">
        <v>673</v>
      </c>
      <c r="E20" s="826" t="s">
        <v>573</v>
      </c>
      <c r="F20" s="582">
        <v>1</v>
      </c>
      <c r="G20" s="582">
        <v>1</v>
      </c>
      <c r="H20" s="582">
        <v>1</v>
      </c>
      <c r="I20" s="582">
        <v>1</v>
      </c>
      <c r="J20" s="582">
        <v>1</v>
      </c>
      <c r="K20" s="582">
        <v>1</v>
      </c>
      <c r="L20" s="582">
        <v>1</v>
      </c>
      <c r="M20" s="582">
        <v>1</v>
      </c>
      <c r="N20" s="582">
        <v>1</v>
      </c>
      <c r="O20" s="582">
        <v>1</v>
      </c>
      <c r="P20" s="582">
        <v>1</v>
      </c>
      <c r="Q20" s="582">
        <v>1</v>
      </c>
      <c r="R20" s="582">
        <v>1</v>
      </c>
      <c r="T20" s="145">
        <f t="shared" si="2"/>
        <v>1</v>
      </c>
      <c r="U20" s="146"/>
      <c r="V20" s="43"/>
      <c r="W20" s="43"/>
      <c r="X20" s="147"/>
      <c r="Y20" s="148"/>
      <c r="Z20" s="865">
        <f>VLOOKUP(B20,'Manuell filtrering og justering'!$A$7:$H$107,'Manuell filtrering og justering'!$H$1,FALSE)</f>
        <v>1</v>
      </c>
      <c r="AA20" s="873">
        <f t="shared" si="4"/>
        <v>0</v>
      </c>
      <c r="AB20" s="163">
        <f>IF($AC$5='Manuell filtrering og justering'!$J$2,Z20,(T20-AA20))</f>
        <v>1</v>
      </c>
      <c r="AD20" s="150">
        <f t="shared" si="5"/>
        <v>6.1904761904761907E-3</v>
      </c>
      <c r="AE20" s="150">
        <f>IF(AB20=0,0,(AD20/AB20)*AI20)</f>
        <v>0</v>
      </c>
      <c r="AF20" s="150">
        <f t="shared" si="19"/>
        <v>0</v>
      </c>
      <c r="AG20" s="150">
        <f t="shared" si="20"/>
        <v>0</v>
      </c>
      <c r="AI20" s="151">
        <f>IF(VLOOKUP(E20,'Pre-Assessment Estimator'!$E$11:$Z$228,'Pre-Assessment Estimator'!$G$2,FALSE)&gt;AB20,AB20,VLOOKUP(E20,'Pre-Assessment Estimator'!$E$11:$Z$228,'Pre-Assessment Estimator'!$G$2,FALSE))</f>
        <v>0</v>
      </c>
      <c r="AJ20" s="151">
        <f>IF(VLOOKUP(E20,'Pre-Assessment Estimator'!$E$11:$Z$228,'Pre-Assessment Estimator'!$N$2,FALSE)&gt;AB20,AB20,VLOOKUP(E20,'Pre-Assessment Estimator'!$E$11:$Z$228,'Pre-Assessment Estimator'!$N$2,FALSE))</f>
        <v>0</v>
      </c>
      <c r="AK20" s="151">
        <f>IF(VLOOKUP(E20,'Pre-Assessment Estimator'!$E$11:$Z$228,'Pre-Assessment Estimator'!$U$2,FALSE)&gt;AB20,AB20,VLOOKUP(E20,'Pre-Assessment Estimator'!$E$11:$Z$228,'Pre-Assessment Estimator'!$U$2,FALSE))</f>
        <v>0</v>
      </c>
      <c r="AM20" s="744"/>
      <c r="AN20" s="745"/>
      <c r="AO20" s="745"/>
      <c r="AP20" s="745"/>
      <c r="AQ20" s="743"/>
      <c r="AR20" s="121"/>
      <c r="AS20" s="744"/>
      <c r="AT20" s="745"/>
      <c r="AU20" s="745"/>
      <c r="AV20" s="745"/>
      <c r="AW20" s="743"/>
      <c r="AX20" s="125"/>
      <c r="AY20" s="160"/>
      <c r="AZ20" s="161"/>
      <c r="BA20" s="161"/>
      <c r="BB20" s="161"/>
      <c r="BC20" s="162"/>
      <c r="BD20" s="160">
        <f t="shared" si="29"/>
        <v>9</v>
      </c>
      <c r="BE20" s="45" t="str">
        <f t="shared" si="7"/>
        <v>N/A</v>
      </c>
      <c r="BF20" s="163"/>
      <c r="BG20" s="160">
        <f t="shared" si="8"/>
        <v>9</v>
      </c>
      <c r="BH20" s="45" t="str">
        <f t="shared" si="9"/>
        <v>N/A</v>
      </c>
      <c r="BI20" s="163"/>
      <c r="BJ20" s="160">
        <f t="shared" si="27"/>
        <v>9</v>
      </c>
      <c r="BK20" s="45" t="str">
        <f t="shared" si="10"/>
        <v>N/A</v>
      </c>
      <c r="BL20" s="163"/>
      <c r="BO20" s="43"/>
      <c r="BP20" s="43"/>
      <c r="BQ20" s="43" t="str">
        <f t="shared" si="15"/>
        <v/>
      </c>
      <c r="BR20" s="43">
        <f t="shared" si="21"/>
        <v>9</v>
      </c>
      <c r="BS20" s="43">
        <f t="shared" si="17"/>
        <v>9</v>
      </c>
      <c r="BT20" s="43">
        <f t="shared" si="18"/>
        <v>9</v>
      </c>
      <c r="BW20" s="43"/>
      <c r="BX20" s="43"/>
      <c r="BY20" s="247"/>
      <c r="BZ20" s="247"/>
      <c r="CA20" s="247"/>
      <c r="CB20" s="247"/>
    </row>
    <row r="21" spans="1:81" x14ac:dyDescent="0.25">
      <c r="A21">
        <v>13</v>
      </c>
      <c r="B21" t="str">
        <f t="shared" si="33"/>
        <v>Man 03b</v>
      </c>
      <c r="D21" s="43" t="s">
        <v>676</v>
      </c>
      <c r="E21" s="826" t="s">
        <v>931</v>
      </c>
      <c r="F21" s="582">
        <v>1</v>
      </c>
      <c r="G21" s="582">
        <v>1</v>
      </c>
      <c r="H21" s="582">
        <v>1</v>
      </c>
      <c r="I21" s="582">
        <v>1</v>
      </c>
      <c r="J21" s="582">
        <v>1</v>
      </c>
      <c r="K21" s="582">
        <v>1</v>
      </c>
      <c r="L21" s="582">
        <v>1</v>
      </c>
      <c r="M21" s="582">
        <v>1</v>
      </c>
      <c r="N21" s="582">
        <v>1</v>
      </c>
      <c r="O21" s="582">
        <v>1</v>
      </c>
      <c r="P21" s="582">
        <v>1</v>
      </c>
      <c r="Q21" s="582">
        <v>1</v>
      </c>
      <c r="R21" s="582">
        <v>1</v>
      </c>
      <c r="T21" s="145">
        <f t="shared" si="2"/>
        <v>1</v>
      </c>
      <c r="U21" s="146"/>
      <c r="V21" s="43"/>
      <c r="W21" s="43"/>
      <c r="X21" s="147"/>
      <c r="Y21" s="148"/>
      <c r="Z21" s="865">
        <f>VLOOKUP(B21,'Manuell filtrering og justering'!$A$7:$H$107,'Manuell filtrering og justering'!$H$1,FALSE)</f>
        <v>1</v>
      </c>
      <c r="AA21" s="873">
        <f t="shared" si="4"/>
        <v>0</v>
      </c>
      <c r="AB21" s="163">
        <f>IF($AC$5='Manuell filtrering og justering'!$J$2,Z21,(T21-AA21))</f>
        <v>1</v>
      </c>
      <c r="AD21" s="150">
        <f t="shared" si="5"/>
        <v>6.1904761904761907E-3</v>
      </c>
      <c r="AE21" s="150">
        <f>IF(AB21=0,0,(AD21/AB21)*AI21)</f>
        <v>0</v>
      </c>
      <c r="AF21" s="150">
        <f t="shared" si="19"/>
        <v>0</v>
      </c>
      <c r="AG21" s="150">
        <f t="shared" si="20"/>
        <v>0</v>
      </c>
      <c r="AI21" s="151">
        <f>IF(VLOOKUP(E21,'Pre-Assessment Estimator'!$E$11:$Z$228,'Pre-Assessment Estimator'!$G$2,FALSE)&gt;AB21,AB21,VLOOKUP(E21,'Pre-Assessment Estimator'!$E$11:$Z$228,'Pre-Assessment Estimator'!$G$2,FALSE))</f>
        <v>0</v>
      </c>
      <c r="AJ21" s="151">
        <f>IF(VLOOKUP(E21,'Pre-Assessment Estimator'!$E$11:$Z$228,'Pre-Assessment Estimator'!$N$2,FALSE)&gt;AB21,AB21,VLOOKUP(E21,'Pre-Assessment Estimator'!$E$11:$Z$228,'Pre-Assessment Estimator'!$N$2,FALSE))</f>
        <v>0</v>
      </c>
      <c r="AK21" s="151">
        <f>IF(VLOOKUP(E21,'Pre-Assessment Estimator'!$E$11:$Z$228,'Pre-Assessment Estimator'!$U$2,FALSE)&gt;AB21,AB21,VLOOKUP(E21,'Pre-Assessment Estimator'!$E$11:$Z$228,'Pre-Assessment Estimator'!$U$2,FALSE))</f>
        <v>0</v>
      </c>
      <c r="AM21" s="744"/>
      <c r="AN21" s="745"/>
      <c r="AO21" s="745"/>
      <c r="AP21" s="745"/>
      <c r="AQ21" s="743"/>
      <c r="AR21" s="121"/>
      <c r="AS21" s="744"/>
      <c r="AT21" s="745"/>
      <c r="AU21" s="745"/>
      <c r="AV21" s="745"/>
      <c r="AW21" s="743"/>
      <c r="AX21" s="125"/>
      <c r="AY21" s="160"/>
      <c r="AZ21" s="161"/>
      <c r="BA21" s="161"/>
      <c r="BB21" s="161"/>
      <c r="BC21" s="162"/>
      <c r="BD21" s="160">
        <f t="shared" si="29"/>
        <v>9</v>
      </c>
      <c r="BE21" s="45" t="str">
        <f t="shared" si="7"/>
        <v>N/A</v>
      </c>
      <c r="BF21" s="163"/>
      <c r="BG21" s="160">
        <f t="shared" si="8"/>
        <v>9</v>
      </c>
      <c r="BH21" s="45" t="str">
        <f t="shared" si="9"/>
        <v>N/A</v>
      </c>
      <c r="BI21" s="163"/>
      <c r="BJ21" s="160">
        <f t="shared" si="27"/>
        <v>9</v>
      </c>
      <c r="BK21" s="45" t="str">
        <f t="shared" si="10"/>
        <v>N/A</v>
      </c>
      <c r="BL21" s="163"/>
      <c r="BO21" s="43"/>
      <c r="BP21" s="43"/>
      <c r="BQ21" s="43" t="str">
        <f t="shared" si="15"/>
        <v/>
      </c>
      <c r="BR21" s="43">
        <f t="shared" si="21"/>
        <v>9</v>
      </c>
      <c r="BS21" s="43">
        <f t="shared" si="17"/>
        <v>9</v>
      </c>
      <c r="BT21" s="43">
        <f t="shared" si="18"/>
        <v>9</v>
      </c>
      <c r="BW21" s="43"/>
      <c r="BX21" s="43"/>
      <c r="BY21" s="247"/>
      <c r="BZ21" s="247"/>
      <c r="CA21" s="247"/>
      <c r="CB21" s="247"/>
    </row>
    <row r="22" spans="1:81" x14ac:dyDescent="0.25">
      <c r="A22">
        <v>14</v>
      </c>
      <c r="B22" t="str">
        <f t="shared" si="33"/>
        <v>Man 03c</v>
      </c>
      <c r="D22" s="43" t="s">
        <v>677</v>
      </c>
      <c r="E22" s="1406" t="s">
        <v>1958</v>
      </c>
      <c r="F22" s="582">
        <v>1</v>
      </c>
      <c r="G22" s="582">
        <v>1</v>
      </c>
      <c r="H22" s="582">
        <v>1</v>
      </c>
      <c r="I22" s="582">
        <v>1</v>
      </c>
      <c r="J22" s="582">
        <v>1</v>
      </c>
      <c r="K22" s="582">
        <v>1</v>
      </c>
      <c r="L22" s="582">
        <v>1</v>
      </c>
      <c r="M22" s="582">
        <v>1</v>
      </c>
      <c r="N22" s="582">
        <v>1</v>
      </c>
      <c r="O22" s="582">
        <v>1</v>
      </c>
      <c r="P22" s="582">
        <v>1</v>
      </c>
      <c r="Q22" s="582">
        <v>1</v>
      </c>
      <c r="R22" s="582">
        <v>1</v>
      </c>
      <c r="T22" s="145">
        <f t="shared" si="2"/>
        <v>1</v>
      </c>
      <c r="U22" s="146"/>
      <c r="V22" s="43"/>
      <c r="W22" s="43"/>
      <c r="X22" s="147"/>
      <c r="Y22" s="148"/>
      <c r="Z22" s="865">
        <f>VLOOKUP(B22,'Manuell filtrering og justering'!$A$7:$H$107,'Manuell filtrering og justering'!$H$1,FALSE)</f>
        <v>1</v>
      </c>
      <c r="AA22" s="873">
        <f t="shared" si="4"/>
        <v>0</v>
      </c>
      <c r="AB22" s="163">
        <f>IF($AC$5='Manuell filtrering og justering'!$J$2,Z22,(T22-AA22))</f>
        <v>1</v>
      </c>
      <c r="AD22" s="150">
        <f t="shared" si="5"/>
        <v>6.1904761904761907E-3</v>
      </c>
      <c r="AE22" s="150">
        <f>IF(AB22=0,0,(AD22/AB22)*AI22)</f>
        <v>0</v>
      </c>
      <c r="AF22" s="150">
        <f t="shared" si="19"/>
        <v>0</v>
      </c>
      <c r="AG22" s="150">
        <f t="shared" si="20"/>
        <v>0</v>
      </c>
      <c r="AI22" s="151">
        <f>IF(VLOOKUP(E22,'Pre-Assessment Estimator'!$E$11:$Z$228,'Pre-Assessment Estimator'!$G$2,FALSE)&gt;AB22,AB22,VLOOKUP(E22,'Pre-Assessment Estimator'!$E$11:$Z$228,'Pre-Assessment Estimator'!$G$2,FALSE))</f>
        <v>0</v>
      </c>
      <c r="AJ22" s="151">
        <f>IF(VLOOKUP(E22,'Pre-Assessment Estimator'!$E$11:$Z$228,'Pre-Assessment Estimator'!$N$2,FALSE)&gt;AB22,AB22,VLOOKUP(E22,'Pre-Assessment Estimator'!$E$11:$Z$228,'Pre-Assessment Estimator'!$N$2,FALSE))</f>
        <v>0</v>
      </c>
      <c r="AK22" s="151">
        <f>IF(VLOOKUP(E22,'Pre-Assessment Estimator'!$E$11:$Z$228,'Pre-Assessment Estimator'!$U$2,FALSE)&gt;AB22,AB22,VLOOKUP(E22,'Pre-Assessment Estimator'!$E$11:$Z$228,'Pre-Assessment Estimator'!$U$2,FALSE))</f>
        <v>0</v>
      </c>
      <c r="AM22" s="744">
        <v>1</v>
      </c>
      <c r="AN22" s="745">
        <v>1</v>
      </c>
      <c r="AO22" s="745">
        <v>1</v>
      </c>
      <c r="AP22" s="745">
        <v>1</v>
      </c>
      <c r="AQ22" s="743">
        <v>1</v>
      </c>
      <c r="AR22" s="121"/>
      <c r="AS22" s="744">
        <v>1</v>
      </c>
      <c r="AT22" s="745">
        <v>1</v>
      </c>
      <c r="AU22" s="745">
        <v>1</v>
      </c>
      <c r="AV22" s="745">
        <v>1</v>
      </c>
      <c r="AW22" s="743">
        <v>1</v>
      </c>
      <c r="AX22" s="125"/>
      <c r="AY22" s="161">
        <f>IF($E$6=$H$9,AS22,AM22)</f>
        <v>1</v>
      </c>
      <c r="AZ22" s="161">
        <f>IF($E$6=$H$9,AT22,AN22)</f>
        <v>1</v>
      </c>
      <c r="BA22" s="161">
        <f>IF($E$6=$H$9,AU22,AO22)</f>
        <v>1</v>
      </c>
      <c r="BB22" s="161">
        <f>IF($E$6=$H$9,AV22,AP22)</f>
        <v>1</v>
      </c>
      <c r="BC22" s="161">
        <f>IF($E$6=$H$9,AW22,AQ22)</f>
        <v>1</v>
      </c>
      <c r="BD22" s="160">
        <f t="shared" si="29"/>
        <v>0</v>
      </c>
      <c r="BE22" s="45" t="str">
        <f t="shared" si="7"/>
        <v>Unclassified</v>
      </c>
      <c r="BF22" s="163"/>
      <c r="BG22" s="160">
        <f t="shared" ref="BG22:BG34" si="34">IF(BC22=0,9,IF(AJ22&gt;=BC22,5,IF(AJ22&gt;=BB22,4,IF(AJ22&gt;=BA22,3,IF(AJ22&gt;=AZ22,2,IF(AJ22&lt;AY22,0,1))))))</f>
        <v>0</v>
      </c>
      <c r="BH22" s="45" t="str">
        <f t="shared" si="9"/>
        <v>Unclassified</v>
      </c>
      <c r="BI22" s="163"/>
      <c r="BJ22" s="160">
        <f t="shared" ref="BJ22:BJ34" si="35">IF(BC22=0,9,IF(AK22&gt;=BC22,5,IF(AK22&gt;=BB22,4,IF(AK22&gt;=BA22,3,IF(AK22&gt;=AZ22,2,IF(AK22&lt;AY22,0,1))))))</f>
        <v>0</v>
      </c>
      <c r="BK22" s="45" t="str">
        <f t="shared" si="10"/>
        <v>Unclassified</v>
      </c>
      <c r="BL22" s="163"/>
      <c r="BO22" s="43"/>
      <c r="BP22" s="43">
        <v>1</v>
      </c>
      <c r="BQ22" s="43">
        <f t="shared" si="15"/>
        <v>1</v>
      </c>
      <c r="BR22" s="43">
        <f t="shared" si="21"/>
        <v>0</v>
      </c>
      <c r="BS22" s="43">
        <f t="shared" si="17"/>
        <v>0</v>
      </c>
      <c r="BT22" s="43">
        <f t="shared" si="18"/>
        <v>0</v>
      </c>
      <c r="BW22" s="43"/>
      <c r="BX22" s="43"/>
      <c r="BY22" s="247"/>
      <c r="BZ22" s="247"/>
      <c r="CA22" s="247"/>
      <c r="CB22" s="247"/>
    </row>
    <row r="23" spans="1:81" x14ac:dyDescent="0.25">
      <c r="A23">
        <v>15</v>
      </c>
      <c r="B23" t="str">
        <f t="shared" si="33"/>
        <v>Man 03d</v>
      </c>
      <c r="D23" s="43" t="s">
        <v>675</v>
      </c>
      <c r="E23" s="1406" t="s">
        <v>1823</v>
      </c>
      <c r="F23" s="582">
        <v>1</v>
      </c>
      <c r="G23" s="582">
        <v>1</v>
      </c>
      <c r="H23" s="582">
        <v>1</v>
      </c>
      <c r="I23" s="582">
        <v>1</v>
      </c>
      <c r="J23" s="582">
        <v>1</v>
      </c>
      <c r="K23" s="582">
        <v>1</v>
      </c>
      <c r="L23" s="582">
        <v>1</v>
      </c>
      <c r="M23" s="582">
        <v>1</v>
      </c>
      <c r="N23" s="582">
        <v>1</v>
      </c>
      <c r="O23" s="582">
        <v>1</v>
      </c>
      <c r="P23" s="582">
        <v>1</v>
      </c>
      <c r="Q23" s="582">
        <v>1</v>
      </c>
      <c r="R23" s="582">
        <v>1</v>
      </c>
      <c r="T23" s="145">
        <f t="shared" si="2"/>
        <v>1</v>
      </c>
      <c r="U23" s="146"/>
      <c r="V23" s="43"/>
      <c r="W23" s="43"/>
      <c r="X23" s="147"/>
      <c r="Y23" s="148"/>
      <c r="Z23" s="865">
        <f>VLOOKUP(B23,'Manuell filtrering og justering'!$A$7:$H$107,'Manuell filtrering og justering'!$H$1,FALSE)</f>
        <v>1</v>
      </c>
      <c r="AA23" s="873">
        <f t="shared" si="4"/>
        <v>0</v>
      </c>
      <c r="AB23" s="163">
        <f>IF($AC$5='Manuell filtrering og justering'!$J$2,Z23,(T23-AA23))</f>
        <v>1</v>
      </c>
      <c r="AD23" s="150">
        <f t="shared" ref="AD23:AD24" si="36">(Man_Weight/Man_Credits)*AB23</f>
        <v>6.1904761904761907E-3</v>
      </c>
      <c r="AE23" s="150">
        <f t="shared" ref="AE23:AE24" si="37">IF(AB23=0,0,(AD23/AB23)*AI23)</f>
        <v>0</v>
      </c>
      <c r="AF23" s="150">
        <f t="shared" ref="AF23:AF24" si="38">IF(AB23=0,0,(AD23/AB23)*AJ23)</f>
        <v>0</v>
      </c>
      <c r="AG23" s="150">
        <f t="shared" ref="AG23:AG24" si="39">IF(AB23=0,0,(AD23/AB23)*AK23)</f>
        <v>0</v>
      </c>
      <c r="AI23" s="151">
        <f>IF(VLOOKUP(E23,'Pre-Assessment Estimator'!$E$11:$Z$228,'Pre-Assessment Estimator'!$G$2,FALSE)&gt;AB23,AB23,VLOOKUP(E23,'Pre-Assessment Estimator'!$E$11:$Z$228,'Pre-Assessment Estimator'!$G$2,FALSE))</f>
        <v>0</v>
      </c>
      <c r="AJ23" s="151">
        <f>IF(VLOOKUP(E23,'Pre-Assessment Estimator'!$E$11:$Z$228,'Pre-Assessment Estimator'!$N$2,FALSE)&gt;AB23,AB23,VLOOKUP(E23,'Pre-Assessment Estimator'!$E$11:$Z$228,'Pre-Assessment Estimator'!$N$2,FALSE))</f>
        <v>0</v>
      </c>
      <c r="AK23" s="151">
        <f>IF(VLOOKUP(E23,'Pre-Assessment Estimator'!$E$11:$Z$228,'Pre-Assessment Estimator'!$U$2,FALSE)&gt;AB23,AB23,VLOOKUP(E23,'Pre-Assessment Estimator'!$E$11:$Z$228,'Pre-Assessment Estimator'!$U$2,FALSE))</f>
        <v>0</v>
      </c>
      <c r="AM23" s="744"/>
      <c r="AN23" s="745"/>
      <c r="AO23" s="745">
        <v>1</v>
      </c>
      <c r="AP23" s="745">
        <v>1</v>
      </c>
      <c r="AQ23" s="743">
        <v>1</v>
      </c>
      <c r="AR23" s="121"/>
      <c r="AS23" s="744"/>
      <c r="AT23" s="745"/>
      <c r="AU23" s="745">
        <v>1</v>
      </c>
      <c r="AV23" s="745">
        <v>1</v>
      </c>
      <c r="AW23" s="743">
        <v>1</v>
      </c>
      <c r="AX23" s="125"/>
      <c r="AY23" s="756"/>
      <c r="AZ23" s="161"/>
      <c r="BA23" s="161">
        <f>IF($E$6=$H$9,AU23,AO23)</f>
        <v>1</v>
      </c>
      <c r="BB23" s="161">
        <f>IF($E$6=$H$9,AV23,AP23)</f>
        <v>1</v>
      </c>
      <c r="BC23" s="161">
        <f>IF($E$6=$H$9,AW23,AQ23)</f>
        <v>1</v>
      </c>
      <c r="BD23" s="160">
        <f t="shared" ref="BD23" si="40">IF(BC23=0,9,IF(AI23&gt;=BC23,5,IF(AI23&gt;=BB23,4,IF(AI23&gt;=BA23,3,IF(AI23&gt;=AZ23,2,IF(AI23&lt;AY23,0,1))))))</f>
        <v>2</v>
      </c>
      <c r="BE23" s="45" t="str">
        <f t="shared" si="7"/>
        <v>Good</v>
      </c>
      <c r="BF23" s="163"/>
      <c r="BG23" s="160">
        <f t="shared" ref="BG23" si="41">IF(BC23=0,9,IF(AJ23&gt;=BC23,5,IF(AJ23&gt;=BB23,4,IF(AJ23&gt;=BA23,3,IF(AJ23&gt;=AZ23,2,IF(AJ23&lt;AY23,0,1))))))</f>
        <v>2</v>
      </c>
      <c r="BH23" s="45" t="str">
        <f t="shared" si="9"/>
        <v>Good</v>
      </c>
      <c r="BI23" s="163"/>
      <c r="BJ23" s="160">
        <f t="shared" ref="BJ23" si="42">IF(BC23=0,9,IF(AK23&gt;=BC23,5,IF(AK23&gt;=BB23,4,IF(AK23&gt;=BA23,3,IF(AK23&gt;=AZ23,2,IF(AK23&lt;AY23,0,1))))))</f>
        <v>2</v>
      </c>
      <c r="BK23" s="45" t="str">
        <f t="shared" si="10"/>
        <v>Good</v>
      </c>
      <c r="BL23" s="163"/>
      <c r="BO23" s="43"/>
      <c r="BP23" s="43">
        <v>1</v>
      </c>
      <c r="BQ23" s="43">
        <f t="shared" si="15"/>
        <v>1</v>
      </c>
      <c r="BR23" s="43">
        <f t="shared" si="21"/>
        <v>0</v>
      </c>
      <c r="BS23" s="43">
        <f t="shared" si="17"/>
        <v>0</v>
      </c>
      <c r="BT23" s="43">
        <f t="shared" si="18"/>
        <v>0</v>
      </c>
      <c r="BW23" s="43"/>
      <c r="BX23" s="43"/>
      <c r="BY23" s="247"/>
      <c r="BZ23" s="247"/>
      <c r="CA23" s="247"/>
      <c r="CB23" s="247"/>
    </row>
    <row r="24" spans="1:81" x14ac:dyDescent="0.25">
      <c r="A24">
        <v>16</v>
      </c>
      <c r="B24" t="str">
        <f t="shared" si="33"/>
        <v>Man 03e</v>
      </c>
      <c r="D24" s="43" t="s">
        <v>674</v>
      </c>
      <c r="E24" s="826" t="s">
        <v>969</v>
      </c>
      <c r="F24" s="582">
        <v>1</v>
      </c>
      <c r="G24" s="582">
        <v>1</v>
      </c>
      <c r="H24" s="582">
        <v>1</v>
      </c>
      <c r="I24" s="582">
        <v>1</v>
      </c>
      <c r="J24" s="582">
        <v>1</v>
      </c>
      <c r="K24" s="582">
        <v>1</v>
      </c>
      <c r="L24" s="582">
        <v>1</v>
      </c>
      <c r="M24" s="582">
        <v>1</v>
      </c>
      <c r="N24" s="582">
        <v>1</v>
      </c>
      <c r="O24" s="582">
        <v>1</v>
      </c>
      <c r="P24" s="582">
        <v>1</v>
      </c>
      <c r="Q24" s="582">
        <v>1</v>
      </c>
      <c r="R24" s="582">
        <v>1</v>
      </c>
      <c r="T24" s="145">
        <f t="shared" si="2"/>
        <v>1</v>
      </c>
      <c r="U24" s="146"/>
      <c r="V24" s="43"/>
      <c r="W24" s="43"/>
      <c r="X24" s="147"/>
      <c r="Y24" s="148"/>
      <c r="Z24" s="865">
        <f>VLOOKUP(B24,'Manuell filtrering og justering'!$A$7:$H$107,'Manuell filtrering og justering'!$H$1,FALSE)</f>
        <v>1</v>
      </c>
      <c r="AA24" s="873">
        <f t="shared" si="4"/>
        <v>0</v>
      </c>
      <c r="AB24" s="163">
        <f>IF($AC$5='Manuell filtrering og justering'!$J$2,Z24,(T24-AA24))</f>
        <v>1</v>
      </c>
      <c r="AD24" s="150">
        <f t="shared" si="36"/>
        <v>6.1904761904761907E-3</v>
      </c>
      <c r="AE24" s="150">
        <f t="shared" si="37"/>
        <v>0</v>
      </c>
      <c r="AF24" s="150">
        <f t="shared" si="38"/>
        <v>0</v>
      </c>
      <c r="AG24" s="150">
        <f t="shared" si="39"/>
        <v>0</v>
      </c>
      <c r="AI24" s="151">
        <f>IF(VLOOKUP(E24,'Pre-Assessment Estimator'!$E$11:$Z$228,'Pre-Assessment Estimator'!$G$2,FALSE)&gt;AB24,AB24,VLOOKUP(E24,'Pre-Assessment Estimator'!$E$11:$Z$228,'Pre-Assessment Estimator'!$G$2,FALSE))</f>
        <v>0</v>
      </c>
      <c r="AJ24" s="151">
        <f>IF(VLOOKUP(E24,'Pre-Assessment Estimator'!$E$11:$Z$228,'Pre-Assessment Estimator'!$N$2,FALSE)&gt;AB24,AB24,VLOOKUP(E24,'Pre-Assessment Estimator'!$E$11:$Z$228,'Pre-Assessment Estimator'!$N$2,FALSE))</f>
        <v>0</v>
      </c>
      <c r="AK24" s="151">
        <f>IF(VLOOKUP(E24,'Pre-Assessment Estimator'!$E$11:$Z$228,'Pre-Assessment Estimator'!$U$2,FALSE)&gt;AB24,AB24,VLOOKUP(E24,'Pre-Assessment Estimator'!$E$11:$Z$228,'Pre-Assessment Estimator'!$U$2,FALSE))</f>
        <v>0</v>
      </c>
      <c r="AM24" s="744"/>
      <c r="AN24" s="745"/>
      <c r="AO24" s="745"/>
      <c r="AP24" s="745"/>
      <c r="AQ24" s="743"/>
      <c r="AR24" s="121"/>
      <c r="AS24" s="744"/>
      <c r="AT24" s="745"/>
      <c r="AU24" s="745"/>
      <c r="AV24" s="745"/>
      <c r="AW24" s="743"/>
      <c r="AX24" s="125"/>
      <c r="AY24" s="756"/>
      <c r="AZ24" s="161"/>
      <c r="BA24" s="161"/>
      <c r="BB24" s="161"/>
      <c r="BC24" s="161"/>
      <c r="BD24" s="746">
        <f>BD25</f>
        <v>3</v>
      </c>
      <c r="BE24" s="45" t="str">
        <f t="shared" si="7"/>
        <v>Very Good</v>
      </c>
      <c r="BF24" s="163"/>
      <c r="BG24" s="746">
        <f>BG25</f>
        <v>3</v>
      </c>
      <c r="BH24" s="45" t="str">
        <f t="shared" si="9"/>
        <v>Very Good</v>
      </c>
      <c r="BI24" s="163"/>
      <c r="BJ24" s="746">
        <f>BJ25</f>
        <v>3</v>
      </c>
      <c r="BK24" s="45" t="str">
        <f t="shared" si="10"/>
        <v>Very Good</v>
      </c>
      <c r="BL24" s="163"/>
      <c r="BO24" s="43"/>
      <c r="BP24" s="43"/>
      <c r="BQ24" s="43" t="str">
        <f t="shared" si="15"/>
        <v/>
      </c>
      <c r="BR24" s="43">
        <f t="shared" si="21"/>
        <v>9</v>
      </c>
      <c r="BS24" s="43">
        <f t="shared" si="17"/>
        <v>9</v>
      </c>
      <c r="BT24" s="43">
        <f t="shared" si="18"/>
        <v>9</v>
      </c>
      <c r="BW24" s="43"/>
      <c r="BX24" s="43"/>
      <c r="BY24" s="247"/>
      <c r="BZ24" s="247"/>
      <c r="CA24" s="247"/>
      <c r="CB24" s="247"/>
    </row>
    <row r="25" spans="1:81" x14ac:dyDescent="0.25">
      <c r="A25">
        <v>17</v>
      </c>
      <c r="B25" t="str">
        <f t="shared" si="33"/>
        <v>Man 03f</v>
      </c>
      <c r="D25" s="43" t="s">
        <v>887</v>
      </c>
      <c r="E25" s="826" t="s">
        <v>970</v>
      </c>
      <c r="F25" s="582">
        <v>2</v>
      </c>
      <c r="G25" s="582">
        <v>2</v>
      </c>
      <c r="H25" s="582">
        <v>2</v>
      </c>
      <c r="I25" s="582">
        <v>2</v>
      </c>
      <c r="J25" s="582">
        <v>2</v>
      </c>
      <c r="K25" s="582">
        <v>2</v>
      </c>
      <c r="L25" s="582">
        <v>2</v>
      </c>
      <c r="M25" s="582">
        <v>2</v>
      </c>
      <c r="N25" s="582">
        <v>2</v>
      </c>
      <c r="O25" s="582">
        <v>2</v>
      </c>
      <c r="P25" s="582">
        <v>2</v>
      </c>
      <c r="Q25" s="582">
        <v>2</v>
      </c>
      <c r="R25" s="582">
        <v>2</v>
      </c>
      <c r="T25" s="145">
        <f t="shared" si="2"/>
        <v>2</v>
      </c>
      <c r="U25" s="146"/>
      <c r="V25" s="43"/>
      <c r="W25" s="43"/>
      <c r="X25" s="147"/>
      <c r="Y25" s="148"/>
      <c r="Z25" s="865">
        <f>VLOOKUP(B25,'Manuell filtrering og justering'!$A$7:$H$107,'Manuell filtrering og justering'!$H$1,FALSE)</f>
        <v>0</v>
      </c>
      <c r="AA25" s="873">
        <f t="shared" si="4"/>
        <v>0</v>
      </c>
      <c r="AB25" s="163">
        <f>IF($AC$5='Manuell filtrering og justering'!$J$2,Z25,(T25-AA25))</f>
        <v>2</v>
      </c>
      <c r="AD25" s="150">
        <f t="shared" si="5"/>
        <v>1.2380952380952381E-2</v>
      </c>
      <c r="AE25" s="150">
        <f>IF(AB25=0,0,(AD25/AB25)*AI25)</f>
        <v>0</v>
      </c>
      <c r="AF25" s="150">
        <f t="shared" si="19"/>
        <v>0</v>
      </c>
      <c r="AG25" s="150">
        <f t="shared" si="20"/>
        <v>0</v>
      </c>
      <c r="AI25" s="151">
        <f>IF(VLOOKUP(E25,'Pre-Assessment Estimator'!$E$11:$Z$228,'Pre-Assessment Estimator'!$G$2,FALSE)&gt;AB25,AB25,VLOOKUP(E25,'Pre-Assessment Estimator'!$E$11:$Z$228,'Pre-Assessment Estimator'!$G$2,FALSE))</f>
        <v>0</v>
      </c>
      <c r="AJ25" s="151">
        <f>IF(VLOOKUP(E25,'Pre-Assessment Estimator'!$E$11:$Z$228,'Pre-Assessment Estimator'!$N$2,FALSE)&gt;AB25,AB25,VLOOKUP(E25,'Pre-Assessment Estimator'!$E$11:$Z$228,'Pre-Assessment Estimator'!$N$2,FALSE))</f>
        <v>0</v>
      </c>
      <c r="AK25" s="151">
        <f>IF(VLOOKUP(E25,'Pre-Assessment Estimator'!$E$11:$Z$228,'Pre-Assessment Estimator'!$U$2,FALSE)&gt;AB25,AB25,VLOOKUP(E25,'Pre-Assessment Estimator'!$E$11:$Z$228,'Pre-Assessment Estimator'!$U$2,FALSE))</f>
        <v>0</v>
      </c>
      <c r="AM25" s="744"/>
      <c r="AN25" s="745"/>
      <c r="AO25" s="745"/>
      <c r="AP25" s="757">
        <v>3</v>
      </c>
      <c r="AQ25" s="758">
        <v>3</v>
      </c>
      <c r="AR25" s="121"/>
      <c r="AS25" s="744"/>
      <c r="AT25" s="745"/>
      <c r="AU25" s="745"/>
      <c r="AV25" s="757">
        <v>3</v>
      </c>
      <c r="AW25" s="758">
        <v>3</v>
      </c>
      <c r="AX25" s="125"/>
      <c r="AY25" s="160"/>
      <c r="AZ25" s="161"/>
      <c r="BA25" s="161"/>
      <c r="BB25" s="161">
        <f>IF($E$6=$H$9,AV25,AP25)</f>
        <v>3</v>
      </c>
      <c r="BC25" s="161">
        <f>IF($E$6=$H$9,AW25,AQ25)</f>
        <v>3</v>
      </c>
      <c r="BD25" s="746">
        <f>IF(BC25=0,9,IF((AI25+AI24)&gt;=BC25,5,IF((AI25+AI24)&gt;=BB25,4,IF((AI25+AI24)&gt;=BA25,3,IF((AI25+AI24)&gt;=AZ25,2,IF((AI25+AI24)&lt;AY25,0,1))))))</f>
        <v>3</v>
      </c>
      <c r="BE25" s="45" t="str">
        <f t="shared" si="7"/>
        <v>Very Good</v>
      </c>
      <c r="BF25" s="163"/>
      <c r="BG25" s="746">
        <f>IF(BC25=0,9,IF((AJ25+AJ24)&gt;=BC25,5,IF((AJ25+AJ24)&gt;=BB25,4,IF((AJ25+AJ24)&gt;=BA25,3,IF((AJ25+AJ24)&gt;=AZ25,2,IF((AJ25+AJ24)&lt;AY25,0,1))))))</f>
        <v>3</v>
      </c>
      <c r="BH25" s="45" t="str">
        <f t="shared" si="9"/>
        <v>Very Good</v>
      </c>
      <c r="BI25" s="163"/>
      <c r="BJ25" s="746">
        <f>IF(BC25=0,9,IF((AK25+AK24)&gt;=BC25,5,IF((AK25+AK24)&gt;=BB25,4,IF((AK25+AK24)&gt;=BA25,3,IF((AK25+AK24)&gt;=AZ25,2,IF((AK25+AK24)&lt;AY25,0,1))))))</f>
        <v>3</v>
      </c>
      <c r="BK25" s="45" t="str">
        <f t="shared" si="10"/>
        <v>Very Good</v>
      </c>
      <c r="BL25" s="163"/>
      <c r="BO25" s="43"/>
      <c r="BP25" s="43"/>
      <c r="BQ25" s="43" t="str">
        <f t="shared" si="15"/>
        <v/>
      </c>
      <c r="BR25" s="43">
        <f t="shared" si="21"/>
        <v>9</v>
      </c>
      <c r="BS25" s="43">
        <f t="shared" si="17"/>
        <v>9</v>
      </c>
      <c r="BT25" s="43">
        <f t="shared" si="18"/>
        <v>9</v>
      </c>
      <c r="BW25" s="43"/>
      <c r="BX25" s="43"/>
      <c r="BY25" s="247"/>
      <c r="BZ25" s="247"/>
      <c r="CA25" s="247"/>
      <c r="CB25" s="247"/>
    </row>
    <row r="26" spans="1:81" x14ac:dyDescent="0.25">
      <c r="A26">
        <v>18</v>
      </c>
      <c r="B26" s="121" t="str">
        <f>D26</f>
        <v>Man 04</v>
      </c>
      <c r="C26" s="121"/>
      <c r="D26" s="636" t="s">
        <v>90</v>
      </c>
      <c r="E26" s="636" t="s">
        <v>375</v>
      </c>
      <c r="F26" s="699">
        <f>SUM(F27:F29)</f>
        <v>3</v>
      </c>
      <c r="G26" s="699">
        <f t="shared" ref="G26:R26" si="43">SUM(G27:G29)</f>
        <v>3</v>
      </c>
      <c r="H26" s="699">
        <f t="shared" si="43"/>
        <v>3</v>
      </c>
      <c r="I26" s="699">
        <f t="shared" si="43"/>
        <v>3</v>
      </c>
      <c r="J26" s="699">
        <f t="shared" si="43"/>
        <v>3</v>
      </c>
      <c r="K26" s="699">
        <f t="shared" si="43"/>
        <v>3</v>
      </c>
      <c r="L26" s="699">
        <f t="shared" si="43"/>
        <v>3</v>
      </c>
      <c r="M26" s="699">
        <f t="shared" si="43"/>
        <v>3</v>
      </c>
      <c r="N26" s="699">
        <f t="shared" si="43"/>
        <v>3</v>
      </c>
      <c r="O26" s="699">
        <f t="shared" si="43"/>
        <v>3</v>
      </c>
      <c r="P26" s="699">
        <f t="shared" si="43"/>
        <v>3</v>
      </c>
      <c r="Q26" s="699">
        <f t="shared" ref="Q26" si="44">SUM(Q27:Q29)</f>
        <v>3</v>
      </c>
      <c r="R26" s="699">
        <f t="shared" si="43"/>
        <v>3</v>
      </c>
      <c r="T26" s="685">
        <f t="shared" si="2"/>
        <v>3</v>
      </c>
      <c r="U26" s="146"/>
      <c r="V26" s="43"/>
      <c r="W26" s="43"/>
      <c r="X26" s="147">
        <f>'Manuell filtrering og justering'!E10</f>
        <v>0</v>
      </c>
      <c r="Y26" s="148"/>
      <c r="Z26" s="881">
        <f t="shared" ref="Z26" si="45">SUM(Z27:Z29)</f>
        <v>3</v>
      </c>
      <c r="AA26" s="873">
        <f t="shared" si="4"/>
        <v>0</v>
      </c>
      <c r="AB26" s="877">
        <f>SUM(AB27:AB29)</f>
        <v>3</v>
      </c>
      <c r="AD26" s="687">
        <f t="shared" si="5"/>
        <v>1.8571428571428572E-2</v>
      </c>
      <c r="AE26" s="687">
        <f>SUM(AE27:AE29)</f>
        <v>0</v>
      </c>
      <c r="AF26" s="687">
        <f>SUM(AF27:AF29)</f>
        <v>0</v>
      </c>
      <c r="AG26" s="687">
        <f>SUM(AG27:AG29)</f>
        <v>0</v>
      </c>
      <c r="AI26" s="688">
        <f t="shared" ref="AI26:AK26" si="46">SUM(AI27:AI29)</f>
        <v>0</v>
      </c>
      <c r="AJ26" s="688">
        <f t="shared" si="46"/>
        <v>0</v>
      </c>
      <c r="AK26" s="688">
        <f t="shared" si="46"/>
        <v>0</v>
      </c>
      <c r="AM26" s="250"/>
      <c r="AN26" s="159"/>
      <c r="AO26" s="159"/>
      <c r="AP26" s="159"/>
      <c r="AQ26" s="164"/>
      <c r="AS26" s="250"/>
      <c r="AT26" s="159"/>
      <c r="AU26" s="159"/>
      <c r="AV26" s="159"/>
      <c r="AW26" s="164"/>
      <c r="AX26" s="125"/>
      <c r="AY26" s="160"/>
      <c r="AZ26" s="161"/>
      <c r="BA26" s="161"/>
      <c r="BB26" s="161"/>
      <c r="BC26" s="165"/>
      <c r="BD26" s="160">
        <f t="shared" si="29"/>
        <v>9</v>
      </c>
      <c r="BE26" s="45" t="str">
        <f t="shared" si="7"/>
        <v>N/A</v>
      </c>
      <c r="BF26" s="163"/>
      <c r="BG26" s="160">
        <f t="shared" si="34"/>
        <v>9</v>
      </c>
      <c r="BH26" s="45" t="str">
        <f t="shared" si="9"/>
        <v>N/A</v>
      </c>
      <c r="BI26" s="163"/>
      <c r="BJ26" s="160">
        <f t="shared" si="35"/>
        <v>9</v>
      </c>
      <c r="BK26" s="45" t="str">
        <f t="shared" si="10"/>
        <v>N/A</v>
      </c>
      <c r="BL26" s="163"/>
      <c r="BO26" s="43"/>
      <c r="BP26" s="43"/>
      <c r="BQ26" s="43" t="str">
        <f t="shared" si="15"/>
        <v/>
      </c>
      <c r="BR26" s="43">
        <f t="shared" si="21"/>
        <v>9</v>
      </c>
      <c r="BS26" s="43">
        <f t="shared" si="17"/>
        <v>9</v>
      </c>
      <c r="BT26" s="43">
        <f t="shared" si="18"/>
        <v>9</v>
      </c>
      <c r="BW26" s="43" t="str">
        <f>D26</f>
        <v>Man 04</v>
      </c>
      <c r="BX26" s="43" t="str">
        <f>IFERROR(VLOOKUP($E26,'Pre-Assessment Estimator'!$E$11:$AB$228,'Pre-Assessment Estimator'!AB$2,FALSE),"")</f>
        <v>No</v>
      </c>
      <c r="BY26" s="247">
        <f>IFERROR(VLOOKUP($E26,'Pre-Assessment Estimator'!$E$11:$AI$228,'Pre-Assessment Estimator'!AI$2,FALSE),"")</f>
        <v>0</v>
      </c>
      <c r="BZ26" s="247">
        <f>IFERROR(VLOOKUP($BX26,$E$294:$H$327,F$292,FALSE),"")</f>
        <v>1</v>
      </c>
      <c r="CA26" s="247">
        <f>IFERROR(VLOOKUP($BX26,$E$294:$H$327,G$292,FALSE),"")</f>
        <v>0</v>
      </c>
      <c r="CB26" s="247"/>
      <c r="CC26" t="str">
        <f>IFERROR(VLOOKUP($BX26,$E$294:$H$327,I$292,FALSE),"")</f>
        <v/>
      </c>
    </row>
    <row r="27" spans="1:81" x14ac:dyDescent="0.25">
      <c r="A27">
        <v>19</v>
      </c>
      <c r="B27" t="str">
        <f t="shared" ref="B27:B29" si="47">$D$26&amp;D27</f>
        <v>Man 04a</v>
      </c>
      <c r="D27" s="43" t="s">
        <v>673</v>
      </c>
      <c r="E27" s="826" t="s">
        <v>577</v>
      </c>
      <c r="F27" s="582">
        <v>1</v>
      </c>
      <c r="G27" s="582">
        <v>1</v>
      </c>
      <c r="H27" s="582">
        <v>1</v>
      </c>
      <c r="I27" s="582">
        <v>1</v>
      </c>
      <c r="J27" s="582">
        <v>1</v>
      </c>
      <c r="K27" s="582">
        <v>1</v>
      </c>
      <c r="L27" s="582">
        <v>1</v>
      </c>
      <c r="M27" s="582">
        <v>1</v>
      </c>
      <c r="N27" s="582">
        <v>1</v>
      </c>
      <c r="O27" s="582">
        <v>1</v>
      </c>
      <c r="P27" s="582">
        <v>1</v>
      </c>
      <c r="Q27" s="582">
        <v>1</v>
      </c>
      <c r="R27" s="582">
        <v>1</v>
      </c>
      <c r="T27" s="145">
        <f t="shared" si="2"/>
        <v>1</v>
      </c>
      <c r="U27" s="146"/>
      <c r="V27" s="43"/>
      <c r="W27" s="43"/>
      <c r="X27" s="147"/>
      <c r="Y27" s="148"/>
      <c r="Z27" s="865">
        <f>VLOOKUP(B27,'Manuell filtrering og justering'!$A$7:$H$107,'Manuell filtrering og justering'!$H$1,FALSE)</f>
        <v>1</v>
      </c>
      <c r="AA27" s="873">
        <f t="shared" si="4"/>
        <v>0</v>
      </c>
      <c r="AB27" s="163">
        <f>IF($AC$5='Manuell filtrering og justering'!$J$2,Z27,(T27-AA27))</f>
        <v>1</v>
      </c>
      <c r="AD27" s="150">
        <f t="shared" si="5"/>
        <v>6.1904761904761907E-3</v>
      </c>
      <c r="AE27" s="150">
        <f>IF(AB27=0,0,(AD27/AB27)*AI27)</f>
        <v>0</v>
      </c>
      <c r="AF27" s="150">
        <f t="shared" si="19"/>
        <v>0</v>
      </c>
      <c r="AG27" s="150">
        <f t="shared" si="20"/>
        <v>0</v>
      </c>
      <c r="AI27" s="151">
        <f>IF(VLOOKUP(E27,'Pre-Assessment Estimator'!$E$11:$Z$228,'Pre-Assessment Estimator'!$G$2,FALSE)&gt;AB27,AB27,VLOOKUP(E27,'Pre-Assessment Estimator'!$E$11:$Z$228,'Pre-Assessment Estimator'!$G$2,FALSE))</f>
        <v>0</v>
      </c>
      <c r="AJ27" s="151">
        <f>IF(VLOOKUP(E27,'Pre-Assessment Estimator'!$E$11:$Z$228,'Pre-Assessment Estimator'!$N$2,FALSE)&gt;AB27,AB27,VLOOKUP(E27,'Pre-Assessment Estimator'!$E$11:$Z$228,'Pre-Assessment Estimator'!$N$2,FALSE))</f>
        <v>0</v>
      </c>
      <c r="AK27" s="151">
        <f>IF(VLOOKUP(E27,'Pre-Assessment Estimator'!$E$11:$Z$228,'Pre-Assessment Estimator'!$U$2,FALSE)&gt;AB27,AB27,VLOOKUP(E27,'Pre-Assessment Estimator'!$E$11:$Z$228,'Pre-Assessment Estimator'!$U$2,FALSE))</f>
        <v>0</v>
      </c>
      <c r="AM27" s="250">
        <v>1</v>
      </c>
      <c r="AN27" s="159">
        <v>1</v>
      </c>
      <c r="AO27" s="159">
        <v>1</v>
      </c>
      <c r="AP27" s="159">
        <v>1</v>
      </c>
      <c r="AQ27" s="164">
        <v>1</v>
      </c>
      <c r="AS27" s="250">
        <v>1</v>
      </c>
      <c r="AT27" s="159">
        <v>1</v>
      </c>
      <c r="AU27" s="159">
        <v>1</v>
      </c>
      <c r="AV27" s="159">
        <v>1</v>
      </c>
      <c r="AW27" s="164">
        <v>1</v>
      </c>
      <c r="AX27" s="125"/>
      <c r="AY27" s="161">
        <f>IF($E$6=$H$9,AS27,AM27)</f>
        <v>1</v>
      </c>
      <c r="AZ27" s="161">
        <f>IF($E$6=$H$9,AT27,AN27)</f>
        <v>1</v>
      </c>
      <c r="BA27" s="161">
        <f>IF($E$6=$H$9,AU27,AO27)</f>
        <v>1</v>
      </c>
      <c r="BB27" s="161">
        <f>IF($E$6=$H$9,AV27,AP27)</f>
        <v>1</v>
      </c>
      <c r="BC27" s="161">
        <f>IF($E$6=$H$9,AW27,AQ27)</f>
        <v>1</v>
      </c>
      <c r="BD27" s="160">
        <f t="shared" si="29"/>
        <v>0</v>
      </c>
      <c r="BE27" s="45" t="str">
        <f t="shared" si="7"/>
        <v>Unclassified</v>
      </c>
      <c r="BF27" s="163"/>
      <c r="BG27" s="160">
        <f t="shared" si="34"/>
        <v>0</v>
      </c>
      <c r="BH27" s="45" t="str">
        <f t="shared" si="9"/>
        <v>Unclassified</v>
      </c>
      <c r="BI27" s="163"/>
      <c r="BJ27" s="160">
        <f t="shared" si="35"/>
        <v>0</v>
      </c>
      <c r="BK27" s="45" t="str">
        <f t="shared" si="10"/>
        <v>Unclassified</v>
      </c>
      <c r="BL27" s="163"/>
      <c r="BO27" s="43"/>
      <c r="BP27" s="43"/>
      <c r="BQ27" s="43" t="str">
        <f t="shared" si="15"/>
        <v/>
      </c>
      <c r="BR27" s="43">
        <f t="shared" si="21"/>
        <v>9</v>
      </c>
      <c r="BS27" s="43">
        <f t="shared" si="17"/>
        <v>9</v>
      </c>
      <c r="BT27" s="43">
        <f t="shared" si="18"/>
        <v>9</v>
      </c>
      <c r="BW27" s="43"/>
      <c r="BX27" s="43"/>
      <c r="BY27" s="247"/>
      <c r="BZ27" s="247"/>
      <c r="CA27" s="247"/>
      <c r="CB27" s="247"/>
    </row>
    <row r="28" spans="1:81" x14ac:dyDescent="0.25">
      <c r="A28">
        <v>20</v>
      </c>
      <c r="B28" t="str">
        <f t="shared" si="47"/>
        <v>Man 04b</v>
      </c>
      <c r="D28" s="43" t="s">
        <v>676</v>
      </c>
      <c r="E28" s="826" t="s">
        <v>578</v>
      </c>
      <c r="F28" s="582">
        <v>1</v>
      </c>
      <c r="G28" s="582">
        <v>1</v>
      </c>
      <c r="H28" s="582">
        <v>1</v>
      </c>
      <c r="I28" s="582">
        <v>1</v>
      </c>
      <c r="J28" s="582">
        <v>1</v>
      </c>
      <c r="K28" s="582">
        <v>1</v>
      </c>
      <c r="L28" s="582">
        <v>1</v>
      </c>
      <c r="M28" s="582">
        <v>1</v>
      </c>
      <c r="N28" s="582">
        <v>1</v>
      </c>
      <c r="O28" s="582">
        <v>1</v>
      </c>
      <c r="P28" s="582">
        <v>1</v>
      </c>
      <c r="Q28" s="582">
        <v>1</v>
      </c>
      <c r="R28" s="582">
        <v>1</v>
      </c>
      <c r="T28" s="145">
        <f t="shared" si="2"/>
        <v>1</v>
      </c>
      <c r="U28" s="146"/>
      <c r="V28" s="43"/>
      <c r="W28" s="43"/>
      <c r="X28" s="147"/>
      <c r="Y28" s="148">
        <f>IF($Y$4=$Y$6,T28,0)</f>
        <v>0</v>
      </c>
      <c r="Z28" s="865">
        <f>VLOOKUP(B28,'Manuell filtrering og justering'!$A$7:$H$107,'Manuell filtrering og justering'!$H$1,FALSE)</f>
        <v>1</v>
      </c>
      <c r="AA28" s="873">
        <f t="shared" si="4"/>
        <v>0</v>
      </c>
      <c r="AB28" s="163">
        <f>IF($AC$5='Manuell filtrering og justering'!$J$2,Z28,(T28-AA28))</f>
        <v>1</v>
      </c>
      <c r="AD28" s="150">
        <f t="shared" si="5"/>
        <v>6.1904761904761907E-3</v>
      </c>
      <c r="AE28" s="150">
        <f>IF(AB28=0,0,(AD28/AB28)*AI28)</f>
        <v>0</v>
      </c>
      <c r="AF28" s="150">
        <f t="shared" si="19"/>
        <v>0</v>
      </c>
      <c r="AG28" s="150">
        <f t="shared" si="20"/>
        <v>0</v>
      </c>
      <c r="AI28" s="151">
        <f>IF(VLOOKUP(E28,'Pre-Assessment Estimator'!$E$11:$Z$228,'Pre-Assessment Estimator'!$G$2,FALSE)&gt;AB28,AB28,VLOOKUP(E28,'Pre-Assessment Estimator'!$E$11:$Z$228,'Pre-Assessment Estimator'!$G$2,FALSE))</f>
        <v>0</v>
      </c>
      <c r="AJ28" s="151">
        <f>IF(VLOOKUP(E28,'Pre-Assessment Estimator'!$E$11:$Z$228,'Pre-Assessment Estimator'!$N$2,FALSE)&gt;AB28,AB28,VLOOKUP(E28,'Pre-Assessment Estimator'!$E$11:$Z$228,'Pre-Assessment Estimator'!$N$2,FALSE))</f>
        <v>0</v>
      </c>
      <c r="AK28" s="151">
        <f>IF(VLOOKUP(E28,'Pre-Assessment Estimator'!$E$11:$Z$228,'Pre-Assessment Estimator'!$U$2,FALSE)&gt;AB28,AB28,VLOOKUP(E28,'Pre-Assessment Estimator'!$E$11:$Z$228,'Pre-Assessment Estimator'!$U$2,FALSE))</f>
        <v>0</v>
      </c>
      <c r="AM28" s="250"/>
      <c r="AN28" s="159"/>
      <c r="AO28" s="159"/>
      <c r="AP28" s="159"/>
      <c r="AQ28" s="164"/>
      <c r="AS28" s="250"/>
      <c r="AT28" s="159"/>
      <c r="AU28" s="159"/>
      <c r="AV28" s="159"/>
      <c r="AW28" s="164"/>
      <c r="AX28" s="125"/>
      <c r="AY28" s="160"/>
      <c r="AZ28" s="161"/>
      <c r="BA28" s="161"/>
      <c r="BB28" s="161"/>
      <c r="BC28" s="165"/>
      <c r="BD28" s="160">
        <f t="shared" si="29"/>
        <v>9</v>
      </c>
      <c r="BE28" s="45" t="str">
        <f t="shared" si="7"/>
        <v>N/A</v>
      </c>
      <c r="BF28" s="163"/>
      <c r="BG28" s="160">
        <f t="shared" si="34"/>
        <v>9</v>
      </c>
      <c r="BH28" s="45" t="str">
        <f t="shared" si="9"/>
        <v>N/A</v>
      </c>
      <c r="BI28" s="163"/>
      <c r="BJ28" s="160">
        <f t="shared" si="35"/>
        <v>9</v>
      </c>
      <c r="BK28" s="45" t="str">
        <f t="shared" si="10"/>
        <v>N/A</v>
      </c>
      <c r="BL28" s="163"/>
      <c r="BO28" s="43"/>
      <c r="BP28" s="43"/>
      <c r="BQ28" s="43" t="str">
        <f t="shared" si="15"/>
        <v/>
      </c>
      <c r="BR28" s="43">
        <f t="shared" si="21"/>
        <v>9</v>
      </c>
      <c r="BS28" s="43">
        <f t="shared" si="17"/>
        <v>9</v>
      </c>
      <c r="BT28" s="43">
        <f t="shared" si="18"/>
        <v>9</v>
      </c>
      <c r="BW28" s="43"/>
      <c r="BX28" s="43"/>
      <c r="BY28" s="247"/>
      <c r="BZ28" s="247"/>
      <c r="CA28" s="247"/>
      <c r="CB28" s="247"/>
    </row>
    <row r="29" spans="1:81" x14ac:dyDescent="0.25">
      <c r="A29">
        <v>21</v>
      </c>
      <c r="B29" t="str">
        <f t="shared" si="47"/>
        <v>Man 04c</v>
      </c>
      <c r="D29" s="43" t="s">
        <v>677</v>
      </c>
      <c r="E29" s="826" t="s">
        <v>579</v>
      </c>
      <c r="F29" s="582">
        <v>1</v>
      </c>
      <c r="G29" s="582">
        <v>1</v>
      </c>
      <c r="H29" s="582">
        <v>1</v>
      </c>
      <c r="I29" s="582">
        <v>1</v>
      </c>
      <c r="J29" s="582">
        <v>1</v>
      </c>
      <c r="K29" s="582">
        <v>1</v>
      </c>
      <c r="L29" s="582">
        <v>1</v>
      </c>
      <c r="M29" s="582">
        <v>1</v>
      </c>
      <c r="N29" s="582">
        <v>1</v>
      </c>
      <c r="O29" s="582">
        <v>1</v>
      </c>
      <c r="P29" s="582">
        <v>1</v>
      </c>
      <c r="Q29" s="582">
        <v>1</v>
      </c>
      <c r="R29" s="582">
        <v>1</v>
      </c>
      <c r="T29" s="145">
        <f t="shared" si="2"/>
        <v>1</v>
      </c>
      <c r="U29" s="146"/>
      <c r="V29" s="43"/>
      <c r="W29" s="43"/>
      <c r="X29" s="147"/>
      <c r="Y29" s="148"/>
      <c r="Z29" s="865">
        <f>VLOOKUP(B29,'Manuell filtrering og justering'!$A$7:$H$107,'Manuell filtrering og justering'!$H$1,FALSE)</f>
        <v>1</v>
      </c>
      <c r="AA29" s="873">
        <f t="shared" si="4"/>
        <v>0</v>
      </c>
      <c r="AB29" s="163">
        <f>IF($AC$5='Manuell filtrering og justering'!$J$2,Z29,(T29-AA29))</f>
        <v>1</v>
      </c>
      <c r="AD29" s="150">
        <f t="shared" si="5"/>
        <v>6.1904761904761907E-3</v>
      </c>
      <c r="AE29" s="150">
        <f>IF(AB29=0,0,(AD29/AB29)*AI29)</f>
        <v>0</v>
      </c>
      <c r="AF29" s="150">
        <f t="shared" si="19"/>
        <v>0</v>
      </c>
      <c r="AG29" s="150">
        <f t="shared" si="20"/>
        <v>0</v>
      </c>
      <c r="AI29" s="151">
        <f>IF(VLOOKUP(E29,'Pre-Assessment Estimator'!$E$11:$Z$228,'Pre-Assessment Estimator'!$G$2,FALSE)&gt;AB29,AB29,VLOOKUP(E29,'Pre-Assessment Estimator'!$E$11:$Z$228,'Pre-Assessment Estimator'!$G$2,FALSE))</f>
        <v>0</v>
      </c>
      <c r="AJ29" s="151">
        <f>IF(VLOOKUP(E29,'Pre-Assessment Estimator'!$E$11:$Z$228,'Pre-Assessment Estimator'!$N$2,FALSE)&gt;AB29,AB29,VLOOKUP(E29,'Pre-Assessment Estimator'!$E$11:$Z$228,'Pre-Assessment Estimator'!$N$2,FALSE))</f>
        <v>0</v>
      </c>
      <c r="AK29" s="151">
        <f>IF(VLOOKUP(E29,'Pre-Assessment Estimator'!$E$11:$Z$228,'Pre-Assessment Estimator'!$U$2,FALSE)&gt;AB29,AB29,VLOOKUP(E29,'Pre-Assessment Estimator'!$E$11:$Z$228,'Pre-Assessment Estimator'!$U$2,FALSE))</f>
        <v>0</v>
      </c>
      <c r="AM29" s="250"/>
      <c r="AN29" s="159"/>
      <c r="AO29" s="159">
        <v>1</v>
      </c>
      <c r="AP29" s="159">
        <v>1</v>
      </c>
      <c r="AQ29" s="164">
        <v>1</v>
      </c>
      <c r="AS29" s="250"/>
      <c r="AT29" s="159"/>
      <c r="AU29" s="159">
        <v>1</v>
      </c>
      <c r="AV29" s="159">
        <v>1</v>
      </c>
      <c r="AW29" s="164">
        <v>1</v>
      </c>
      <c r="AX29" s="125"/>
      <c r="AY29" s="160"/>
      <c r="AZ29" s="161"/>
      <c r="BA29" s="161">
        <f>IF($E$6=$H$9,AU29,AO29)</f>
        <v>1</v>
      </c>
      <c r="BB29" s="161">
        <f>IF($E$6=$H$9,AV29,AP29)</f>
        <v>1</v>
      </c>
      <c r="BC29" s="161">
        <f>IF($E$6=$H$9,AW29,AQ29)</f>
        <v>1</v>
      </c>
      <c r="BD29" s="160">
        <f t="shared" si="29"/>
        <v>2</v>
      </c>
      <c r="BE29" s="45" t="str">
        <f t="shared" si="7"/>
        <v>Good</v>
      </c>
      <c r="BF29" s="163"/>
      <c r="BG29" s="160">
        <f t="shared" si="34"/>
        <v>2</v>
      </c>
      <c r="BH29" s="45" t="str">
        <f t="shared" si="9"/>
        <v>Good</v>
      </c>
      <c r="BI29" s="163"/>
      <c r="BJ29" s="160">
        <f t="shared" si="35"/>
        <v>2</v>
      </c>
      <c r="BK29" s="45" t="str">
        <f t="shared" si="10"/>
        <v>Good</v>
      </c>
      <c r="BL29" s="163"/>
      <c r="BO29" s="43"/>
      <c r="BP29" s="43"/>
      <c r="BQ29" s="43" t="str">
        <f t="shared" si="15"/>
        <v/>
      </c>
      <c r="BR29" s="43">
        <f t="shared" si="21"/>
        <v>9</v>
      </c>
      <c r="BS29" s="43">
        <f t="shared" si="17"/>
        <v>9</v>
      </c>
      <c r="BT29" s="43">
        <f t="shared" si="18"/>
        <v>9</v>
      </c>
      <c r="BW29" s="43"/>
      <c r="BX29" s="43"/>
      <c r="BY29" s="247"/>
      <c r="BZ29" s="247"/>
      <c r="CA29" s="247"/>
      <c r="CB29" s="247"/>
    </row>
    <row r="30" spans="1:81" x14ac:dyDescent="0.25">
      <c r="A30">
        <v>22</v>
      </c>
      <c r="B30" s="121" t="str">
        <f>D30</f>
        <v>Man 05</v>
      </c>
      <c r="C30" s="121"/>
      <c r="D30" s="636" t="s">
        <v>91</v>
      </c>
      <c r="E30" s="636" t="s">
        <v>292</v>
      </c>
      <c r="F30" s="699">
        <f>SUM(F31:F33)</f>
        <v>3</v>
      </c>
      <c r="G30" s="699">
        <f t="shared" ref="G30:R30" si="48">SUM(G31:G33)</f>
        <v>3</v>
      </c>
      <c r="H30" s="699">
        <f t="shared" si="48"/>
        <v>3</v>
      </c>
      <c r="I30" s="699">
        <f t="shared" si="48"/>
        <v>3</v>
      </c>
      <c r="J30" s="699">
        <f t="shared" si="48"/>
        <v>3</v>
      </c>
      <c r="K30" s="699">
        <f t="shared" si="48"/>
        <v>3</v>
      </c>
      <c r="L30" s="699">
        <f t="shared" si="48"/>
        <v>3</v>
      </c>
      <c r="M30" s="699">
        <f t="shared" si="48"/>
        <v>3</v>
      </c>
      <c r="N30" s="699">
        <f t="shared" si="48"/>
        <v>3</v>
      </c>
      <c r="O30" s="699">
        <f t="shared" si="48"/>
        <v>3</v>
      </c>
      <c r="P30" s="699">
        <f t="shared" si="48"/>
        <v>3</v>
      </c>
      <c r="Q30" s="699">
        <f t="shared" ref="Q30" si="49">SUM(Q31:Q33)</f>
        <v>3</v>
      </c>
      <c r="R30" s="699">
        <f t="shared" si="48"/>
        <v>3</v>
      </c>
      <c r="T30" s="685">
        <f t="shared" si="2"/>
        <v>3</v>
      </c>
      <c r="U30" s="146"/>
      <c r="V30" s="43"/>
      <c r="W30" s="43"/>
      <c r="X30" s="147">
        <f>'Manuell filtrering og justering'!E11</f>
        <v>0</v>
      </c>
      <c r="Y30" s="148"/>
      <c r="Z30" s="881">
        <f t="shared" ref="Z30" si="50">SUM(Z31:Z33)</f>
        <v>3</v>
      </c>
      <c r="AA30" s="873">
        <f t="shared" si="4"/>
        <v>0</v>
      </c>
      <c r="AB30" s="877">
        <f>SUM(AB31:AB33)</f>
        <v>3</v>
      </c>
      <c r="AD30" s="687">
        <f t="shared" si="5"/>
        <v>1.8571428571428572E-2</v>
      </c>
      <c r="AE30" s="687">
        <f>SUM(AE31:AE33)</f>
        <v>0</v>
      </c>
      <c r="AF30" s="687">
        <f t="shared" ref="AF30:AG30" si="51">SUM(AF31:AF33)</f>
        <v>0</v>
      </c>
      <c r="AG30" s="687">
        <f t="shared" si="51"/>
        <v>0</v>
      </c>
      <c r="AI30" s="688">
        <f t="shared" ref="AI30:AK30" si="52">SUM(AI31:AI33)</f>
        <v>0</v>
      </c>
      <c r="AJ30" s="688">
        <f t="shared" si="52"/>
        <v>0</v>
      </c>
      <c r="AK30" s="688">
        <f t="shared" si="52"/>
        <v>0</v>
      </c>
      <c r="AM30" s="264"/>
      <c r="AN30" s="265"/>
      <c r="AO30" s="265"/>
      <c r="AP30" s="265"/>
      <c r="AQ30" s="266"/>
      <c r="AS30" s="264"/>
      <c r="AT30" s="265"/>
      <c r="AU30" s="265"/>
      <c r="AV30" s="265"/>
      <c r="AW30" s="266"/>
      <c r="AY30" s="146"/>
      <c r="AZ30" s="43"/>
      <c r="BA30" s="43"/>
      <c r="BB30" s="43"/>
      <c r="BC30" s="147"/>
      <c r="BD30" s="160">
        <f t="shared" si="29"/>
        <v>9</v>
      </c>
      <c r="BE30" s="45" t="str">
        <f t="shared" si="7"/>
        <v>N/A</v>
      </c>
      <c r="BF30" s="163"/>
      <c r="BG30" s="160">
        <f t="shared" si="34"/>
        <v>9</v>
      </c>
      <c r="BH30" s="45" t="str">
        <f t="shared" si="9"/>
        <v>N/A</v>
      </c>
      <c r="BI30" s="163"/>
      <c r="BJ30" s="160">
        <f t="shared" si="35"/>
        <v>9</v>
      </c>
      <c r="BK30" s="45" t="str">
        <f t="shared" si="10"/>
        <v>N/A</v>
      </c>
      <c r="BL30" s="163"/>
      <c r="BO30" s="43"/>
      <c r="BP30" s="43"/>
      <c r="BQ30" s="43" t="str">
        <f t="shared" si="15"/>
        <v/>
      </c>
      <c r="BR30" s="43">
        <f t="shared" si="21"/>
        <v>9</v>
      </c>
      <c r="BS30" s="43">
        <f t="shared" si="17"/>
        <v>9</v>
      </c>
      <c r="BT30" s="43">
        <f t="shared" si="18"/>
        <v>9</v>
      </c>
      <c r="BW30" s="43" t="str">
        <f>D30</f>
        <v>Man 05</v>
      </c>
      <c r="BX30" s="43" t="str">
        <f>IFERROR(VLOOKUP($E30,'Pre-Assessment Estimator'!$E$11:$AB$228,'Pre-Assessment Estimator'!AB$2,FALSE),"")</f>
        <v>No</v>
      </c>
      <c r="BY30" s="247">
        <f>IFERROR(VLOOKUP($E30,'Pre-Assessment Estimator'!$E$11:$AI$228,'Pre-Assessment Estimator'!AI$2,FALSE),"")</f>
        <v>0</v>
      </c>
      <c r="BZ30" s="247">
        <f>IFERROR(VLOOKUP($BX30,$E$294:$H$327,F$292,FALSE),"")</f>
        <v>1</v>
      </c>
      <c r="CA30" s="247">
        <f>IFERROR(VLOOKUP($BX30,$E$294:$H$327,G$292,FALSE),"")</f>
        <v>0</v>
      </c>
      <c r="CB30" s="247"/>
      <c r="CC30" t="s">
        <v>409</v>
      </c>
    </row>
    <row r="31" spans="1:81" x14ac:dyDescent="0.25">
      <c r="A31">
        <v>23</v>
      </c>
      <c r="B31" t="str">
        <f t="shared" ref="B31:B33" si="53">$D$30&amp;D31</f>
        <v>Man 05a</v>
      </c>
      <c r="D31" s="43" t="s">
        <v>673</v>
      </c>
      <c r="E31" s="826" t="s">
        <v>580</v>
      </c>
      <c r="F31" s="582">
        <v>1</v>
      </c>
      <c r="G31" s="582">
        <v>1</v>
      </c>
      <c r="H31" s="582">
        <v>1</v>
      </c>
      <c r="I31" s="582">
        <v>1</v>
      </c>
      <c r="J31" s="582">
        <v>1</v>
      </c>
      <c r="K31" s="582">
        <v>1</v>
      </c>
      <c r="L31" s="582">
        <v>1</v>
      </c>
      <c r="M31" s="582">
        <v>1</v>
      </c>
      <c r="N31" s="582">
        <v>1</v>
      </c>
      <c r="O31" s="582">
        <v>1</v>
      </c>
      <c r="P31" s="582">
        <v>1</v>
      </c>
      <c r="Q31" s="582">
        <v>1</v>
      </c>
      <c r="R31" s="582">
        <v>1</v>
      </c>
      <c r="T31" s="145">
        <f t="shared" si="2"/>
        <v>1</v>
      </c>
      <c r="U31" s="146"/>
      <c r="V31" s="43"/>
      <c r="W31" s="43"/>
      <c r="X31" s="147"/>
      <c r="Y31" s="148">
        <f>IF(OR($Y$4=$Y$5,$Y$4=$Y$6),T31,0)</f>
        <v>0</v>
      </c>
      <c r="Z31" s="865">
        <f>VLOOKUP(B31,'Manuell filtrering og justering'!$A$7:$H$107,'Manuell filtrering og justering'!$H$1,FALSE)</f>
        <v>1</v>
      </c>
      <c r="AA31" s="873">
        <f t="shared" si="4"/>
        <v>0</v>
      </c>
      <c r="AB31" s="163">
        <f>IF($AC$5='Manuell filtrering og justering'!$J$2,Z31,(T31-AA31))</f>
        <v>1</v>
      </c>
      <c r="AD31" s="150">
        <f t="shared" si="5"/>
        <v>6.1904761904761907E-3</v>
      </c>
      <c r="AE31" s="150">
        <f>IF(AB31=0,0,(AD31/AB31)*AI31)</f>
        <v>0</v>
      </c>
      <c r="AF31" s="150">
        <f t="shared" si="19"/>
        <v>0</v>
      </c>
      <c r="AG31" s="150">
        <f t="shared" si="20"/>
        <v>0</v>
      </c>
      <c r="AI31" s="151">
        <f>IF(VLOOKUP(E31,'Pre-Assessment Estimator'!$E$11:$Z$228,'Pre-Assessment Estimator'!$G$2,FALSE)&gt;AB31,AB31,VLOOKUP(E31,'Pre-Assessment Estimator'!$E$11:$Z$228,'Pre-Assessment Estimator'!$G$2,FALSE))</f>
        <v>0</v>
      </c>
      <c r="AJ31" s="151">
        <f>IF(VLOOKUP(E31,'Pre-Assessment Estimator'!$E$11:$Z$228,'Pre-Assessment Estimator'!$N$2,FALSE)&gt;AB31,AB31,VLOOKUP(E31,'Pre-Assessment Estimator'!$E$11:$Z$228,'Pre-Assessment Estimator'!$N$2,FALSE))</f>
        <v>0</v>
      </c>
      <c r="AK31" s="151">
        <f>IF(VLOOKUP(E31,'Pre-Assessment Estimator'!$E$11:$Z$228,'Pre-Assessment Estimator'!$U$2,FALSE)&gt;AB31,AB31,VLOOKUP(E31,'Pre-Assessment Estimator'!$E$11:$Z$228,'Pre-Assessment Estimator'!$U$2,FALSE))</f>
        <v>0</v>
      </c>
      <c r="AM31" s="264"/>
      <c r="AN31" s="265"/>
      <c r="AO31" s="265"/>
      <c r="AP31" s="265"/>
      <c r="AQ31" s="266"/>
      <c r="AS31" s="264"/>
      <c r="AT31" s="265"/>
      <c r="AU31" s="265"/>
      <c r="AV31" s="265"/>
      <c r="AW31" s="266"/>
      <c r="AY31" s="146"/>
      <c r="AZ31" s="43"/>
      <c r="BA31" s="43"/>
      <c r="BB31" s="43"/>
      <c r="BC31" s="147"/>
      <c r="BD31" s="160">
        <f t="shared" si="29"/>
        <v>9</v>
      </c>
      <c r="BE31" s="45" t="str">
        <f t="shared" si="7"/>
        <v>N/A</v>
      </c>
      <c r="BF31" s="163"/>
      <c r="BG31" s="160">
        <f t="shared" si="34"/>
        <v>9</v>
      </c>
      <c r="BH31" s="45" t="str">
        <f t="shared" si="9"/>
        <v>N/A</v>
      </c>
      <c r="BI31" s="163"/>
      <c r="BJ31" s="160">
        <f t="shared" si="35"/>
        <v>9</v>
      </c>
      <c r="BK31" s="45" t="str">
        <f t="shared" si="10"/>
        <v>N/A</v>
      </c>
      <c r="BL31" s="163"/>
      <c r="BO31" s="43"/>
      <c r="BP31" s="43"/>
      <c r="BQ31" s="43" t="str">
        <f t="shared" si="15"/>
        <v/>
      </c>
      <c r="BR31" s="43">
        <f t="shared" ref="BR31:BR94" si="54">IF(BQ31="",9,(IF(AI31&gt;=BQ31,5,0)))</f>
        <v>9</v>
      </c>
      <c r="BS31" s="43">
        <f t="shared" ref="BS31:BS94" si="55">IF(BQ31="",9,(IF(AJ31&gt;=BQ31,5,0)))</f>
        <v>9</v>
      </c>
      <c r="BT31" s="43">
        <f t="shared" ref="BT31:BT94" si="56">IF(BQ31="",9,(IF(AK31&gt;=BQ31,5,0)))</f>
        <v>9</v>
      </c>
      <c r="BW31" s="43"/>
      <c r="BX31" s="43"/>
      <c r="BY31" s="247"/>
      <c r="BZ31" s="247"/>
      <c r="CA31" s="247"/>
      <c r="CB31" s="247"/>
    </row>
    <row r="32" spans="1:81" x14ac:dyDescent="0.25">
      <c r="A32">
        <v>24</v>
      </c>
      <c r="B32" t="str">
        <f t="shared" si="53"/>
        <v>Man 05b</v>
      </c>
      <c r="D32" s="43" t="s">
        <v>676</v>
      </c>
      <c r="E32" s="826" t="s">
        <v>581</v>
      </c>
      <c r="F32" s="582">
        <v>1</v>
      </c>
      <c r="G32" s="582">
        <v>1</v>
      </c>
      <c r="H32" s="582">
        <v>1</v>
      </c>
      <c r="I32" s="582">
        <v>1</v>
      </c>
      <c r="J32" s="582">
        <v>1</v>
      </c>
      <c r="K32" s="582">
        <v>1</v>
      </c>
      <c r="L32" s="582">
        <v>1</v>
      </c>
      <c r="M32" s="582">
        <v>1</v>
      </c>
      <c r="N32" s="582">
        <v>1</v>
      </c>
      <c r="O32" s="582">
        <v>1</v>
      </c>
      <c r="P32" s="582">
        <v>1</v>
      </c>
      <c r="Q32" s="582">
        <v>1</v>
      </c>
      <c r="R32" s="582">
        <v>1</v>
      </c>
      <c r="T32" s="145">
        <f t="shared" si="2"/>
        <v>1</v>
      </c>
      <c r="U32" s="146"/>
      <c r="V32" s="43"/>
      <c r="W32" s="43"/>
      <c r="X32" s="147"/>
      <c r="Y32" s="148">
        <f>IF(OR($Y$4=$Y$5,$Y$4=$Y$6),T32,0)</f>
        <v>0</v>
      </c>
      <c r="Z32" s="865">
        <f>VLOOKUP(B32,'Manuell filtrering og justering'!$A$7:$H$107,'Manuell filtrering og justering'!$H$1,FALSE)</f>
        <v>1</v>
      </c>
      <c r="AA32" s="873">
        <f t="shared" si="4"/>
        <v>0</v>
      </c>
      <c r="AB32" s="163">
        <f>IF($AC$5='Manuell filtrering og justering'!$J$2,Z32,(T32-AA32))</f>
        <v>1</v>
      </c>
      <c r="AD32" s="150">
        <f t="shared" si="5"/>
        <v>6.1904761904761907E-3</v>
      </c>
      <c r="AE32" s="150">
        <f>IF(AB32=0,0,(AD32/AB32)*AI32)</f>
        <v>0</v>
      </c>
      <c r="AF32" s="150">
        <f t="shared" si="19"/>
        <v>0</v>
      </c>
      <c r="AG32" s="150">
        <f t="shared" si="20"/>
        <v>0</v>
      </c>
      <c r="AI32" s="151">
        <f>IF(VLOOKUP(E32,'Pre-Assessment Estimator'!$E$11:$Z$228,'Pre-Assessment Estimator'!$G$2,FALSE)&gt;AB32,AB32,VLOOKUP(E32,'Pre-Assessment Estimator'!$E$11:$Z$228,'Pre-Assessment Estimator'!$G$2,FALSE))</f>
        <v>0</v>
      </c>
      <c r="AJ32" s="151">
        <f>IF(VLOOKUP(E32,'Pre-Assessment Estimator'!$E$11:$Z$228,'Pre-Assessment Estimator'!$N$2,FALSE)&gt;AB32,AB32,VLOOKUP(E32,'Pre-Assessment Estimator'!$E$11:$Z$228,'Pre-Assessment Estimator'!$N$2,FALSE))</f>
        <v>0</v>
      </c>
      <c r="AK32" s="151">
        <f>IF(VLOOKUP(E32,'Pre-Assessment Estimator'!$E$11:$Z$228,'Pre-Assessment Estimator'!$U$2,FALSE)&gt;AB32,AB32,VLOOKUP(E32,'Pre-Assessment Estimator'!$E$11:$Z$228,'Pre-Assessment Estimator'!$U$2,FALSE))</f>
        <v>0</v>
      </c>
      <c r="AM32" s="264"/>
      <c r="AN32" s="265"/>
      <c r="AO32" s="265"/>
      <c r="AP32" s="893">
        <f>IF(AND($Y$4&lt;&gt;$Y$3,Y32&gt;0),0,1)</f>
        <v>1</v>
      </c>
      <c r="AQ32" s="894">
        <f>IF(AND($Y$4&lt;&gt;$Y$3,Y32&gt;0),0,1)</f>
        <v>1</v>
      </c>
      <c r="AS32" s="251"/>
      <c r="AT32" s="252"/>
      <c r="AU32" s="252"/>
      <c r="AV32" s="252"/>
      <c r="AW32" s="253"/>
      <c r="AY32" s="146"/>
      <c r="AZ32" s="43"/>
      <c r="BA32" s="43"/>
      <c r="BB32" s="161">
        <f>IF($E$6=$H$9,AV32,AP32)</f>
        <v>1</v>
      </c>
      <c r="BC32" s="161">
        <f>IF($E$6=$H$9,AW32,AQ32)</f>
        <v>1</v>
      </c>
      <c r="BD32" s="160">
        <f t="shared" si="29"/>
        <v>3</v>
      </c>
      <c r="BE32" s="45" t="str">
        <f t="shared" si="7"/>
        <v>Very Good</v>
      </c>
      <c r="BF32" s="163"/>
      <c r="BG32" s="160">
        <f t="shared" si="34"/>
        <v>3</v>
      </c>
      <c r="BH32" s="45" t="str">
        <f t="shared" si="9"/>
        <v>Very Good</v>
      </c>
      <c r="BI32" s="163"/>
      <c r="BJ32" s="160">
        <f t="shared" si="35"/>
        <v>3</v>
      </c>
      <c r="BK32" s="45" t="str">
        <f t="shared" si="10"/>
        <v>Very Good</v>
      </c>
      <c r="BL32" s="163"/>
      <c r="BO32" s="43"/>
      <c r="BP32" s="43"/>
      <c r="BQ32" s="43" t="str">
        <f t="shared" si="15"/>
        <v/>
      </c>
      <c r="BR32" s="43">
        <f t="shared" si="54"/>
        <v>9</v>
      </c>
      <c r="BS32" s="43">
        <f t="shared" si="55"/>
        <v>9</v>
      </c>
      <c r="BT32" s="43">
        <f t="shared" si="56"/>
        <v>9</v>
      </c>
      <c r="BW32" s="43"/>
      <c r="BX32" s="43"/>
      <c r="BY32" s="247"/>
      <c r="BZ32" s="247"/>
      <c r="CA32" s="247"/>
      <c r="CB32" s="247"/>
    </row>
    <row r="33" spans="1:87" x14ac:dyDescent="0.25">
      <c r="A33">
        <v>25</v>
      </c>
      <c r="B33" t="str">
        <f t="shared" si="53"/>
        <v>Man 05c</v>
      </c>
      <c r="D33" s="43" t="s">
        <v>677</v>
      </c>
      <c r="E33" s="826" t="s">
        <v>582</v>
      </c>
      <c r="F33" s="582">
        <v>1</v>
      </c>
      <c r="G33" s="582">
        <v>1</v>
      </c>
      <c r="H33" s="582">
        <v>1</v>
      </c>
      <c r="I33" s="582">
        <v>1</v>
      </c>
      <c r="J33" s="582">
        <v>1</v>
      </c>
      <c r="K33" s="582">
        <v>1</v>
      </c>
      <c r="L33" s="582">
        <v>1</v>
      </c>
      <c r="M33" s="582">
        <v>1</v>
      </c>
      <c r="N33" s="582">
        <v>1</v>
      </c>
      <c r="O33" s="582">
        <v>1</v>
      </c>
      <c r="P33" s="582">
        <v>1</v>
      </c>
      <c r="Q33" s="582">
        <v>1</v>
      </c>
      <c r="R33" s="582">
        <v>1</v>
      </c>
      <c r="T33" s="145">
        <f t="shared" si="2"/>
        <v>1</v>
      </c>
      <c r="U33" s="146"/>
      <c r="V33" s="43"/>
      <c r="W33" s="43"/>
      <c r="X33" s="147"/>
      <c r="Y33" s="148">
        <f>IF(OR($Y$4=$Y$5,$Y$4=$Y$6),T33,0)</f>
        <v>0</v>
      </c>
      <c r="Z33" s="865">
        <f>VLOOKUP(B33,'Manuell filtrering og justering'!$A$7:$H$107,'Manuell filtrering og justering'!$H$1,FALSE)</f>
        <v>1</v>
      </c>
      <c r="AA33" s="873">
        <f t="shared" si="4"/>
        <v>0</v>
      </c>
      <c r="AB33" s="163">
        <f>IF($AC$5='Manuell filtrering og justering'!$J$2,Z33,(T33-AA33))</f>
        <v>1</v>
      </c>
      <c r="AD33" s="150">
        <f t="shared" si="5"/>
        <v>6.1904761904761907E-3</v>
      </c>
      <c r="AE33" s="150">
        <f>IF(AB33=0,0,(AD33/AB33)*AI33)</f>
        <v>0</v>
      </c>
      <c r="AF33" s="150">
        <f t="shared" si="19"/>
        <v>0</v>
      </c>
      <c r="AG33" s="150">
        <f t="shared" si="20"/>
        <v>0</v>
      </c>
      <c r="AI33" s="151">
        <f>IF(VLOOKUP(E33,'Pre-Assessment Estimator'!$E$11:$Z$228,'Pre-Assessment Estimator'!$G$2,FALSE)&gt;AB33,AB33,VLOOKUP(E33,'Pre-Assessment Estimator'!$E$11:$Z$228,'Pre-Assessment Estimator'!$G$2,FALSE))</f>
        <v>0</v>
      </c>
      <c r="AJ33" s="151">
        <f>IF(VLOOKUP(E33,'Pre-Assessment Estimator'!$E$11:$Z$228,'Pre-Assessment Estimator'!$N$2,FALSE)&gt;AB33,AB33,VLOOKUP(E33,'Pre-Assessment Estimator'!$E$11:$Z$228,'Pre-Assessment Estimator'!$N$2,FALSE))</f>
        <v>0</v>
      </c>
      <c r="AK33" s="151">
        <f>IF(VLOOKUP(E33,'Pre-Assessment Estimator'!$E$11:$Z$228,'Pre-Assessment Estimator'!$U$2,FALSE)&gt;AB33,AB33,VLOOKUP(E33,'Pre-Assessment Estimator'!$E$11:$Z$228,'Pre-Assessment Estimator'!$U$2,FALSE))</f>
        <v>0</v>
      </c>
      <c r="AM33" s="264"/>
      <c r="AN33" s="265"/>
      <c r="AO33" s="265"/>
      <c r="AP33" s="265"/>
      <c r="AQ33" s="266"/>
      <c r="AS33" s="264"/>
      <c r="AT33" s="265"/>
      <c r="AU33" s="265"/>
      <c r="AV33" s="265"/>
      <c r="AW33" s="266"/>
      <c r="AY33" s="146"/>
      <c r="AZ33" s="43"/>
      <c r="BA33" s="43"/>
      <c r="BB33" s="43"/>
      <c r="BC33" s="147"/>
      <c r="BD33" s="160">
        <f t="shared" si="29"/>
        <v>9</v>
      </c>
      <c r="BE33" s="45" t="str">
        <f t="shared" si="7"/>
        <v>N/A</v>
      </c>
      <c r="BF33" s="163"/>
      <c r="BG33" s="160">
        <f t="shared" si="34"/>
        <v>9</v>
      </c>
      <c r="BH33" s="45" t="str">
        <f t="shared" si="9"/>
        <v>N/A</v>
      </c>
      <c r="BI33" s="163"/>
      <c r="BJ33" s="160">
        <f t="shared" si="35"/>
        <v>9</v>
      </c>
      <c r="BK33" s="45" t="str">
        <f t="shared" si="10"/>
        <v>N/A</v>
      </c>
      <c r="BL33" s="163"/>
      <c r="BO33" s="43"/>
      <c r="BP33" s="43"/>
      <c r="BQ33" s="43" t="str">
        <f t="shared" si="15"/>
        <v/>
      </c>
      <c r="BR33" s="43">
        <f t="shared" si="54"/>
        <v>9</v>
      </c>
      <c r="BS33" s="43">
        <f t="shared" si="55"/>
        <v>9</v>
      </c>
      <c r="BT33" s="43">
        <f t="shared" si="56"/>
        <v>9</v>
      </c>
      <c r="BW33" s="43"/>
      <c r="BX33" s="43"/>
      <c r="BY33" s="247"/>
      <c r="BZ33" s="247"/>
      <c r="CA33" s="247"/>
      <c r="CB33" s="247"/>
    </row>
    <row r="34" spans="1:87" x14ac:dyDescent="0.25">
      <c r="A34">
        <v>26</v>
      </c>
      <c r="D34" s="522" t="s">
        <v>92</v>
      </c>
      <c r="E34" s="522"/>
      <c r="F34" s="700"/>
      <c r="G34" s="700"/>
      <c r="H34" s="700"/>
      <c r="I34" s="700"/>
      <c r="J34" s="700"/>
      <c r="K34" s="700"/>
      <c r="L34" s="700"/>
      <c r="M34" s="700"/>
      <c r="N34" s="700"/>
      <c r="O34" s="700"/>
      <c r="P34" s="700"/>
      <c r="Q34" s="700"/>
      <c r="R34" s="700"/>
      <c r="T34" s="710">
        <f t="shared" si="2"/>
        <v>0</v>
      </c>
      <c r="U34" s="523"/>
      <c r="V34" s="522"/>
      <c r="W34" s="522"/>
      <c r="X34" s="711">
        <f>'Manuell filtrering og justering'!E12</f>
        <v>0</v>
      </c>
      <c r="Y34" s="712"/>
      <c r="Z34" s="867"/>
      <c r="AA34" s="873">
        <f t="shared" si="4"/>
        <v>0</v>
      </c>
      <c r="AB34" s="878">
        <f>IF($AC$5='Manuell filtrering og justering'!$J$2,Z34,(T34-AA34))</f>
        <v>0</v>
      </c>
      <c r="AD34" s="716"/>
      <c r="AE34" s="716"/>
      <c r="AF34" s="716"/>
      <c r="AG34" s="716"/>
      <c r="AI34" s="537"/>
      <c r="AJ34" s="537"/>
      <c r="AK34" s="537"/>
      <c r="AM34" s="251"/>
      <c r="AN34" s="252"/>
      <c r="AO34" s="252"/>
      <c r="AP34" s="252"/>
      <c r="AQ34" s="253"/>
      <c r="AS34" s="251"/>
      <c r="AT34" s="252"/>
      <c r="AU34" s="252"/>
      <c r="AV34" s="252"/>
      <c r="AW34" s="253"/>
      <c r="AY34" s="146"/>
      <c r="AZ34" s="166"/>
      <c r="BA34" s="43"/>
      <c r="BB34" s="43"/>
      <c r="BC34" s="162"/>
      <c r="BD34" s="160">
        <f t="shared" si="29"/>
        <v>9</v>
      </c>
      <c r="BE34" s="45" t="str">
        <f t="shared" si="7"/>
        <v>N/A</v>
      </c>
      <c r="BF34" s="163"/>
      <c r="BG34" s="160">
        <f t="shared" si="34"/>
        <v>9</v>
      </c>
      <c r="BH34" s="45" t="str">
        <f t="shared" si="9"/>
        <v>N/A</v>
      </c>
      <c r="BI34" s="163"/>
      <c r="BJ34" s="160">
        <f t="shared" si="35"/>
        <v>9</v>
      </c>
      <c r="BK34" s="45" t="str">
        <f t="shared" si="10"/>
        <v>N/A</v>
      </c>
      <c r="BL34" s="163"/>
      <c r="BO34" s="43"/>
      <c r="BP34" s="43"/>
      <c r="BQ34" s="43" t="str">
        <f t="shared" si="15"/>
        <v/>
      </c>
      <c r="BR34" s="43">
        <f t="shared" si="54"/>
        <v>9</v>
      </c>
      <c r="BS34" s="43">
        <f t="shared" si="55"/>
        <v>9</v>
      </c>
      <c r="BT34" s="43">
        <f t="shared" si="56"/>
        <v>9</v>
      </c>
      <c r="BW34" s="43"/>
      <c r="BX34" s="43" t="str">
        <f>IFERROR(VLOOKUP($E34,'Pre-Assessment Estimator'!$E$11:$AB$228,'Pre-Assessment Estimator'!AB$2,FALSE),"")</f>
        <v/>
      </c>
      <c r="BY34" s="43" t="str">
        <f>IFERROR(VLOOKUP($E34,'Pre-Assessment Estimator'!$E$11:$AI$228,'Pre-Assessment Estimator'!AI$2,FALSE),"")</f>
        <v/>
      </c>
      <c r="BZ34" s="43" t="str">
        <f t="shared" ref="BZ34:CA38" si="57">IFERROR(VLOOKUP($BX34,$E$294:$H$327,F$292,FALSE),"")</f>
        <v/>
      </c>
      <c r="CA34" s="43" t="str">
        <f t="shared" si="57"/>
        <v/>
      </c>
      <c r="CB34" s="43"/>
      <c r="CC34" t="str">
        <f t="shared" ref="CC34:CC39" si="58">IFERROR(VLOOKUP($BX34,$E$294:$H$327,I$292,FALSE),"")</f>
        <v/>
      </c>
    </row>
    <row r="35" spans="1:87" ht="15.75" thickBot="1" x14ac:dyDescent="0.3">
      <c r="A35">
        <v>27</v>
      </c>
      <c r="D35" s="522" t="s">
        <v>93</v>
      </c>
      <c r="E35" s="522"/>
      <c r="F35" s="700"/>
      <c r="G35" s="700"/>
      <c r="H35" s="700"/>
      <c r="I35" s="700"/>
      <c r="J35" s="700"/>
      <c r="K35" s="700"/>
      <c r="L35" s="700"/>
      <c r="M35" s="700"/>
      <c r="N35" s="700"/>
      <c r="O35" s="700"/>
      <c r="P35" s="700"/>
      <c r="Q35" s="700"/>
      <c r="R35" s="700"/>
      <c r="T35" s="710">
        <f t="shared" si="2"/>
        <v>0</v>
      </c>
      <c r="U35" s="523"/>
      <c r="V35" s="522"/>
      <c r="W35" s="522"/>
      <c r="X35" s="711">
        <f>'Manuell filtrering og justering'!E13</f>
        <v>0</v>
      </c>
      <c r="Y35" s="712"/>
      <c r="Z35" s="867"/>
      <c r="AA35" s="873">
        <f t="shared" si="4"/>
        <v>0</v>
      </c>
      <c r="AB35" s="878">
        <f>IF($AC$5='Manuell filtrering og justering'!$J$2,Z35,(T35-AA35))</f>
        <v>0</v>
      </c>
      <c r="AD35" s="716"/>
      <c r="AE35" s="716"/>
      <c r="AF35" s="716"/>
      <c r="AG35" s="716"/>
      <c r="AI35" s="537"/>
      <c r="AJ35" s="537"/>
      <c r="AK35" s="537"/>
      <c r="AM35" s="254"/>
      <c r="AN35" s="255"/>
      <c r="AO35" s="255"/>
      <c r="AP35" s="255"/>
      <c r="AQ35" s="256"/>
      <c r="AS35" s="254"/>
      <c r="AT35" s="255"/>
      <c r="AU35" s="255"/>
      <c r="AV35" s="255"/>
      <c r="AW35" s="256"/>
      <c r="AY35" s="168"/>
      <c r="AZ35" s="169"/>
      <c r="BA35" s="170"/>
      <c r="BB35" s="170"/>
      <c r="BC35" s="171"/>
      <c r="BD35" s="172">
        <f t="shared" ref="BD35:BD169" si="59">IF(BC35=0,9,IF(AI35&gt;=BC35,5,IF(AI35&gt;=BB35,4,IF(AI35&gt;=BA35,3,IF(AI35&gt;=AZ35,2,IF(AI35&lt;AY35,0,1))))))</f>
        <v>9</v>
      </c>
      <c r="BE35" s="45" t="str">
        <f t="shared" si="7"/>
        <v>N/A</v>
      </c>
      <c r="BF35" s="173"/>
      <c r="BG35" s="172">
        <f t="shared" si="8"/>
        <v>9</v>
      </c>
      <c r="BH35" s="45" t="str">
        <f t="shared" si="9"/>
        <v>N/A</v>
      </c>
      <c r="BI35" s="173"/>
      <c r="BJ35" s="172">
        <f t="shared" si="27"/>
        <v>9</v>
      </c>
      <c r="BK35" s="45" t="str">
        <f t="shared" si="10"/>
        <v>N/A</v>
      </c>
      <c r="BL35" s="173"/>
      <c r="BO35" s="43"/>
      <c r="BP35" s="43"/>
      <c r="BQ35" s="43" t="str">
        <f t="shared" si="15"/>
        <v/>
      </c>
      <c r="BR35" s="43">
        <f t="shared" si="54"/>
        <v>9</v>
      </c>
      <c r="BS35" s="43">
        <f t="shared" si="55"/>
        <v>9</v>
      </c>
      <c r="BT35" s="43">
        <f t="shared" si="56"/>
        <v>9</v>
      </c>
      <c r="BW35" s="48"/>
      <c r="BX35" s="48" t="str">
        <f>IFERROR(VLOOKUP($E35,'Pre-Assessment Estimator'!$E$11:$AB$228,'Pre-Assessment Estimator'!AB$2,FALSE),"")</f>
        <v/>
      </c>
      <c r="BY35" s="48" t="str">
        <f>IFERROR(VLOOKUP($E35,'Pre-Assessment Estimator'!$E$11:$AI$228,'Pre-Assessment Estimator'!AI$2,FALSE),"")</f>
        <v/>
      </c>
      <c r="BZ35" s="48" t="str">
        <f t="shared" si="57"/>
        <v/>
      </c>
      <c r="CA35" s="48" t="str">
        <f t="shared" si="57"/>
        <v/>
      </c>
      <c r="CB35" s="48"/>
      <c r="CC35" t="str">
        <f t="shared" si="58"/>
        <v/>
      </c>
    </row>
    <row r="36" spans="1:87" ht="15.75" thickBot="1" x14ac:dyDescent="0.3">
      <c r="A36">
        <v>28</v>
      </c>
      <c r="B36" t="s">
        <v>860</v>
      </c>
      <c r="D36" s="531"/>
      <c r="E36" s="530" t="s">
        <v>204</v>
      </c>
      <c r="F36" s="587">
        <f t="shared" ref="F36:R36" si="60">F10+F16+F19+F26+F30</f>
        <v>21</v>
      </c>
      <c r="G36" s="587">
        <f t="shared" si="60"/>
        <v>21</v>
      </c>
      <c r="H36" s="587">
        <f t="shared" si="60"/>
        <v>21</v>
      </c>
      <c r="I36" s="587">
        <f t="shared" si="60"/>
        <v>21</v>
      </c>
      <c r="J36" s="587">
        <f t="shared" si="60"/>
        <v>21</v>
      </c>
      <c r="K36" s="587">
        <f t="shared" si="60"/>
        <v>21</v>
      </c>
      <c r="L36" s="587">
        <f t="shared" si="60"/>
        <v>21</v>
      </c>
      <c r="M36" s="587">
        <f t="shared" si="60"/>
        <v>21</v>
      </c>
      <c r="N36" s="587">
        <f t="shared" si="60"/>
        <v>21</v>
      </c>
      <c r="O36" s="587">
        <f t="shared" si="60"/>
        <v>21</v>
      </c>
      <c r="P36" s="587">
        <f t="shared" si="60"/>
        <v>21</v>
      </c>
      <c r="Q36" s="587">
        <f t="shared" ref="Q36" si="61">Q10+Q16+Q19+Q26+Q30</f>
        <v>21</v>
      </c>
      <c r="R36" s="587">
        <f t="shared" si="60"/>
        <v>21</v>
      </c>
      <c r="T36" s="175">
        <f t="shared" si="2"/>
        <v>21</v>
      </c>
      <c r="U36" s="176"/>
      <c r="V36" s="177"/>
      <c r="W36" s="177"/>
      <c r="X36" s="178"/>
      <c r="Y36" s="179"/>
      <c r="Z36" s="868"/>
      <c r="AA36" s="874">
        <f>AA10+AA16+AA19+AA26+AA30</f>
        <v>0</v>
      </c>
      <c r="AB36" s="879">
        <f>AB10+AB16+AB19+AB26+AB30</f>
        <v>21</v>
      </c>
      <c r="AD36" s="180">
        <f>AD10+AD16+AD19+AD26+AD30</f>
        <v>0.13</v>
      </c>
      <c r="AE36" s="180">
        <f>AE10+AE16+AE19+AE26+AE30</f>
        <v>0</v>
      </c>
      <c r="AF36" s="180">
        <f>AF10+AF16+AF19+AF26+AF30</f>
        <v>0</v>
      </c>
      <c r="AG36" s="180">
        <f>AG10+AG16+AG19+AG26+AG30</f>
        <v>0</v>
      </c>
      <c r="AI36" s="72">
        <f>AI10+AI16+AI19+AI26+AI30</f>
        <v>0</v>
      </c>
      <c r="AJ36" s="72">
        <f>AJ10+AJ16+AJ19+AJ26+AJ30</f>
        <v>0</v>
      </c>
      <c r="AK36" s="72">
        <f>AK10+AK16+AK19+AK26+AK30</f>
        <v>0</v>
      </c>
      <c r="AM36" s="123"/>
      <c r="AN36" s="123"/>
      <c r="AO36" s="123"/>
      <c r="AP36" s="123"/>
      <c r="AQ36" s="123"/>
      <c r="AS36" s="123"/>
      <c r="AT36" s="123"/>
      <c r="AU36" s="123"/>
      <c r="AV36" s="123"/>
      <c r="AW36" s="123"/>
      <c r="AZ36" s="181"/>
      <c r="BW36" s="50"/>
      <c r="BX36" s="50" t="str">
        <f>IFERROR(VLOOKUP($E36,'Pre-Assessment Estimator'!$E$11:$AB$228,'Pre-Assessment Estimator'!AB$2,FALSE),"")</f>
        <v/>
      </c>
      <c r="BY36" s="50" t="str">
        <f>IFERROR(VLOOKUP($E36,'Pre-Assessment Estimator'!$E$11:$AI$228,'Pre-Assessment Estimator'!AI$2,FALSE),"")</f>
        <v/>
      </c>
      <c r="BZ36" s="50" t="str">
        <f t="shared" si="57"/>
        <v/>
      </c>
      <c r="CA36" s="50" t="str">
        <f t="shared" si="57"/>
        <v/>
      </c>
      <c r="CB36" s="50"/>
      <c r="CC36" t="str">
        <f t="shared" si="58"/>
        <v/>
      </c>
    </row>
    <row r="37" spans="1:87" ht="15.75" thickBot="1" x14ac:dyDescent="0.3">
      <c r="A37">
        <v>29</v>
      </c>
      <c r="AI37" s="1"/>
      <c r="AJ37" s="1"/>
      <c r="AK37" s="1"/>
      <c r="AM37" s="123"/>
      <c r="AN37" s="123"/>
      <c r="AO37" s="123"/>
      <c r="AP37" s="123"/>
      <c r="AQ37" s="123"/>
      <c r="AS37" s="123"/>
      <c r="AT37" s="123"/>
      <c r="AU37" s="123"/>
      <c r="AV37" s="123"/>
      <c r="AW37" s="123"/>
      <c r="AZ37" s="181"/>
      <c r="BX37" t="str">
        <f>IFERROR(VLOOKUP($E37,'Pre-Assessment Estimator'!$E$11:$AB$228,'Pre-Assessment Estimator'!AB$2,FALSE),"")</f>
        <v/>
      </c>
      <c r="BY37" t="str">
        <f>IFERROR(VLOOKUP($E37,'Pre-Assessment Estimator'!$E$11:$AI$228,'Pre-Assessment Estimator'!AI$2,FALSE),"")</f>
        <v/>
      </c>
      <c r="BZ37" t="str">
        <f t="shared" si="57"/>
        <v/>
      </c>
      <c r="CA37" t="str">
        <f t="shared" si="57"/>
        <v/>
      </c>
      <c r="CC37" t="str">
        <f t="shared" si="58"/>
        <v/>
      </c>
    </row>
    <row r="38" spans="1:87" ht="60.75" thickBot="1" x14ac:dyDescent="0.3">
      <c r="A38">
        <v>30</v>
      </c>
      <c r="D38" s="127"/>
      <c r="E38" s="47" t="s">
        <v>60</v>
      </c>
      <c r="F38" s="1364" t="str">
        <f>$F$9</f>
        <v>Office</v>
      </c>
      <c r="G38" s="1364" t="str">
        <f>$G$9</f>
        <v>Retail</v>
      </c>
      <c r="H38" s="1365" t="str">
        <f>$H$9</f>
        <v>Residential</v>
      </c>
      <c r="I38" s="1364" t="str">
        <f>$I$9</f>
        <v>Industrial</v>
      </c>
      <c r="J38" s="1366" t="str">
        <f>$J$9</f>
        <v>Healthcare</v>
      </c>
      <c r="K38" s="1366" t="str">
        <f>$K$9</f>
        <v>Prison</v>
      </c>
      <c r="L38" s="1366" t="str">
        <f>$L$9</f>
        <v>Law Court</v>
      </c>
      <c r="M38" s="1367" t="str">
        <f>$M$9</f>
        <v>Residential institution (long term stay)</v>
      </c>
      <c r="N38" s="684" t="str">
        <f>$N$9</f>
        <v>Residential institution (short term stay)</v>
      </c>
      <c r="O38" s="684" t="str">
        <f>$O$9</f>
        <v>Non-residential institution</v>
      </c>
      <c r="P38" s="684" t="str">
        <f>$P$9</f>
        <v>Assembly and leisure</v>
      </c>
      <c r="Q38" s="1366" t="str">
        <f>$Q$9</f>
        <v>Education</v>
      </c>
      <c r="R38" s="659" t="str">
        <f>$R$9</f>
        <v>Other</v>
      </c>
      <c r="T38" s="122" t="str">
        <f>$E$6</f>
        <v>Office</v>
      </c>
      <c r="U38" s="182"/>
      <c r="V38" s="183"/>
      <c r="W38" s="503"/>
      <c r="X38" s="870"/>
      <c r="Y38" s="882" t="s">
        <v>391</v>
      </c>
      <c r="Z38" s="880" t="s">
        <v>317</v>
      </c>
      <c r="AA38" s="131" t="s">
        <v>204</v>
      </c>
      <c r="AB38" s="53" t="s">
        <v>15</v>
      </c>
      <c r="AI38" s="36"/>
      <c r="AJ38" s="54"/>
      <c r="AK38" s="54"/>
      <c r="AM38" s="123"/>
      <c r="AN38" s="123"/>
      <c r="AO38" s="123"/>
      <c r="AP38" s="123"/>
      <c r="AQ38" s="123"/>
      <c r="AS38" s="123"/>
      <c r="AT38" s="123"/>
      <c r="AU38" s="123"/>
      <c r="AV38" s="123"/>
      <c r="AW38" s="123"/>
      <c r="AZ38" s="181"/>
      <c r="BO38" s="54"/>
      <c r="BP38" s="54"/>
      <c r="BQ38" s="54"/>
      <c r="BR38" s="54"/>
      <c r="BS38" s="54"/>
      <c r="BT38" s="54"/>
      <c r="BW38" s="47"/>
      <c r="BX38" s="47" t="str">
        <f>E38</f>
        <v>Health &amp; Wellbeing</v>
      </c>
      <c r="BY38" s="47">
        <f>IFERROR(VLOOKUP($E38,'Pre-Assessment Estimator'!$E$11:$AI$228,'Pre-Assessment Estimator'!AI$2,FALSE),"")</f>
        <v>0</v>
      </c>
      <c r="BZ38" s="47" t="str">
        <f t="shared" si="57"/>
        <v/>
      </c>
      <c r="CA38" s="47" t="str">
        <f t="shared" si="57"/>
        <v/>
      </c>
      <c r="CB38" s="47"/>
      <c r="CC38" t="str">
        <f t="shared" si="58"/>
        <v/>
      </c>
    </row>
    <row r="39" spans="1:87" x14ac:dyDescent="0.25">
      <c r="A39">
        <v>31</v>
      </c>
      <c r="B39" s="121" t="str">
        <f>D39</f>
        <v>Hea 01</v>
      </c>
      <c r="C39" s="121"/>
      <c r="D39" s="637" t="s">
        <v>111</v>
      </c>
      <c r="E39" s="635" t="s">
        <v>109</v>
      </c>
      <c r="F39" s="699">
        <f t="shared" ref="F39:K39" si="62">SUM(F41:F45)</f>
        <v>7</v>
      </c>
      <c r="G39" s="699">
        <f t="shared" si="62"/>
        <v>7</v>
      </c>
      <c r="H39" s="699">
        <f t="shared" si="62"/>
        <v>5</v>
      </c>
      <c r="I39" s="699">
        <f t="shared" si="62"/>
        <v>7</v>
      </c>
      <c r="J39" s="699">
        <f t="shared" si="62"/>
        <v>7</v>
      </c>
      <c r="K39" s="699">
        <f t="shared" si="62"/>
        <v>7</v>
      </c>
      <c r="L39" s="699">
        <f t="shared" ref="L39:R39" si="63">SUM(L41:L45)</f>
        <v>7</v>
      </c>
      <c r="M39" s="699">
        <f t="shared" si="63"/>
        <v>7</v>
      </c>
      <c r="N39" s="699">
        <f t="shared" si="63"/>
        <v>7</v>
      </c>
      <c r="O39" s="699">
        <f t="shared" si="63"/>
        <v>7</v>
      </c>
      <c r="P39" s="699">
        <f t="shared" si="63"/>
        <v>7</v>
      </c>
      <c r="Q39" s="699">
        <f t="shared" ref="Q39" si="64">SUM(Q41:Q45)</f>
        <v>7</v>
      </c>
      <c r="R39" s="699">
        <f t="shared" si="63"/>
        <v>7</v>
      </c>
      <c r="T39" s="717">
        <f t="shared" ref="T39:T54" si="65">HLOOKUP($E$6,$F$9:$R$231,$A39,FALSE)</f>
        <v>7</v>
      </c>
      <c r="U39" s="191"/>
      <c r="V39" s="61"/>
      <c r="W39" s="61"/>
      <c r="X39" s="818">
        <f>'Manuell filtrering og justering'!E17</f>
        <v>0</v>
      </c>
      <c r="Y39" s="719"/>
      <c r="Z39" s="883">
        <f t="shared" ref="Z39:AB39" si="66">SUM(Z41:Z45)</f>
        <v>4</v>
      </c>
      <c r="AA39" s="719">
        <f t="shared" ref="AA39:AA54" si="67">IF(SUM(U39:Y39)&gt;T39,T39,SUM(U39:Y39))</f>
        <v>0</v>
      </c>
      <c r="AB39" s="793">
        <f t="shared" si="66"/>
        <v>7</v>
      </c>
      <c r="AD39" s="150">
        <f t="shared" ref="AD39:AD65" si="68">(Hea_Weight/Hea_Credits)*AB39</f>
        <v>5.894736842105263E-2</v>
      </c>
      <c r="AE39" s="687">
        <f>SUM(AE41:AE45)</f>
        <v>0</v>
      </c>
      <c r="AF39" s="687">
        <f>SUM(AF41:AF45)</f>
        <v>0</v>
      </c>
      <c r="AG39" s="687">
        <f>SUM(AG41:AG45)</f>
        <v>0</v>
      </c>
      <c r="AI39" s="714">
        <f t="shared" ref="AI39:AK39" si="69">SUM(AI41:AI45)</f>
        <v>0</v>
      </c>
      <c r="AJ39" s="714">
        <f t="shared" si="69"/>
        <v>0</v>
      </c>
      <c r="AK39" s="714">
        <f t="shared" si="69"/>
        <v>0</v>
      </c>
      <c r="AL39" t="s">
        <v>405</v>
      </c>
      <c r="AM39" s="257"/>
      <c r="AN39" s="258"/>
      <c r="AO39" s="258"/>
      <c r="AP39" s="258"/>
      <c r="AQ39" s="259"/>
      <c r="AS39" s="257"/>
      <c r="AT39" s="258"/>
      <c r="AU39" s="258"/>
      <c r="AV39" s="258"/>
      <c r="AW39" s="259"/>
      <c r="AY39" s="189"/>
      <c r="AZ39" s="156"/>
      <c r="BA39" s="156"/>
      <c r="BB39" s="156"/>
      <c r="BC39" s="190"/>
      <c r="BD39" s="153">
        <f t="shared" si="59"/>
        <v>9</v>
      </c>
      <c r="BE39" s="45" t="str">
        <f t="shared" ref="BE39:BE65" si="70">VLOOKUP(BD39,$BO$285:$BT$291,6,FALSE)</f>
        <v>N/A</v>
      </c>
      <c r="BF39" s="157"/>
      <c r="BG39" s="153">
        <f t="shared" ref="BG39:BG65" si="71">IF(BC39=0,9,IF(AJ39&gt;=BC39,5,IF(AJ39&gt;=BB39,4,IF(AJ39&gt;=BA39,3,IF(AJ39&gt;=AZ39,2,IF(AJ39&lt;AY39,0,1))))))</f>
        <v>9</v>
      </c>
      <c r="BH39" s="45" t="str">
        <f t="shared" ref="BH39:BH65" si="72">VLOOKUP(BG39,$BO$285:$BT$291,6,FALSE)</f>
        <v>N/A</v>
      </c>
      <c r="BI39" s="157"/>
      <c r="BJ39" s="153">
        <f t="shared" si="27"/>
        <v>9</v>
      </c>
      <c r="BK39" s="45" t="str">
        <f t="shared" ref="BK39:BK65" si="73">VLOOKUP(BJ39,$BO$285:$BT$291,6,FALSE)</f>
        <v>N/A</v>
      </c>
      <c r="BL39" s="157"/>
      <c r="BO39" s="43"/>
      <c r="BP39" s="43"/>
      <c r="BQ39" s="43" t="str">
        <f t="shared" si="15"/>
        <v/>
      </c>
      <c r="BR39" s="43">
        <f t="shared" si="54"/>
        <v>9</v>
      </c>
      <c r="BS39" s="43">
        <f t="shared" si="55"/>
        <v>9</v>
      </c>
      <c r="BT39" s="43">
        <f t="shared" si="56"/>
        <v>9</v>
      </c>
      <c r="BW39" s="511" t="str">
        <f>D39</f>
        <v>Hea 01</v>
      </c>
      <c r="BX39" s="45" t="str">
        <f>IFERROR(VLOOKUP($E39,'Pre-Assessment Estimator'!$E$11:$AB$228,'Pre-Assessment Estimator'!AB$2,FALSE),"")</f>
        <v>No</v>
      </c>
      <c r="BY39" s="511" t="str">
        <f>IFERROR(VLOOKUP($E39,'Pre-Assessment Estimator'!$E$11:$AI$228,'Pre-Assessment Estimator'!AI$2,FALSE),"")</f>
        <v>Ja</v>
      </c>
      <c r="BZ39" s="45">
        <f>IFERROR(VLOOKUP($BX39,$E$294:$H$327,F$292,FALSE),"")</f>
        <v>1</v>
      </c>
      <c r="CA39" s="509" t="s">
        <v>408</v>
      </c>
      <c r="CB39" s="45">
        <f>H299</f>
        <v>2</v>
      </c>
      <c r="CC39" t="str">
        <f t="shared" si="58"/>
        <v/>
      </c>
      <c r="CD39" s="62" t="s">
        <v>383</v>
      </c>
      <c r="CE39" s="43">
        <f t="shared" ref="CE39:CE55" si="74">VLOOKUP(CA39,$CA$4:$CB$5,2,FALSE)</f>
        <v>0</v>
      </c>
      <c r="CG39" s="62">
        <f>IF($BX$5=ais_nei,CE39,IF(CD39=$BY$5,IF(AND(CA39=$CA$4,BX39=$CC$4),0,BZ39),CE39))</f>
        <v>0</v>
      </c>
    </row>
    <row r="40" spans="1:87" x14ac:dyDescent="0.25">
      <c r="A40">
        <v>32</v>
      </c>
      <c r="B40" s="121"/>
      <c r="C40" s="121"/>
      <c r="D40" s="637" t="s">
        <v>673</v>
      </c>
      <c r="E40" s="705" t="s">
        <v>1826</v>
      </c>
      <c r="F40" s="580"/>
      <c r="G40" s="580"/>
      <c r="H40" s="580"/>
      <c r="I40" s="580"/>
      <c r="J40" s="580"/>
      <c r="K40" s="580"/>
      <c r="L40" s="580"/>
      <c r="M40" s="580"/>
      <c r="N40" s="580"/>
      <c r="O40" s="580"/>
      <c r="P40" s="580"/>
      <c r="Q40" s="580"/>
      <c r="R40" s="580"/>
      <c r="T40" s="184">
        <f t="shared" si="65"/>
        <v>0</v>
      </c>
      <c r="U40" s="146"/>
      <c r="V40" s="43"/>
      <c r="W40" s="43"/>
      <c r="X40" s="147"/>
      <c r="Y40" s="148"/>
      <c r="Z40" s="865"/>
      <c r="AA40" s="148">
        <f t="shared" si="67"/>
        <v>0</v>
      </c>
      <c r="AB40" s="149">
        <f>IF($AC$5='Manuell filtrering og justering'!$J$2,Z40,(T40-AA40))</f>
        <v>0</v>
      </c>
      <c r="AD40" s="150">
        <f t="shared" ref="AD40" si="75">(Hea_Weight/Hea_Credits)*AB40</f>
        <v>0</v>
      </c>
      <c r="AE40" s="150">
        <f t="shared" ref="AE40" si="76">IF(AB40=0,0,(AD40/AB40)*AI40)</f>
        <v>0</v>
      </c>
      <c r="AF40" s="150">
        <f t="shared" ref="AF40" si="77">IF(AB40=0,0,(AD40/AB40)*AJ40)</f>
        <v>0</v>
      </c>
      <c r="AG40" s="150">
        <f t="shared" ref="AG40" si="78">IF(AB40=0,0,(AD40/AB40)*AK40)</f>
        <v>0</v>
      </c>
      <c r="AI40" s="151"/>
      <c r="AJ40" s="151"/>
      <c r="AK40" s="151"/>
      <c r="AM40" s="250"/>
      <c r="AN40" s="159"/>
      <c r="AO40" s="263"/>
      <c r="AP40" s="252"/>
      <c r="AQ40" s="253"/>
      <c r="AS40" s="251"/>
      <c r="AT40" s="252"/>
      <c r="AU40" s="252"/>
      <c r="AV40" s="252"/>
      <c r="AW40" s="253"/>
      <c r="AY40" s="160"/>
      <c r="AZ40" s="161"/>
      <c r="BA40" s="161"/>
      <c r="BB40" s="161"/>
      <c r="BC40" s="155"/>
      <c r="BD40" s="520">
        <f t="shared" ref="BD40" si="79">IF(BC40=0,9,IF((AI40-CG40)&gt;=BC40,5,IF((AI40-CG40)&gt;=BB40,4,IF((AI40-CG40)&gt;=BA40,3,IF((AI40-CG40)&gt;=AZ40,2,IF((AI40-CG40)&lt;AY40,0,1))))))</f>
        <v>9</v>
      </c>
      <c r="BE40" s="45" t="str">
        <f t="shared" si="70"/>
        <v>N/A</v>
      </c>
      <c r="BF40" s="163"/>
      <c r="BG40" s="160">
        <f t="shared" ref="BG40" si="80">IF(BC40=0,9,IF((AJ40-CG40)&gt;=BC40,5,IF((AJ40-CG40)&gt;=BB40,4,IF((AJ40-CG40)&gt;=BA40,3,IF((AJ40-CG40)&gt;=AZ40,2,IF((AJ40-CG40)&lt;AY40,0,1))))))</f>
        <v>9</v>
      </c>
      <c r="BH40" s="45" t="str">
        <f t="shared" si="72"/>
        <v>N/A</v>
      </c>
      <c r="BI40" s="163"/>
      <c r="BJ40" s="160">
        <f t="shared" ref="BJ40" si="81">IF(BC40=0,9,IF((AK40-CG40)&gt;=BC40,5,IF((AK40-CG40)&gt;=BB40,4,IF((AK40-CG40)&gt;=BA40,3,IF((AK40-CG40)&gt;=AZ40,2,IF((AK40-CG40)&lt;AY40,0,1))))))</f>
        <v>9</v>
      </c>
      <c r="BK40" s="45" t="str">
        <f t="shared" si="73"/>
        <v>N/A</v>
      </c>
      <c r="BL40" s="163"/>
      <c r="BO40" s="43"/>
      <c r="BP40" s="43"/>
      <c r="BQ40" s="43" t="str">
        <f t="shared" si="15"/>
        <v/>
      </c>
      <c r="BR40" s="43">
        <f t="shared" si="54"/>
        <v>9</v>
      </c>
      <c r="BS40" s="43">
        <f t="shared" si="55"/>
        <v>9</v>
      </c>
      <c r="BT40" s="43">
        <f t="shared" si="56"/>
        <v>9</v>
      </c>
      <c r="BW40" s="511"/>
      <c r="BX40" s="45"/>
      <c r="BY40" s="511"/>
      <c r="BZ40" s="45"/>
      <c r="CA40" s="509"/>
      <c r="CB40" s="45"/>
      <c r="CD40" s="62"/>
      <c r="CE40" s="43"/>
      <c r="CG40" s="62"/>
    </row>
    <row r="41" spans="1:87" x14ac:dyDescent="0.25">
      <c r="A41">
        <v>33</v>
      </c>
      <c r="B41" t="str">
        <f t="shared" ref="B41:B45" si="82">$D$39&amp;D41</f>
        <v>Hea 01b</v>
      </c>
      <c r="D41" s="144" t="s">
        <v>676</v>
      </c>
      <c r="E41" s="826" t="s">
        <v>583</v>
      </c>
      <c r="F41" s="704">
        <v>3</v>
      </c>
      <c r="G41" s="704">
        <v>3</v>
      </c>
      <c r="H41" s="704">
        <v>3</v>
      </c>
      <c r="I41" s="704">
        <v>3</v>
      </c>
      <c r="J41" s="704">
        <v>3</v>
      </c>
      <c r="K41" s="704">
        <v>3</v>
      </c>
      <c r="L41" s="704">
        <v>3</v>
      </c>
      <c r="M41" s="704">
        <v>3</v>
      </c>
      <c r="N41" s="704">
        <v>3</v>
      </c>
      <c r="O41" s="704">
        <v>3</v>
      </c>
      <c r="P41" s="704">
        <v>3</v>
      </c>
      <c r="Q41" s="704">
        <v>3</v>
      </c>
      <c r="R41" s="704">
        <v>3</v>
      </c>
      <c r="T41" s="184">
        <f t="shared" si="65"/>
        <v>3</v>
      </c>
      <c r="U41" s="146"/>
      <c r="V41" s="43"/>
      <c r="W41" s="43"/>
      <c r="X41" s="147"/>
      <c r="Y41" s="148"/>
      <c r="Z41" s="865">
        <f>VLOOKUP(B41,'Manuell filtrering og justering'!$A$7:$H$107,'Manuell filtrering og justering'!$H$1,FALSE)</f>
        <v>1</v>
      </c>
      <c r="AA41" s="148">
        <f t="shared" si="67"/>
        <v>0</v>
      </c>
      <c r="AB41" s="149">
        <f>IF($AC$5='Manuell filtrering og justering'!$J$2,Z41,(T41-AA41))</f>
        <v>3</v>
      </c>
      <c r="AD41" s="150">
        <f t="shared" si="68"/>
        <v>2.5263157894736842E-2</v>
      </c>
      <c r="AE41" s="150">
        <f>IF(AB41=0,0,(AD41/AB41)*AI41)</f>
        <v>0</v>
      </c>
      <c r="AF41" s="150">
        <f>IF(AB41=0,0,(AD41/AB41)*AJ41)</f>
        <v>0</v>
      </c>
      <c r="AG41" s="150">
        <f>IF(AB41=0,0,(AD41/AB41)*AK41)</f>
        <v>0</v>
      </c>
      <c r="AI41" s="794">
        <f>IF(AI$234=AD_no,0,IF(VLOOKUP(E41,'Pre-Assessment Estimator'!$E$11:$Z$228,'Pre-Assessment Estimator'!$G$2,FALSE)&gt;AB41,AB41,VLOOKUP(E41,'Pre-Assessment Estimator'!$E$11:$Z$228,'Pre-Assessment Estimator'!$G$2,FALSE)))</f>
        <v>0</v>
      </c>
      <c r="AJ41" s="794">
        <f>IF($AJ$234=AD_no,0,IF(VLOOKUP(E41,'Pre-Assessment Estimator'!$E$11:$Z$228,'Pre-Assessment Estimator'!$N$2,FALSE)&gt;AB41,AB41,VLOOKUP(E41,'Pre-Assessment Estimator'!$E$11:$Z$228,'Pre-Assessment Estimator'!$N$2,FALSE)))</f>
        <v>0</v>
      </c>
      <c r="AK41" s="794">
        <f>IF($AK$234=AD_no,0,IF(VLOOKUP(E41,'Pre-Assessment Estimator'!$E$11:$Z$228,'Pre-Assessment Estimator'!$U$2,FALSE)&gt;AB41,AB41,VLOOKUP(E41,'Pre-Assessment Estimator'!$E$11:$Z$228,'Pre-Assessment Estimator'!$U$2,FALSE)))</f>
        <v>0</v>
      </c>
      <c r="AM41" s="639"/>
      <c r="AN41" s="640"/>
      <c r="AO41" s="640"/>
      <c r="AP41" s="640"/>
      <c r="AQ41" s="641"/>
      <c r="AS41" s="639"/>
      <c r="AT41" s="640"/>
      <c r="AU41" s="640"/>
      <c r="AV41" s="640"/>
      <c r="AW41" s="641"/>
      <c r="AY41" s="144"/>
      <c r="AZ41" s="45"/>
      <c r="BA41" s="45"/>
      <c r="BB41" s="45"/>
      <c r="BC41" s="642"/>
      <c r="BD41" s="520">
        <f t="shared" ref="BD41:BD45" si="83">IF(BC41=0,9,IF((AI41-CG41)&gt;=BC41,5,IF((AI41-CG41)&gt;=BB41,4,IF((AI41-CG41)&gt;=BA41,3,IF((AI41-CG41)&gt;=AZ41,2,IF((AI41-CG41)&lt;AY41,0,1))))))</f>
        <v>9</v>
      </c>
      <c r="BE41" s="45" t="str">
        <f t="shared" si="70"/>
        <v>N/A</v>
      </c>
      <c r="BF41" s="163"/>
      <c r="BG41" s="160">
        <f t="shared" ref="BG41:BG45" si="84">IF(BC41=0,9,IF((AJ41-CG41)&gt;=BC41,5,IF((AJ41-CG41)&gt;=BB41,4,IF((AJ41-CG41)&gt;=BA41,3,IF((AJ41-CG41)&gt;=AZ41,2,IF((AJ41-CG41)&lt;AY41,0,1))))))</f>
        <v>9</v>
      </c>
      <c r="BH41" s="45" t="str">
        <f t="shared" si="72"/>
        <v>N/A</v>
      </c>
      <c r="BI41" s="163"/>
      <c r="BJ41" s="160">
        <f t="shared" ref="BJ41:BJ45" si="85">IF(BC41=0,9,IF((AK41-CG41)&gt;=BC41,5,IF((AK41-CG41)&gt;=BB41,4,IF((AK41-CG41)&gt;=BA41,3,IF((AK41-CG41)&gt;=AZ41,2,IF((AK41-CG41)&lt;AY41,0,1))))))</f>
        <v>9</v>
      </c>
      <c r="BK41" s="45" t="str">
        <f t="shared" si="73"/>
        <v>N/A</v>
      </c>
      <c r="BL41" s="634"/>
      <c r="BO41" s="43"/>
      <c r="BP41" s="43"/>
      <c r="BQ41" s="43" t="str">
        <f t="shared" si="15"/>
        <v/>
      </c>
      <c r="BR41" s="43">
        <f t="shared" si="54"/>
        <v>9</v>
      </c>
      <c r="BS41" s="43">
        <f t="shared" si="55"/>
        <v>9</v>
      </c>
      <c r="BT41" s="43">
        <f t="shared" si="56"/>
        <v>9</v>
      </c>
      <c r="BW41" s="511"/>
      <c r="BX41" s="45"/>
      <c r="BY41" s="511"/>
      <c r="BZ41" s="45"/>
      <c r="CA41" s="509"/>
      <c r="CB41" s="45"/>
      <c r="CD41" s="62"/>
      <c r="CE41" s="43"/>
      <c r="CG41" s="62"/>
    </row>
    <row r="42" spans="1:87" x14ac:dyDescent="0.25">
      <c r="A42">
        <v>34</v>
      </c>
      <c r="B42" t="str">
        <f t="shared" si="82"/>
        <v>Hea 01c</v>
      </c>
      <c r="D42" s="144" t="s">
        <v>677</v>
      </c>
      <c r="E42" s="826" t="s">
        <v>584</v>
      </c>
      <c r="F42" s="704">
        <v>1</v>
      </c>
      <c r="G42" s="704">
        <v>1</v>
      </c>
      <c r="H42" s="759">
        <v>0</v>
      </c>
      <c r="I42" s="704">
        <v>1</v>
      </c>
      <c r="J42" s="704">
        <v>1</v>
      </c>
      <c r="K42" s="704">
        <v>1</v>
      </c>
      <c r="L42" s="704">
        <v>1</v>
      </c>
      <c r="M42" s="704">
        <v>1</v>
      </c>
      <c r="N42" s="704">
        <v>1</v>
      </c>
      <c r="O42" s="704">
        <v>1</v>
      </c>
      <c r="P42" s="704">
        <v>1</v>
      </c>
      <c r="Q42" s="704">
        <v>1</v>
      </c>
      <c r="R42" s="704">
        <v>1</v>
      </c>
      <c r="T42" s="184">
        <f t="shared" si="65"/>
        <v>1</v>
      </c>
      <c r="U42" s="146"/>
      <c r="V42" s="43"/>
      <c r="W42" s="43"/>
      <c r="X42" s="147"/>
      <c r="Y42" s="148">
        <f>IF(OR($Y$4=$Y$5,$Y$4=$Y$6),T42,0)</f>
        <v>0</v>
      </c>
      <c r="Z42" s="865">
        <f>VLOOKUP(B42,'Manuell filtrering og justering'!$A$7:$H$107,'Manuell filtrering og justering'!$H$1,FALSE)</f>
        <v>1</v>
      </c>
      <c r="AA42" s="148">
        <f t="shared" si="67"/>
        <v>0</v>
      </c>
      <c r="AB42" s="149">
        <f>IF($AC$5='Manuell filtrering og justering'!$J$2,Z42,(T42-AA42))</f>
        <v>1</v>
      </c>
      <c r="AD42" s="150">
        <f t="shared" si="68"/>
        <v>8.4210526315789472E-3</v>
      </c>
      <c r="AE42" s="150">
        <f t="shared" ref="AE42:AE64" si="86">IF(AB42=0,0,(AD42/AB42)*AI42)</f>
        <v>0</v>
      </c>
      <c r="AF42" s="150">
        <f t="shared" ref="AF42:AF64" si="87">IF(AB42=0,0,(AD42/AB42)*AJ42)</f>
        <v>0</v>
      </c>
      <c r="AG42" s="150">
        <f t="shared" ref="AG42:AG64" si="88">IF(AB42=0,0,(AD42/AB42)*AK42)</f>
        <v>0</v>
      </c>
      <c r="AI42" s="794">
        <f>IF(AI$234=AD_no,0,IF(VLOOKUP(E42,'Pre-Assessment Estimator'!$E$11:$Z$228,'Pre-Assessment Estimator'!$G$2,FALSE)&gt;AB42,AB42,VLOOKUP(E42,'Pre-Assessment Estimator'!$E$11:$Z$228,'Pre-Assessment Estimator'!$G$2,FALSE)))</f>
        <v>0</v>
      </c>
      <c r="AJ42" s="794">
        <f>IF($AJ$234=AD_no,0,IF(VLOOKUP(E42,'Pre-Assessment Estimator'!$E$11:$Z$228,'Pre-Assessment Estimator'!$N$2,FALSE)&gt;AB42,AB42,VLOOKUP(E42,'Pre-Assessment Estimator'!$E$11:$Z$228,'Pre-Assessment Estimator'!$N$2,FALSE)))</f>
        <v>0</v>
      </c>
      <c r="AK42" s="794">
        <f>IF($AK$234=AD_no,0,IF(VLOOKUP(E42,'Pre-Assessment Estimator'!$E$11:$Z$228,'Pre-Assessment Estimator'!$U$2,FALSE)&gt;AB42,AB42,VLOOKUP(E42,'Pre-Assessment Estimator'!$E$11:$Z$228,'Pre-Assessment Estimator'!$U$2,FALSE)))</f>
        <v>0</v>
      </c>
      <c r="AM42" s="639"/>
      <c r="AN42" s="640"/>
      <c r="AO42" s="640"/>
      <c r="AP42" s="640"/>
      <c r="AQ42" s="641"/>
      <c r="AS42" s="639"/>
      <c r="AT42" s="640"/>
      <c r="AU42" s="640"/>
      <c r="AV42" s="640"/>
      <c r="AW42" s="641"/>
      <c r="AY42" s="144"/>
      <c r="AZ42" s="45"/>
      <c r="BA42" s="45"/>
      <c r="BB42" s="45"/>
      <c r="BC42" s="642"/>
      <c r="BD42" s="520">
        <f t="shared" si="83"/>
        <v>9</v>
      </c>
      <c r="BE42" s="45" t="str">
        <f t="shared" si="70"/>
        <v>N/A</v>
      </c>
      <c r="BF42" s="163"/>
      <c r="BG42" s="160">
        <f t="shared" si="84"/>
        <v>9</v>
      </c>
      <c r="BH42" s="45" t="str">
        <f t="shared" si="72"/>
        <v>N/A</v>
      </c>
      <c r="BI42" s="163"/>
      <c r="BJ42" s="160">
        <f t="shared" si="85"/>
        <v>9</v>
      </c>
      <c r="BK42" s="45" t="str">
        <f t="shared" si="73"/>
        <v>N/A</v>
      </c>
      <c r="BL42" s="634"/>
      <c r="BO42" s="43"/>
      <c r="BP42" s="43"/>
      <c r="BQ42" s="43" t="str">
        <f t="shared" si="15"/>
        <v/>
      </c>
      <c r="BR42" s="43">
        <f t="shared" si="54"/>
        <v>9</v>
      </c>
      <c r="BS42" s="43">
        <f t="shared" si="55"/>
        <v>9</v>
      </c>
      <c r="BT42" s="43">
        <f t="shared" si="56"/>
        <v>9</v>
      </c>
      <c r="BW42" s="511"/>
      <c r="BX42" s="45"/>
      <c r="BY42" s="511"/>
      <c r="BZ42" s="45"/>
      <c r="CA42" s="509"/>
      <c r="CB42" s="45"/>
      <c r="CD42" s="62"/>
      <c r="CE42" s="43"/>
      <c r="CG42" s="62"/>
    </row>
    <row r="43" spans="1:87" x14ac:dyDescent="0.25">
      <c r="A43">
        <v>35</v>
      </c>
      <c r="B43" t="str">
        <f t="shared" si="82"/>
        <v>Hea 01d</v>
      </c>
      <c r="D43" s="144" t="s">
        <v>675</v>
      </c>
      <c r="E43" s="826" t="s">
        <v>585</v>
      </c>
      <c r="F43" s="704">
        <v>1</v>
      </c>
      <c r="G43" s="704">
        <v>1</v>
      </c>
      <c r="H43" s="704">
        <v>1</v>
      </c>
      <c r="I43" s="704">
        <v>1</v>
      </c>
      <c r="J43" s="704">
        <v>1</v>
      </c>
      <c r="K43" s="704">
        <v>1</v>
      </c>
      <c r="L43" s="704">
        <v>1</v>
      </c>
      <c r="M43" s="704">
        <v>1</v>
      </c>
      <c r="N43" s="704">
        <v>1</v>
      </c>
      <c r="O43" s="704">
        <v>1</v>
      </c>
      <c r="P43" s="704">
        <v>1</v>
      </c>
      <c r="Q43" s="704">
        <v>1</v>
      </c>
      <c r="R43" s="704">
        <v>1</v>
      </c>
      <c r="T43" s="184">
        <f t="shared" si="65"/>
        <v>1</v>
      </c>
      <c r="U43" s="146"/>
      <c r="V43" s="43"/>
      <c r="W43" s="43"/>
      <c r="X43" s="147"/>
      <c r="Y43" s="148"/>
      <c r="Z43" s="865">
        <f>VLOOKUP(B43,'Manuell filtrering og justering'!$A$7:$H$107,'Manuell filtrering og justering'!$H$1,FALSE)</f>
        <v>1</v>
      </c>
      <c r="AA43" s="148">
        <f t="shared" si="67"/>
        <v>0</v>
      </c>
      <c r="AB43" s="149">
        <f>IF($AC$5='Manuell filtrering og justering'!$J$2,Z43,(T43-AA43))</f>
        <v>1</v>
      </c>
      <c r="AD43" s="150">
        <f t="shared" si="68"/>
        <v>8.4210526315789472E-3</v>
      </c>
      <c r="AE43" s="150">
        <f t="shared" si="86"/>
        <v>0</v>
      </c>
      <c r="AF43" s="150">
        <f t="shared" si="87"/>
        <v>0</v>
      </c>
      <c r="AG43" s="150">
        <f t="shared" si="88"/>
        <v>0</v>
      </c>
      <c r="AI43" s="794">
        <f>IF(AI$234=AD_no,0,IF(VLOOKUP(E43,'Pre-Assessment Estimator'!$E$11:$Z$228,'Pre-Assessment Estimator'!$G$2,FALSE)&gt;AB43,AB43,VLOOKUP(E43,'Pre-Assessment Estimator'!$E$11:$Z$228,'Pre-Assessment Estimator'!$G$2,FALSE)))</f>
        <v>0</v>
      </c>
      <c r="AJ43" s="794">
        <f>IF($AJ$234=AD_no,0,IF(VLOOKUP(E43,'Pre-Assessment Estimator'!$E$11:$Z$228,'Pre-Assessment Estimator'!$N$2,FALSE)&gt;AB43,AB43,VLOOKUP(E43,'Pre-Assessment Estimator'!$E$11:$Z$228,'Pre-Assessment Estimator'!$N$2,FALSE)))</f>
        <v>0</v>
      </c>
      <c r="AK43" s="794">
        <f>IF($AK$234=AD_no,0,IF(VLOOKUP(E43,'Pre-Assessment Estimator'!$E$11:$Z$228,'Pre-Assessment Estimator'!$U$2,FALSE)&gt;AB43,AB43,VLOOKUP(E43,'Pre-Assessment Estimator'!$E$11:$Z$228,'Pre-Assessment Estimator'!$U$2,FALSE)))</f>
        <v>0</v>
      </c>
      <c r="AM43" s="639"/>
      <c r="AN43" s="640"/>
      <c r="AO43" s="640"/>
      <c r="AP43" s="640"/>
      <c r="AQ43" s="641"/>
      <c r="AS43" s="639"/>
      <c r="AT43" s="640"/>
      <c r="AU43" s="640"/>
      <c r="AV43" s="640"/>
      <c r="AW43" s="641"/>
      <c r="AY43" s="144"/>
      <c r="AZ43" s="45"/>
      <c r="BA43" s="45"/>
      <c r="BB43" s="45"/>
      <c r="BC43" s="642"/>
      <c r="BD43" s="520">
        <f t="shared" si="83"/>
        <v>9</v>
      </c>
      <c r="BE43" s="45" t="str">
        <f t="shared" si="70"/>
        <v>N/A</v>
      </c>
      <c r="BF43" s="163"/>
      <c r="BG43" s="160">
        <f t="shared" si="84"/>
        <v>9</v>
      </c>
      <c r="BH43" s="45" t="str">
        <f t="shared" si="72"/>
        <v>N/A</v>
      </c>
      <c r="BI43" s="163"/>
      <c r="BJ43" s="160">
        <f t="shared" si="85"/>
        <v>9</v>
      </c>
      <c r="BK43" s="45" t="str">
        <f t="shared" si="73"/>
        <v>N/A</v>
      </c>
      <c r="BL43" s="634"/>
      <c r="BO43" s="43"/>
      <c r="BP43" s="43"/>
      <c r="BQ43" s="43" t="str">
        <f t="shared" si="15"/>
        <v/>
      </c>
      <c r="BR43" s="43">
        <f t="shared" si="54"/>
        <v>9</v>
      </c>
      <c r="BS43" s="43">
        <f t="shared" si="55"/>
        <v>9</v>
      </c>
      <c r="BT43" s="43">
        <f t="shared" si="56"/>
        <v>9</v>
      </c>
      <c r="BW43" s="511"/>
      <c r="BX43" s="45"/>
      <c r="BY43" s="511"/>
      <c r="BZ43" s="45"/>
      <c r="CA43" s="509"/>
      <c r="CB43" s="45"/>
      <c r="CD43" s="62"/>
      <c r="CE43" s="43"/>
      <c r="CG43" s="62"/>
    </row>
    <row r="44" spans="1:87" x14ac:dyDescent="0.25">
      <c r="A44">
        <v>36</v>
      </c>
      <c r="B44" t="str">
        <f t="shared" si="82"/>
        <v>Hea 01e</v>
      </c>
      <c r="D44" s="144" t="s">
        <v>674</v>
      </c>
      <c r="E44" s="826" t="s">
        <v>586</v>
      </c>
      <c r="F44" s="704">
        <v>1</v>
      </c>
      <c r="G44" s="704">
        <v>1</v>
      </c>
      <c r="H44" s="704">
        <v>1</v>
      </c>
      <c r="I44" s="704">
        <v>1</v>
      </c>
      <c r="J44" s="704">
        <v>1</v>
      </c>
      <c r="K44" s="704">
        <v>1</v>
      </c>
      <c r="L44" s="704">
        <v>1</v>
      </c>
      <c r="M44" s="704">
        <v>1</v>
      </c>
      <c r="N44" s="704">
        <v>1</v>
      </c>
      <c r="O44" s="704">
        <v>1</v>
      </c>
      <c r="P44" s="704">
        <v>1</v>
      </c>
      <c r="Q44" s="704">
        <v>1</v>
      </c>
      <c r="R44" s="704">
        <v>1</v>
      </c>
      <c r="T44" s="184">
        <f t="shared" si="65"/>
        <v>1</v>
      </c>
      <c r="U44" s="146"/>
      <c r="V44" s="43"/>
      <c r="W44" s="43"/>
      <c r="X44" s="147"/>
      <c r="Y44" s="148"/>
      <c r="Z44" s="865">
        <f>VLOOKUP(B44,'Manuell filtrering og justering'!$A$7:$H$107,'Manuell filtrering og justering'!$H$1,FALSE)</f>
        <v>1</v>
      </c>
      <c r="AA44" s="148">
        <f t="shared" si="67"/>
        <v>0</v>
      </c>
      <c r="AB44" s="149">
        <f>IF($AC$5='Manuell filtrering og justering'!$J$2,Z44,(T44-AA44))</f>
        <v>1</v>
      </c>
      <c r="AD44" s="150">
        <f t="shared" si="68"/>
        <v>8.4210526315789472E-3</v>
      </c>
      <c r="AE44" s="150">
        <f t="shared" si="86"/>
        <v>0</v>
      </c>
      <c r="AF44" s="150">
        <f t="shared" si="87"/>
        <v>0</v>
      </c>
      <c r="AG44" s="150">
        <f t="shared" si="88"/>
        <v>0</v>
      </c>
      <c r="AI44" s="794">
        <f>IF(AI$234=AD_no,0,IF(VLOOKUP(E44,'Pre-Assessment Estimator'!$E$11:$Z$228,'Pre-Assessment Estimator'!$G$2,FALSE)&gt;AB44,AB44,VLOOKUP(E44,'Pre-Assessment Estimator'!$E$11:$Z$228,'Pre-Assessment Estimator'!$G$2,FALSE)))</f>
        <v>0</v>
      </c>
      <c r="AJ44" s="794">
        <f>IF($AJ$234=AD_no,0,IF(VLOOKUP(E44,'Pre-Assessment Estimator'!$E$11:$Z$228,'Pre-Assessment Estimator'!$N$2,FALSE)&gt;AB44,AB44,VLOOKUP(E44,'Pre-Assessment Estimator'!$E$11:$Z$228,'Pre-Assessment Estimator'!$N$2,FALSE)))</f>
        <v>0</v>
      </c>
      <c r="AK44" s="794">
        <f>IF($AK$234=AD_no,0,IF(VLOOKUP(E44,'Pre-Assessment Estimator'!$E$11:$Z$228,'Pre-Assessment Estimator'!$U$2,FALSE)&gt;AB44,AB44,VLOOKUP(E44,'Pre-Assessment Estimator'!$E$11:$Z$228,'Pre-Assessment Estimator'!$U$2,FALSE)))</f>
        <v>0</v>
      </c>
      <c r="AM44" s="639"/>
      <c r="AN44" s="640"/>
      <c r="AO44" s="640"/>
      <c r="AP44" s="640"/>
      <c r="AQ44" s="641"/>
      <c r="AS44" s="639"/>
      <c r="AT44" s="640"/>
      <c r="AU44" s="640"/>
      <c r="AV44" s="640"/>
      <c r="AW44" s="641"/>
      <c r="AY44" s="144"/>
      <c r="AZ44" s="45"/>
      <c r="BA44" s="45"/>
      <c r="BB44" s="45"/>
      <c r="BC44" s="642"/>
      <c r="BD44" s="520">
        <f t="shared" si="83"/>
        <v>9</v>
      </c>
      <c r="BE44" s="45" t="str">
        <f t="shared" si="70"/>
        <v>N/A</v>
      </c>
      <c r="BF44" s="163"/>
      <c r="BG44" s="160">
        <f t="shared" si="84"/>
        <v>9</v>
      </c>
      <c r="BH44" s="45" t="str">
        <f t="shared" si="72"/>
        <v>N/A</v>
      </c>
      <c r="BI44" s="163"/>
      <c r="BJ44" s="160">
        <f t="shared" si="85"/>
        <v>9</v>
      </c>
      <c r="BK44" s="45" t="str">
        <f t="shared" si="73"/>
        <v>N/A</v>
      </c>
      <c r="BL44" s="634"/>
      <c r="BO44" s="43"/>
      <c r="BP44" s="43"/>
      <c r="BQ44" s="43" t="str">
        <f t="shared" si="15"/>
        <v/>
      </c>
      <c r="BR44" s="43">
        <f t="shared" si="54"/>
        <v>9</v>
      </c>
      <c r="BS44" s="43">
        <f t="shared" si="55"/>
        <v>9</v>
      </c>
      <c r="BT44" s="43">
        <f t="shared" si="56"/>
        <v>9</v>
      </c>
      <c r="BW44" s="511"/>
      <c r="BX44" s="45"/>
      <c r="BY44" s="511"/>
      <c r="BZ44" s="45"/>
      <c r="CA44" s="509"/>
      <c r="CB44" s="45"/>
      <c r="CD44" s="62"/>
      <c r="CE44" s="43"/>
      <c r="CG44" s="62"/>
    </row>
    <row r="45" spans="1:87" x14ac:dyDescent="0.25">
      <c r="A45">
        <v>37</v>
      </c>
      <c r="B45" t="str">
        <f t="shared" si="82"/>
        <v>Hea 01f</v>
      </c>
      <c r="D45" s="144" t="s">
        <v>887</v>
      </c>
      <c r="E45" s="826" t="s">
        <v>587</v>
      </c>
      <c r="F45" s="704">
        <v>1</v>
      </c>
      <c r="G45" s="704">
        <v>1</v>
      </c>
      <c r="H45" s="759">
        <v>0</v>
      </c>
      <c r="I45" s="704">
        <v>1</v>
      </c>
      <c r="J45" s="704">
        <v>1</v>
      </c>
      <c r="K45" s="704">
        <v>1</v>
      </c>
      <c r="L45" s="704">
        <v>1</v>
      </c>
      <c r="M45" s="704">
        <v>1</v>
      </c>
      <c r="N45" s="704">
        <v>1</v>
      </c>
      <c r="O45" s="704">
        <v>1</v>
      </c>
      <c r="P45" s="704">
        <v>1</v>
      </c>
      <c r="Q45" s="704">
        <v>1</v>
      </c>
      <c r="R45" s="704">
        <v>1</v>
      </c>
      <c r="T45" s="184">
        <f t="shared" si="65"/>
        <v>1</v>
      </c>
      <c r="U45" s="146"/>
      <c r="V45" s="43"/>
      <c r="W45" s="43"/>
      <c r="X45" s="147"/>
      <c r="Y45" s="148"/>
      <c r="Z45" s="865">
        <f>VLOOKUP(B45,'Manuell filtrering og justering'!$A$7:$H$107,'Manuell filtrering og justering'!$H$1,FALSE)</f>
        <v>0</v>
      </c>
      <c r="AA45" s="148">
        <f t="shared" si="67"/>
        <v>0</v>
      </c>
      <c r="AB45" s="149">
        <f>IF($AC$5='Manuell filtrering og justering'!$J$2,Z45,(T45-AA45))</f>
        <v>1</v>
      </c>
      <c r="AD45" s="150">
        <f t="shared" si="68"/>
        <v>8.4210526315789472E-3</v>
      </c>
      <c r="AE45" s="150">
        <f t="shared" si="86"/>
        <v>0</v>
      </c>
      <c r="AF45" s="150">
        <f t="shared" si="87"/>
        <v>0</v>
      </c>
      <c r="AG45" s="150">
        <f t="shared" si="88"/>
        <v>0</v>
      </c>
      <c r="AI45" s="794">
        <f>IF(AI$234=AD_no,0,IF(VLOOKUP(E45,'Pre-Assessment Estimator'!$E$11:$Z$228,'Pre-Assessment Estimator'!$G$2,FALSE)&gt;AB45,AB45,VLOOKUP(E45,'Pre-Assessment Estimator'!$E$11:$Z$228,'Pre-Assessment Estimator'!$G$2,FALSE)))</f>
        <v>0</v>
      </c>
      <c r="AJ45" s="794">
        <f>IF($AJ$234=AD_no,0,IF(VLOOKUP(E45,'Pre-Assessment Estimator'!$E$11:$Z$228,'Pre-Assessment Estimator'!$N$2,FALSE)&gt;AB45,AB45,VLOOKUP(E45,'Pre-Assessment Estimator'!$E$11:$Z$228,'Pre-Assessment Estimator'!$N$2,FALSE)))</f>
        <v>0</v>
      </c>
      <c r="AK45" s="794">
        <f>IF($AK$234=AD_no,0,IF(VLOOKUP(E45,'Pre-Assessment Estimator'!$E$11:$Z$228,'Pre-Assessment Estimator'!$U$2,FALSE)&gt;AB45,AB45,VLOOKUP(E45,'Pre-Assessment Estimator'!$E$11:$Z$228,'Pre-Assessment Estimator'!$U$2,FALSE)))</f>
        <v>0</v>
      </c>
      <c r="AM45" s="639"/>
      <c r="AN45" s="640"/>
      <c r="AO45" s="640"/>
      <c r="AP45" s="640"/>
      <c r="AQ45" s="641"/>
      <c r="AS45" s="639"/>
      <c r="AT45" s="640"/>
      <c r="AU45" s="640"/>
      <c r="AV45" s="640"/>
      <c r="AW45" s="641"/>
      <c r="AY45" s="144"/>
      <c r="AZ45" s="45"/>
      <c r="BA45" s="45"/>
      <c r="BB45" s="45"/>
      <c r="BC45" s="642"/>
      <c r="BD45" s="520">
        <f t="shared" si="83"/>
        <v>9</v>
      </c>
      <c r="BE45" s="45" t="str">
        <f t="shared" si="70"/>
        <v>N/A</v>
      </c>
      <c r="BF45" s="163"/>
      <c r="BG45" s="160">
        <f t="shared" si="84"/>
        <v>9</v>
      </c>
      <c r="BH45" s="45" t="str">
        <f t="shared" si="72"/>
        <v>N/A</v>
      </c>
      <c r="BI45" s="163"/>
      <c r="BJ45" s="160">
        <f t="shared" si="85"/>
        <v>9</v>
      </c>
      <c r="BK45" s="45" t="str">
        <f t="shared" si="73"/>
        <v>N/A</v>
      </c>
      <c r="BL45" s="634"/>
      <c r="BO45" s="43"/>
      <c r="BP45" s="43"/>
      <c r="BQ45" s="43" t="str">
        <f t="shared" si="15"/>
        <v/>
      </c>
      <c r="BR45" s="43">
        <f t="shared" si="54"/>
        <v>9</v>
      </c>
      <c r="BS45" s="43">
        <f t="shared" si="55"/>
        <v>9</v>
      </c>
      <c r="BT45" s="43">
        <f t="shared" si="56"/>
        <v>9</v>
      </c>
      <c r="BW45" s="511"/>
      <c r="BX45" s="45"/>
      <c r="BY45" s="511"/>
      <c r="BZ45" s="45"/>
      <c r="CA45" s="509"/>
      <c r="CB45" s="45"/>
      <c r="CD45" s="62"/>
      <c r="CE45" s="43"/>
      <c r="CG45" s="62"/>
    </row>
    <row r="46" spans="1:87" x14ac:dyDescent="0.25">
      <c r="A46">
        <v>38</v>
      </c>
      <c r="B46" s="121" t="str">
        <f>D46</f>
        <v>Hea 02</v>
      </c>
      <c r="C46" s="121"/>
      <c r="D46" s="638" t="s">
        <v>112</v>
      </c>
      <c r="E46" s="636" t="s">
        <v>106</v>
      </c>
      <c r="F46" s="699">
        <f t="shared" ref="F46:R46" si="89">SUM(F47:F50)</f>
        <v>4</v>
      </c>
      <c r="G46" s="699">
        <f t="shared" si="89"/>
        <v>4</v>
      </c>
      <c r="H46" s="699">
        <f t="shared" si="89"/>
        <v>4</v>
      </c>
      <c r="I46" s="699">
        <f t="shared" si="89"/>
        <v>4</v>
      </c>
      <c r="J46" s="699">
        <f t="shared" si="89"/>
        <v>4</v>
      </c>
      <c r="K46" s="699">
        <f t="shared" si="89"/>
        <v>4</v>
      </c>
      <c r="L46" s="699">
        <f t="shared" si="89"/>
        <v>4</v>
      </c>
      <c r="M46" s="699">
        <f t="shared" si="89"/>
        <v>4</v>
      </c>
      <c r="N46" s="699">
        <f t="shared" si="89"/>
        <v>4</v>
      </c>
      <c r="O46" s="699">
        <f t="shared" si="89"/>
        <v>4</v>
      </c>
      <c r="P46" s="699">
        <f t="shared" si="89"/>
        <v>4</v>
      </c>
      <c r="Q46" s="699">
        <f t="shared" ref="Q46" si="90">SUM(Q47:Q50)</f>
        <v>4</v>
      </c>
      <c r="R46" s="699">
        <f t="shared" si="89"/>
        <v>4</v>
      </c>
      <c r="T46" s="717">
        <f t="shared" si="65"/>
        <v>4</v>
      </c>
      <c r="U46" s="191">
        <f>U48+U49+U50</f>
        <v>0</v>
      </c>
      <c r="V46" s="61"/>
      <c r="W46" s="61"/>
      <c r="X46" s="818">
        <f>'Manuell filtrering og justering'!E18</f>
        <v>0</v>
      </c>
      <c r="Y46" s="719"/>
      <c r="Z46" s="883">
        <f t="shared" ref="Z46" si="91">SUM(Z47:Z50)</f>
        <v>4</v>
      </c>
      <c r="AA46" s="719">
        <f t="shared" si="67"/>
        <v>0</v>
      </c>
      <c r="AB46" s="793">
        <f>SUM(AB47:AB50)</f>
        <v>4</v>
      </c>
      <c r="AD46" s="150">
        <f t="shared" si="68"/>
        <v>3.3684210526315789E-2</v>
      </c>
      <c r="AE46" s="687">
        <f>SUM(AE47:AE50)</f>
        <v>0</v>
      </c>
      <c r="AF46" s="687">
        <f t="shared" ref="AF46:AG46" si="92">SUM(AF47:AF50)</f>
        <v>0</v>
      </c>
      <c r="AG46" s="687">
        <f t="shared" si="92"/>
        <v>0</v>
      </c>
      <c r="AI46" s="714">
        <f t="shared" ref="AI46:AK46" si="93">SUM(AI47:AI50)</f>
        <v>0</v>
      </c>
      <c r="AJ46" s="714">
        <f t="shared" si="93"/>
        <v>0</v>
      </c>
      <c r="AK46" s="714">
        <f t="shared" si="93"/>
        <v>0</v>
      </c>
      <c r="AL46" t="s">
        <v>405</v>
      </c>
      <c r="AM46" s="250"/>
      <c r="AN46" s="159"/>
      <c r="AO46" s="263"/>
      <c r="AP46" s="252"/>
      <c r="AQ46" s="253"/>
      <c r="AS46" s="251"/>
      <c r="AT46" s="252"/>
      <c r="AU46" s="252"/>
      <c r="AV46" s="252"/>
      <c r="AW46" s="253"/>
      <c r="AY46" s="160"/>
      <c r="AZ46" s="161"/>
      <c r="BA46" s="161"/>
      <c r="BB46" s="161"/>
      <c r="BC46" s="155"/>
      <c r="BD46" s="520">
        <f>IF(BC46=0,9,IF((AI46-CG46)&gt;=BC46,5,IF((AI46-CG46)&gt;=BB46,4,IF((AI46-CG46)&gt;=BA46,3,IF((AI46-CG46)&gt;=AZ46,2,IF((AI46-CG46)&lt;AY46,0,1))))))</f>
        <v>9</v>
      </c>
      <c r="BE46" s="45" t="str">
        <f t="shared" si="70"/>
        <v>N/A</v>
      </c>
      <c r="BF46" s="163"/>
      <c r="BG46" s="160">
        <f>IF(BC46=0,9,IF((AJ46-CG46)&gt;=BC46,5,IF((AJ46-CG46)&gt;=BB46,4,IF((AJ46-CG46)&gt;=BA46,3,IF((AJ46-CG46)&gt;=AZ46,2,IF((AJ46-CG46)&lt;AY46,0,1))))))</f>
        <v>9</v>
      </c>
      <c r="BH46" s="45" t="str">
        <f t="shared" si="72"/>
        <v>N/A</v>
      </c>
      <c r="BI46" s="163"/>
      <c r="BJ46" s="160">
        <f>IF(BC46=0,9,IF((AK46-CG46)&gt;=BC46,5,IF((AK46-CG46)&gt;=BB46,4,IF((AK46-CG46)&gt;=BA46,3,IF((AK46-CG46)&gt;=AZ46,2,IF((AK46-CG46)&lt;AY46,0,1))))))</f>
        <v>9</v>
      </c>
      <c r="BK46" s="45" t="str">
        <f t="shared" si="73"/>
        <v>N/A</v>
      </c>
      <c r="BL46" s="163"/>
      <c r="BM46" t="s">
        <v>438</v>
      </c>
      <c r="BO46" s="43"/>
      <c r="BP46" s="43"/>
      <c r="BQ46" s="43" t="str">
        <f t="shared" si="15"/>
        <v/>
      </c>
      <c r="BR46" s="43">
        <f t="shared" si="54"/>
        <v>9</v>
      </c>
      <c r="BS46" s="43">
        <f t="shared" si="55"/>
        <v>9</v>
      </c>
      <c r="BT46" s="43">
        <f t="shared" si="56"/>
        <v>9</v>
      </c>
      <c r="BW46" s="43" t="str">
        <f>D46</f>
        <v>Hea 02</v>
      </c>
      <c r="BX46" s="43" t="str">
        <f>IFERROR(VLOOKUP($E46,'Pre-Assessment Estimator'!$E$11:$AB$228,'Pre-Assessment Estimator'!AB$2,FALSE),"")</f>
        <v>O2: VOC (AC 8-9: -1,0 c)</v>
      </c>
      <c r="BY46" s="61" t="str">
        <f>IFERROR(VLOOKUP($E46,'Pre-Assessment Estimator'!$E$11:$AI$228,'Pre-Assessment Estimator'!AI$2,FALSE),"")</f>
        <v>Ja</v>
      </c>
      <c r="BZ46" s="43">
        <f>IFERROR(VLOOKUP($BX46,$E$294:$H$327,F$292,FALSE),"")</f>
        <v>-1</v>
      </c>
      <c r="CA46" s="509" t="s">
        <v>408</v>
      </c>
      <c r="CB46" s="43">
        <f>H304</f>
        <v>5</v>
      </c>
      <c r="CC46" t="s">
        <v>409</v>
      </c>
      <c r="CD46" t="s">
        <v>416</v>
      </c>
      <c r="CE46" s="43">
        <f t="shared" si="74"/>
        <v>0</v>
      </c>
      <c r="CG46" s="62">
        <f>IF($BX$5=ais_nei,CE46,IF(AND(CA46=$CA$4,BX46=$CC$4),0,BZ46))</f>
        <v>0</v>
      </c>
      <c r="CI46" t="s">
        <v>383</v>
      </c>
    </row>
    <row r="47" spans="1:87" x14ac:dyDescent="0.25">
      <c r="A47">
        <v>39</v>
      </c>
      <c r="D47" s="144" t="s">
        <v>673</v>
      </c>
      <c r="E47" s="705" t="s">
        <v>588</v>
      </c>
      <c r="F47" s="580"/>
      <c r="G47" s="580"/>
      <c r="H47" s="580"/>
      <c r="I47" s="580"/>
      <c r="J47" s="580"/>
      <c r="K47" s="580"/>
      <c r="L47" s="580"/>
      <c r="M47" s="580"/>
      <c r="N47" s="580"/>
      <c r="O47" s="580"/>
      <c r="P47" s="580"/>
      <c r="Q47" s="580"/>
      <c r="R47" s="580"/>
      <c r="T47" s="184">
        <f t="shared" si="65"/>
        <v>0</v>
      </c>
      <c r="U47" s="146"/>
      <c r="V47" s="43"/>
      <c r="W47" s="43"/>
      <c r="X47" s="147"/>
      <c r="Y47" s="148"/>
      <c r="Z47" s="865"/>
      <c r="AA47" s="148">
        <f t="shared" si="67"/>
        <v>0</v>
      </c>
      <c r="AB47" s="149">
        <f>IF($AC$5='Manuell filtrering og justering'!$J$2,Z47,(T47-AA47))</f>
        <v>0</v>
      </c>
      <c r="AD47" s="150">
        <f t="shared" si="68"/>
        <v>0</v>
      </c>
      <c r="AE47" s="150">
        <f t="shared" si="86"/>
        <v>0</v>
      </c>
      <c r="AF47" s="150">
        <f t="shared" si="87"/>
        <v>0</v>
      </c>
      <c r="AG47" s="150">
        <f t="shared" si="88"/>
        <v>0</v>
      </c>
      <c r="AI47" s="151">
        <f>IF(VLOOKUP(E47,'Pre-Assessment Estimator'!$E$11:$Z$228,'Pre-Assessment Estimator'!$G$2,FALSE)&gt;AB47,AB47,VLOOKUP(E47,'Pre-Assessment Estimator'!$E$11:$Z$228,'Pre-Assessment Estimator'!$G$2,FALSE))</f>
        <v>0</v>
      </c>
      <c r="AJ47" s="151">
        <f>IF(VLOOKUP(E47,'Pre-Assessment Estimator'!$E$11:$Z$228,'Pre-Assessment Estimator'!$N$2,FALSE)&gt;AB47,AB47,VLOOKUP(E47,'Pre-Assessment Estimator'!$E$11:$Z$228,'Pre-Assessment Estimator'!$N$2,FALSE))</f>
        <v>0</v>
      </c>
      <c r="AK47" s="151">
        <f>IF(VLOOKUP(E47,'Pre-Assessment Estimator'!$E$11:$Z$228,'Pre-Assessment Estimator'!$U$2,FALSE)&gt;AB47,AB47,VLOOKUP(E47,'Pre-Assessment Estimator'!$E$11:$Z$228,'Pre-Assessment Estimator'!$U$2,FALSE))</f>
        <v>0</v>
      </c>
      <c r="AM47" s="250"/>
      <c r="AN47" s="159"/>
      <c r="AO47" s="263"/>
      <c r="AP47" s="252"/>
      <c r="AQ47" s="253"/>
      <c r="AS47" s="251"/>
      <c r="AT47" s="252"/>
      <c r="AU47" s="252"/>
      <c r="AV47" s="252"/>
      <c r="AW47" s="253"/>
      <c r="AY47" s="160"/>
      <c r="AZ47" s="161"/>
      <c r="BA47" s="161"/>
      <c r="BB47" s="161"/>
      <c r="BC47" s="155"/>
      <c r="BD47" s="520">
        <f t="shared" ref="BD47:BD64" si="94">IF(BC47=0,9,IF((AI47-CG47)&gt;=BC47,5,IF((AI47-CG47)&gt;=BB47,4,IF((AI47-CG47)&gt;=BA47,3,IF((AI47-CG47)&gt;=AZ47,2,IF((AI47-CG47)&lt;AY47,0,1))))))</f>
        <v>9</v>
      </c>
      <c r="BE47" s="45" t="str">
        <f t="shared" si="70"/>
        <v>N/A</v>
      </c>
      <c r="BF47" s="163"/>
      <c r="BG47" s="160">
        <f t="shared" ref="BG47:BG64" si="95">IF(BC47=0,9,IF((AJ47-CG47)&gt;=BC47,5,IF((AJ47-CG47)&gt;=BB47,4,IF((AJ47-CG47)&gt;=BA47,3,IF((AJ47-CG47)&gt;=AZ47,2,IF((AJ47-CG47)&lt;AY47,0,1))))))</f>
        <v>9</v>
      </c>
      <c r="BH47" s="45" t="str">
        <f t="shared" si="72"/>
        <v>N/A</v>
      </c>
      <c r="BI47" s="163"/>
      <c r="BJ47" s="160">
        <f t="shared" ref="BJ47:BJ64" si="96">IF(BC47=0,9,IF((AK47-CG47)&gt;=BC47,5,IF((AK47-CG47)&gt;=BB47,4,IF((AK47-CG47)&gt;=BA47,3,IF((AK47-CG47)&gt;=AZ47,2,IF((AK47-CG47)&lt;AY47,0,1))))))</f>
        <v>9</v>
      </c>
      <c r="BK47" s="45" t="str">
        <f t="shared" si="73"/>
        <v>N/A</v>
      </c>
      <c r="BL47" s="163"/>
      <c r="BO47" s="43"/>
      <c r="BP47" s="43"/>
      <c r="BQ47" s="43" t="str">
        <f t="shared" si="15"/>
        <v/>
      </c>
      <c r="BR47" s="43">
        <f t="shared" si="54"/>
        <v>9</v>
      </c>
      <c r="BS47" s="43">
        <f t="shared" si="55"/>
        <v>9</v>
      </c>
      <c r="BT47" s="43">
        <f t="shared" si="56"/>
        <v>9</v>
      </c>
      <c r="BW47" s="43"/>
      <c r="BX47" s="43"/>
      <c r="BY47" s="61"/>
      <c r="BZ47" s="43"/>
      <c r="CA47" s="510"/>
      <c r="CB47" s="43"/>
      <c r="CE47" s="43"/>
      <c r="CG47" s="62"/>
    </row>
    <row r="48" spans="1:87" x14ac:dyDescent="0.25">
      <c r="A48">
        <v>40</v>
      </c>
      <c r="B48" t="str">
        <f t="shared" ref="B48:B50" si="97">$D$46&amp;D48</f>
        <v>Hea 02b</v>
      </c>
      <c r="D48" s="144" t="s">
        <v>676</v>
      </c>
      <c r="E48" s="826" t="s">
        <v>589</v>
      </c>
      <c r="F48" s="582">
        <v>1</v>
      </c>
      <c r="G48" s="582">
        <v>1</v>
      </c>
      <c r="H48" s="582">
        <v>1</v>
      </c>
      <c r="I48" s="582">
        <v>1</v>
      </c>
      <c r="J48" s="582">
        <v>1</v>
      </c>
      <c r="K48" s="582">
        <v>1</v>
      </c>
      <c r="L48" s="582">
        <v>1</v>
      </c>
      <c r="M48" s="582">
        <v>1</v>
      </c>
      <c r="N48" s="582">
        <v>1</v>
      </c>
      <c r="O48" s="582">
        <v>1</v>
      </c>
      <c r="P48" s="582">
        <v>1</v>
      </c>
      <c r="Q48" s="582">
        <v>1</v>
      </c>
      <c r="R48" s="582">
        <v>1</v>
      </c>
      <c r="T48" s="184">
        <f t="shared" si="65"/>
        <v>1</v>
      </c>
      <c r="U48" s="191">
        <f>IF(AND(ADBT0=ADBT1,ADIND_option03=AD_no),Poeng!T48,0)</f>
        <v>0</v>
      </c>
      <c r="V48" s="43"/>
      <c r="W48" s="43"/>
      <c r="X48" s="147"/>
      <c r="Y48" s="148"/>
      <c r="Z48" s="865">
        <f>VLOOKUP(B48,'Manuell filtrering og justering'!$A$7:$H$107,'Manuell filtrering og justering'!$H$1,FALSE)</f>
        <v>1</v>
      </c>
      <c r="AA48" s="148">
        <f t="shared" si="67"/>
        <v>0</v>
      </c>
      <c r="AB48" s="149">
        <f>IF($AC$5='Manuell filtrering og justering'!$J$2,Z48,(T48-AA48))</f>
        <v>1</v>
      </c>
      <c r="AD48" s="150">
        <f t="shared" si="68"/>
        <v>8.4210526315789472E-3</v>
      </c>
      <c r="AE48" s="150">
        <f t="shared" si="86"/>
        <v>0</v>
      </c>
      <c r="AF48" s="150">
        <f t="shared" si="87"/>
        <v>0</v>
      </c>
      <c r="AG48" s="150">
        <f t="shared" si="88"/>
        <v>0</v>
      </c>
      <c r="AI48" s="794">
        <f>IF(OR(AI236=AD_no),0,IF(VLOOKUP(E48,'Pre-Assessment Estimator'!$E$11:$Z$228,'Pre-Assessment Estimator'!$G$2,FALSE)&gt;AB48,AB48,VLOOKUP(E48,'Pre-Assessment Estimator'!$E$11:$Z$228,'Pre-Assessment Estimator'!$G$2,FALSE)))</f>
        <v>0</v>
      </c>
      <c r="AJ48" s="794">
        <f>IF(OR(AJ236=AD_no),0,IF(VLOOKUP(E48,'Pre-Assessment Estimator'!$E$11:$Z$228,'Pre-Assessment Estimator'!$N$2,FALSE)&gt;AB48,AB48,VLOOKUP(E48,'Pre-Assessment Estimator'!$E$11:$Z$228,'Pre-Assessment Estimator'!$N$2,FALSE)))</f>
        <v>0</v>
      </c>
      <c r="AK48" s="794">
        <f>IF(OR(AK236=AD_no),0,IF(VLOOKUP(E48,'Pre-Assessment Estimator'!$E$11:$Z$228,'Pre-Assessment Estimator'!$U$2,FALSE)&gt;AB48,AB48,VLOOKUP(E48,'Pre-Assessment Estimator'!$E$11:$Z$228,'Pre-Assessment Estimator'!$U$2,FALSE)))</f>
        <v>0</v>
      </c>
      <c r="AM48" s="250"/>
      <c r="AN48" s="159"/>
      <c r="AO48" s="263"/>
      <c r="AP48" s="252"/>
      <c r="AQ48" s="253"/>
      <c r="AS48" s="251"/>
      <c r="AT48" s="252"/>
      <c r="AU48" s="252"/>
      <c r="AV48" s="252"/>
      <c r="AW48" s="253"/>
      <c r="AY48" s="160"/>
      <c r="AZ48" s="161"/>
      <c r="BA48" s="161"/>
      <c r="BB48" s="161"/>
      <c r="BC48" s="155"/>
      <c r="BD48" s="520">
        <f t="shared" si="94"/>
        <v>9</v>
      </c>
      <c r="BE48" s="45" t="str">
        <f t="shared" si="70"/>
        <v>N/A</v>
      </c>
      <c r="BF48" s="163"/>
      <c r="BG48" s="160">
        <f t="shared" si="95"/>
        <v>9</v>
      </c>
      <c r="BH48" s="45" t="str">
        <f t="shared" si="72"/>
        <v>N/A</v>
      </c>
      <c r="BI48" s="163"/>
      <c r="BJ48" s="160">
        <f t="shared" si="96"/>
        <v>9</v>
      </c>
      <c r="BK48" s="45" t="str">
        <f t="shared" si="73"/>
        <v>N/A</v>
      </c>
      <c r="BL48" s="163"/>
      <c r="BO48" s="43"/>
      <c r="BP48" s="43"/>
      <c r="BQ48" s="43" t="str">
        <f t="shared" si="15"/>
        <v/>
      </c>
      <c r="BR48" s="43">
        <f t="shared" si="54"/>
        <v>9</v>
      </c>
      <c r="BS48" s="43">
        <f t="shared" si="55"/>
        <v>9</v>
      </c>
      <c r="BT48" s="43">
        <f t="shared" si="56"/>
        <v>9</v>
      </c>
      <c r="BW48" s="43"/>
      <c r="BX48" s="43"/>
      <c r="BY48" s="61"/>
      <c r="BZ48" s="43"/>
      <c r="CA48" s="510"/>
      <c r="CB48" s="43"/>
      <c r="CE48" s="43"/>
      <c r="CG48" s="62"/>
    </row>
    <row r="49" spans="1:85" x14ac:dyDescent="0.25">
      <c r="A49">
        <v>41</v>
      </c>
      <c r="B49" t="str">
        <f t="shared" si="97"/>
        <v>Hea 02c</v>
      </c>
      <c r="D49" s="146" t="s">
        <v>677</v>
      </c>
      <c r="E49" s="1406" t="s">
        <v>1821</v>
      </c>
      <c r="F49" s="582">
        <v>2</v>
      </c>
      <c r="G49" s="582">
        <v>2</v>
      </c>
      <c r="H49" s="582">
        <v>2</v>
      </c>
      <c r="I49" s="582">
        <v>2</v>
      </c>
      <c r="J49" s="582">
        <v>2</v>
      </c>
      <c r="K49" s="582">
        <v>2</v>
      </c>
      <c r="L49" s="582">
        <v>2</v>
      </c>
      <c r="M49" s="582">
        <v>2</v>
      </c>
      <c r="N49" s="582">
        <v>2</v>
      </c>
      <c r="O49" s="582">
        <v>2</v>
      </c>
      <c r="P49" s="582">
        <v>2</v>
      </c>
      <c r="Q49" s="582">
        <v>2</v>
      </c>
      <c r="R49" s="582">
        <v>2</v>
      </c>
      <c r="T49" s="184">
        <f t="shared" si="65"/>
        <v>2</v>
      </c>
      <c r="U49" s="191">
        <f>IF(AND(ADBT0=ADBT1,ADIND_option03=AD_no),Poeng!T49,0)</f>
        <v>0</v>
      </c>
      <c r="V49" s="43"/>
      <c r="W49" s="43"/>
      <c r="X49" s="147"/>
      <c r="Y49" s="148">
        <f>IF($Y$4=$Y$6,1,0)</f>
        <v>0</v>
      </c>
      <c r="Z49" s="865">
        <f>VLOOKUP(B49,'Manuell filtrering og justering'!$A$7:$H$107,'Manuell filtrering og justering'!$H$1,FALSE)</f>
        <v>2</v>
      </c>
      <c r="AA49" s="148">
        <f t="shared" si="67"/>
        <v>0</v>
      </c>
      <c r="AB49" s="149">
        <f>IF($AC$5='Manuell filtrering og justering'!$J$2,Z49,(T49-AA49))</f>
        <v>2</v>
      </c>
      <c r="AD49" s="150">
        <f t="shared" si="68"/>
        <v>1.6842105263157894E-2</v>
      </c>
      <c r="AE49" s="150">
        <f t="shared" si="86"/>
        <v>0</v>
      </c>
      <c r="AF49" s="150">
        <f t="shared" si="87"/>
        <v>0</v>
      </c>
      <c r="AG49" s="150">
        <f t="shared" si="88"/>
        <v>0</v>
      </c>
      <c r="AI49" s="794">
        <f>IF(OR(AI236=AD_no),0,IF(VLOOKUP(E49,'Pre-Assessment Estimator'!$E$11:$Z$228,'Pre-Assessment Estimator'!$G$2,FALSE)&gt;AB49,AB49,VLOOKUP(E49,'Pre-Assessment Estimator'!$E$11:$Z$228,'Pre-Assessment Estimator'!$G$2,FALSE)))</f>
        <v>0</v>
      </c>
      <c r="AJ49" s="794">
        <f>IF(OR(AJ236=AD_no),0,IF(VLOOKUP(E49,'Pre-Assessment Estimator'!$E$11:$Z$228,'Pre-Assessment Estimator'!$N$2,FALSE)&gt;AB49,AB49,VLOOKUP(E49,'Pre-Assessment Estimator'!$E$11:$Z$228,'Pre-Assessment Estimator'!$N$2,FALSE)))</f>
        <v>0</v>
      </c>
      <c r="AK49" s="794">
        <f>IF(OR(AK236=AD_no),0,IF(VLOOKUP(E49,'Pre-Assessment Estimator'!$E$11:$Z$228,'Pre-Assessment Estimator'!$U$2,FALSE)&gt;AB49,AB49,VLOOKUP(E49,'Pre-Assessment Estimator'!$E$11:$Z$228,'Pre-Assessment Estimator'!$U$2,FALSE)))</f>
        <v>0</v>
      </c>
      <c r="AM49" s="250"/>
      <c r="AN49" s="159"/>
      <c r="AO49" s="1447">
        <f>IF(AND(Y4=Y3,AB49=0),0,IF(AND($Y$4&lt;&gt;$Y$3,Y49&gt;0),0,1))</f>
        <v>1</v>
      </c>
      <c r="AP49" s="893">
        <f>IF(AND(Y4=Y3,AB49=0),0,IF(AND($Y$4&lt;&gt;$Y$3,Y49&gt;0),0,2))</f>
        <v>2</v>
      </c>
      <c r="AQ49" s="895">
        <f>IF(AND(Y4=Y3,AB49=0),0,IF(AND($Y$4&lt;&gt;$Y$3,Y49&gt;0),0,2))</f>
        <v>2</v>
      </c>
      <c r="AR49" s="121"/>
      <c r="AS49" s="729"/>
      <c r="AT49" s="727"/>
      <c r="AU49" s="727">
        <v>1</v>
      </c>
      <c r="AV49" s="727">
        <v>2</v>
      </c>
      <c r="AW49" s="728">
        <v>2</v>
      </c>
      <c r="AY49" s="160"/>
      <c r="AZ49" s="161"/>
      <c r="BA49" s="161">
        <f>IF($E$6=$H$9,AU49,AO49)</f>
        <v>1</v>
      </c>
      <c r="BB49" s="161">
        <f>IF($E$6=$H$9,AV49,AP49)</f>
        <v>2</v>
      </c>
      <c r="BC49" s="155">
        <f>IF($E$6=$H$9,AW49,AQ49)</f>
        <v>2</v>
      </c>
      <c r="BD49" s="520">
        <f t="shared" si="94"/>
        <v>2</v>
      </c>
      <c r="BE49" s="45" t="str">
        <f t="shared" si="70"/>
        <v>Good</v>
      </c>
      <c r="BF49" s="163"/>
      <c r="BG49" s="160">
        <f t="shared" si="95"/>
        <v>2</v>
      </c>
      <c r="BH49" s="45" t="str">
        <f t="shared" si="72"/>
        <v>Good</v>
      </c>
      <c r="BI49" s="163"/>
      <c r="BJ49" s="160">
        <f t="shared" si="96"/>
        <v>2</v>
      </c>
      <c r="BK49" s="45" t="str">
        <f t="shared" si="73"/>
        <v>Good</v>
      </c>
      <c r="BL49" s="163"/>
      <c r="BO49" s="43"/>
      <c r="BP49" s="43">
        <v>2</v>
      </c>
      <c r="BQ49" s="43">
        <f t="shared" si="15"/>
        <v>2</v>
      </c>
      <c r="BR49" s="43">
        <f t="shared" si="54"/>
        <v>0</v>
      </c>
      <c r="BS49" s="43">
        <f t="shared" si="55"/>
        <v>0</v>
      </c>
      <c r="BT49" s="43">
        <f t="shared" si="56"/>
        <v>0</v>
      </c>
      <c r="BW49" s="43"/>
      <c r="BX49" s="43"/>
      <c r="BY49" s="61"/>
      <c r="BZ49" s="43"/>
      <c r="CA49" s="510"/>
      <c r="CB49" s="43"/>
      <c r="CE49" s="43"/>
      <c r="CG49" s="62"/>
    </row>
    <row r="50" spans="1:85" x14ac:dyDescent="0.25">
      <c r="A50">
        <v>42</v>
      </c>
      <c r="B50" t="str">
        <f t="shared" si="97"/>
        <v>Hea 02d</v>
      </c>
      <c r="D50" s="146" t="s">
        <v>675</v>
      </c>
      <c r="E50" s="826" t="s">
        <v>591</v>
      </c>
      <c r="F50" s="582">
        <v>1</v>
      </c>
      <c r="G50" s="582">
        <v>1</v>
      </c>
      <c r="H50" s="582">
        <v>1</v>
      </c>
      <c r="I50" s="582">
        <v>1</v>
      </c>
      <c r="J50" s="582">
        <v>1</v>
      </c>
      <c r="K50" s="582">
        <v>1</v>
      </c>
      <c r="L50" s="582">
        <v>1</v>
      </c>
      <c r="M50" s="582">
        <v>1</v>
      </c>
      <c r="N50" s="582">
        <v>1</v>
      </c>
      <c r="O50" s="582">
        <v>1</v>
      </c>
      <c r="P50" s="582">
        <v>1</v>
      </c>
      <c r="Q50" s="582">
        <v>1</v>
      </c>
      <c r="R50" s="582">
        <v>1</v>
      </c>
      <c r="T50" s="184">
        <f t="shared" si="65"/>
        <v>1</v>
      </c>
      <c r="U50" s="191">
        <f>IF(AND(ADBT0=ADBT1,ADIND_option03=AD_no),Poeng!T50,0)</f>
        <v>0</v>
      </c>
      <c r="V50" s="43"/>
      <c r="W50" s="43"/>
      <c r="X50" s="147"/>
      <c r="Y50" s="148">
        <f>IF(OR($Y$4=$Y$5,$Y$4=$Y$6),T50,0)</f>
        <v>0</v>
      </c>
      <c r="Z50" s="865">
        <f>VLOOKUP(B50,'Manuell filtrering og justering'!$A$7:$H$107,'Manuell filtrering og justering'!$H$1,FALSE)</f>
        <v>1</v>
      </c>
      <c r="AA50" s="148">
        <f t="shared" si="67"/>
        <v>0</v>
      </c>
      <c r="AB50" s="149">
        <f>IF($AC$5='Manuell filtrering og justering'!$J$2,Z50,(T50-AA50))</f>
        <v>1</v>
      </c>
      <c r="AD50" s="150">
        <f t="shared" si="68"/>
        <v>8.4210526315789472E-3</v>
      </c>
      <c r="AE50" s="150">
        <f t="shared" si="86"/>
        <v>0</v>
      </c>
      <c r="AF50" s="150">
        <f t="shared" si="87"/>
        <v>0</v>
      </c>
      <c r="AG50" s="150">
        <f t="shared" si="88"/>
        <v>0</v>
      </c>
      <c r="AI50" s="794">
        <f>IF(OR(AI236=AD_no),0,IF(VLOOKUP(E50,'Pre-Assessment Estimator'!$E$11:$Z$228,'Pre-Assessment Estimator'!$G$2,FALSE)&gt;AB50,AB50,VLOOKUP(E50,'Pre-Assessment Estimator'!$E$11:$Z$228,'Pre-Assessment Estimator'!$G$2,FALSE)))</f>
        <v>0</v>
      </c>
      <c r="AJ50" s="794">
        <f>IF(OR(AJ236=AD_no),0,IF(VLOOKUP(E50,'Pre-Assessment Estimator'!$E$11:$Z$228,'Pre-Assessment Estimator'!$N$2,FALSE)&gt;AB50,AB50,VLOOKUP(E50,'Pre-Assessment Estimator'!$E$11:$Z$228,'Pre-Assessment Estimator'!$N$2,FALSE)))</f>
        <v>0</v>
      </c>
      <c r="AK50" s="794">
        <f>IF(OR(AK236=AD_no),0,IF(VLOOKUP(E50,'Pre-Assessment Estimator'!$E$11:$Z$228,'Pre-Assessment Estimator'!$U$2,FALSE)&gt;AB50,AB50,VLOOKUP(E50,'Pre-Assessment Estimator'!$E$11:$Z$228,'Pre-Assessment Estimator'!$U$2,FALSE)))</f>
        <v>0</v>
      </c>
      <c r="AM50" s="250"/>
      <c r="AN50" s="159"/>
      <c r="AO50" s="263"/>
      <c r="AP50" s="252"/>
      <c r="AQ50" s="253"/>
      <c r="AS50" s="251"/>
      <c r="AT50" s="252"/>
      <c r="AU50" s="252"/>
      <c r="AV50" s="252"/>
      <c r="AW50" s="253"/>
      <c r="AY50" s="160"/>
      <c r="AZ50" s="161"/>
      <c r="BA50" s="161"/>
      <c r="BB50" s="161"/>
      <c r="BC50" s="155"/>
      <c r="BD50" s="520">
        <f t="shared" si="94"/>
        <v>9</v>
      </c>
      <c r="BE50" s="45" t="str">
        <f t="shared" si="70"/>
        <v>N/A</v>
      </c>
      <c r="BF50" s="163"/>
      <c r="BG50" s="160">
        <f t="shared" si="95"/>
        <v>9</v>
      </c>
      <c r="BH50" s="45" t="str">
        <f t="shared" si="72"/>
        <v>N/A</v>
      </c>
      <c r="BI50" s="163"/>
      <c r="BJ50" s="160">
        <f t="shared" si="96"/>
        <v>9</v>
      </c>
      <c r="BK50" s="45" t="str">
        <f t="shared" si="73"/>
        <v>N/A</v>
      </c>
      <c r="BL50" s="163"/>
      <c r="BO50" s="43"/>
      <c r="BP50" s="43"/>
      <c r="BQ50" s="43" t="str">
        <f t="shared" si="15"/>
        <v/>
      </c>
      <c r="BR50" s="43">
        <f t="shared" si="54"/>
        <v>9</v>
      </c>
      <c r="BS50" s="43">
        <f t="shared" si="55"/>
        <v>9</v>
      </c>
      <c r="BT50" s="43">
        <f t="shared" si="56"/>
        <v>9</v>
      </c>
      <c r="BW50" s="43"/>
      <c r="BX50" s="43"/>
      <c r="BY50" s="61"/>
      <c r="BZ50" s="43"/>
      <c r="CA50" s="510"/>
      <c r="CB50" s="43"/>
      <c r="CE50" s="43"/>
      <c r="CG50" s="62"/>
    </row>
    <row r="51" spans="1:85" x14ac:dyDescent="0.25">
      <c r="A51">
        <v>43</v>
      </c>
      <c r="B51" s="121" t="str">
        <f>D51</f>
        <v>Hea 03</v>
      </c>
      <c r="C51" s="121"/>
      <c r="D51" s="638" t="s">
        <v>113</v>
      </c>
      <c r="E51" s="636" t="s">
        <v>107</v>
      </c>
      <c r="F51" s="699">
        <f t="shared" ref="F51:R51" si="98">SUM(F52:F54)</f>
        <v>3</v>
      </c>
      <c r="G51" s="699">
        <f t="shared" si="98"/>
        <v>3</v>
      </c>
      <c r="H51" s="699">
        <f t="shared" si="98"/>
        <v>3</v>
      </c>
      <c r="I51" s="699">
        <f t="shared" si="98"/>
        <v>3</v>
      </c>
      <c r="J51" s="699">
        <f t="shared" si="98"/>
        <v>3</v>
      </c>
      <c r="K51" s="699">
        <f t="shared" si="98"/>
        <v>3</v>
      </c>
      <c r="L51" s="699">
        <f t="shared" si="98"/>
        <v>3</v>
      </c>
      <c r="M51" s="699">
        <f t="shared" si="98"/>
        <v>3</v>
      </c>
      <c r="N51" s="699">
        <f t="shared" si="98"/>
        <v>3</v>
      </c>
      <c r="O51" s="699">
        <f t="shared" si="98"/>
        <v>3</v>
      </c>
      <c r="P51" s="699">
        <f t="shared" si="98"/>
        <v>3</v>
      </c>
      <c r="Q51" s="699">
        <f t="shared" ref="Q51" si="99">SUM(Q52:Q54)</f>
        <v>3</v>
      </c>
      <c r="R51" s="699">
        <f t="shared" si="98"/>
        <v>3</v>
      </c>
      <c r="T51" s="717">
        <f t="shared" si="65"/>
        <v>3</v>
      </c>
      <c r="U51" s="191">
        <f>U52+U53+U54</f>
        <v>0</v>
      </c>
      <c r="V51" s="61"/>
      <c r="W51" s="61"/>
      <c r="X51" s="818">
        <f>'Manuell filtrering og justering'!E19</f>
        <v>0</v>
      </c>
      <c r="Y51" s="719"/>
      <c r="Z51" s="883">
        <f t="shared" ref="Z51" si="100">SUM(Z52:Z54)</f>
        <v>3</v>
      </c>
      <c r="AA51" s="719">
        <f t="shared" si="67"/>
        <v>0</v>
      </c>
      <c r="AB51" s="793">
        <f>SUM(AB52:AB54)</f>
        <v>3</v>
      </c>
      <c r="AD51" s="150">
        <f t="shared" si="68"/>
        <v>2.5263157894736842E-2</v>
      </c>
      <c r="AE51" s="687">
        <f>SUM(AE52:AE54)</f>
        <v>0</v>
      </c>
      <c r="AF51" s="687">
        <f t="shared" ref="AF51:AG51" si="101">SUM(AF52:AF54)</f>
        <v>0</v>
      </c>
      <c r="AG51" s="687">
        <f t="shared" si="101"/>
        <v>0</v>
      </c>
      <c r="AI51" s="714">
        <f t="shared" ref="AI51:AK51" si="102">SUM(AI52:AI54)</f>
        <v>0</v>
      </c>
      <c r="AJ51" s="714">
        <f t="shared" si="102"/>
        <v>0</v>
      </c>
      <c r="AK51" s="714">
        <f t="shared" si="102"/>
        <v>0</v>
      </c>
      <c r="AL51" t="s">
        <v>405</v>
      </c>
      <c r="AM51" s="251"/>
      <c r="AN51" s="252"/>
      <c r="AO51" s="252"/>
      <c r="AP51" s="252"/>
      <c r="AQ51" s="253"/>
      <c r="AS51" s="251"/>
      <c r="AT51" s="252"/>
      <c r="AU51" s="252"/>
      <c r="AV51" s="252"/>
      <c r="AW51" s="253"/>
      <c r="AY51" s="146"/>
      <c r="AZ51" s="43"/>
      <c r="BA51" s="43"/>
      <c r="BB51" s="43"/>
      <c r="BC51" s="147"/>
      <c r="BD51" s="520">
        <f t="shared" si="94"/>
        <v>9</v>
      </c>
      <c r="BE51" s="45" t="str">
        <f t="shared" si="70"/>
        <v>N/A</v>
      </c>
      <c r="BF51" s="163"/>
      <c r="BG51" s="160">
        <f t="shared" si="95"/>
        <v>9</v>
      </c>
      <c r="BH51" s="45" t="str">
        <f t="shared" si="72"/>
        <v>N/A</v>
      </c>
      <c r="BI51" s="163"/>
      <c r="BJ51" s="160">
        <f t="shared" si="96"/>
        <v>9</v>
      </c>
      <c r="BK51" s="45" t="str">
        <f t="shared" si="73"/>
        <v>N/A</v>
      </c>
      <c r="BL51" s="163"/>
      <c r="BO51" s="43"/>
      <c r="BP51" s="43"/>
      <c r="BQ51" s="43" t="str">
        <f t="shared" si="15"/>
        <v/>
      </c>
      <c r="BR51" s="43">
        <f t="shared" si="54"/>
        <v>9</v>
      </c>
      <c r="BS51" s="43">
        <f t="shared" si="55"/>
        <v>9</v>
      </c>
      <c r="BT51" s="43">
        <f t="shared" si="56"/>
        <v>9</v>
      </c>
      <c r="BW51" s="43" t="str">
        <f>D51</f>
        <v>Hea 03</v>
      </c>
      <c r="BX51" s="43" t="str">
        <f>IFERROR(VLOOKUP($E51,'Pre-Assessment Estimator'!$E$11:$AB$228,'Pre-Assessment Estimator'!AB$2,FALSE),"")</f>
        <v>No</v>
      </c>
      <c r="BY51" s="61" t="str">
        <f>IFERROR(VLOOKUP($E51,'Pre-Assessment Estimator'!$E$11:$AI$228,'Pre-Assessment Estimator'!AI$2,FALSE),"")</f>
        <v>Ja</v>
      </c>
      <c r="BZ51" s="43">
        <f>IFERROR(VLOOKUP($BX51,$E$294:$H$327,F$292,FALSE),"")</f>
        <v>1</v>
      </c>
      <c r="CA51" s="514" t="s">
        <v>410</v>
      </c>
      <c r="CB51" s="43"/>
      <c r="CC51" t="str">
        <f>IFERROR(VLOOKUP($BX51,$E$294:$H$327,I$292,FALSE),"")</f>
        <v/>
      </c>
      <c r="CD51" t="s">
        <v>416</v>
      </c>
      <c r="CE51" s="43">
        <f t="shared" si="74"/>
        <v>1</v>
      </c>
      <c r="CG51" s="62">
        <f>IF($BX$5=ais_nei,CE51,IF(AND(CA51=$CA$4,BX51=$CC$4),0,BZ51))</f>
        <v>1</v>
      </c>
    </row>
    <row r="52" spans="1:85" x14ac:dyDescent="0.25">
      <c r="A52">
        <v>44</v>
      </c>
      <c r="B52" t="str">
        <f t="shared" ref="B52:B54" si="103">$D$51&amp;D52</f>
        <v>Hea 03a</v>
      </c>
      <c r="D52" s="144" t="s">
        <v>673</v>
      </c>
      <c r="E52" s="826" t="s">
        <v>592</v>
      </c>
      <c r="F52" s="582">
        <v>1</v>
      </c>
      <c r="G52" s="582">
        <v>1</v>
      </c>
      <c r="H52" s="582">
        <v>1</v>
      </c>
      <c r="I52" s="582">
        <v>1</v>
      </c>
      <c r="J52" s="582">
        <v>1</v>
      </c>
      <c r="K52" s="582">
        <v>1</v>
      </c>
      <c r="L52" s="582">
        <v>1</v>
      </c>
      <c r="M52" s="582">
        <v>1</v>
      </c>
      <c r="N52" s="582">
        <v>1</v>
      </c>
      <c r="O52" s="582">
        <v>1</v>
      </c>
      <c r="P52" s="582">
        <v>1</v>
      </c>
      <c r="Q52" s="582">
        <v>1</v>
      </c>
      <c r="R52" s="582">
        <v>1</v>
      </c>
      <c r="T52" s="184">
        <f t="shared" si="65"/>
        <v>1</v>
      </c>
      <c r="U52" s="191">
        <f>IF(AND(ADBT0=ADBT1,ADIND_option03=AD_no),Poeng!T52,0)</f>
        <v>0</v>
      </c>
      <c r="V52" s="43"/>
      <c r="W52" s="43"/>
      <c r="X52" s="147"/>
      <c r="Y52" s="148">
        <f>IF($Y$4=$Y$6,T52,0)</f>
        <v>0</v>
      </c>
      <c r="Z52" s="865">
        <f>VLOOKUP(B52,'Manuell filtrering og justering'!$A$7:$H$107,'Manuell filtrering og justering'!$H$1,FALSE)</f>
        <v>1</v>
      </c>
      <c r="AA52" s="148">
        <f t="shared" si="67"/>
        <v>0</v>
      </c>
      <c r="AB52" s="149">
        <f>IF($AC$5='Manuell filtrering og justering'!$J$2,Z52,(T52-AA52))</f>
        <v>1</v>
      </c>
      <c r="AD52" s="150">
        <f t="shared" si="68"/>
        <v>8.4210526315789472E-3</v>
      </c>
      <c r="AE52" s="150">
        <f t="shared" si="86"/>
        <v>0</v>
      </c>
      <c r="AF52" s="150">
        <f t="shared" si="87"/>
        <v>0</v>
      </c>
      <c r="AG52" s="150">
        <f t="shared" si="88"/>
        <v>0</v>
      </c>
      <c r="AI52" s="151">
        <f>IF(VLOOKUP(E52,'Pre-Assessment Estimator'!$E$11:$Z$228,'Pre-Assessment Estimator'!$G$2,FALSE)&gt;AB52,AB52,VLOOKUP(E52,'Pre-Assessment Estimator'!$E$11:$Z$228,'Pre-Assessment Estimator'!$G$2,FALSE))</f>
        <v>0</v>
      </c>
      <c r="AJ52" s="151">
        <f>IF(VLOOKUP(E52,'Pre-Assessment Estimator'!$E$11:$Z$228,'Pre-Assessment Estimator'!$N$2,FALSE)&gt;AB52,AB52,VLOOKUP(E52,'Pre-Assessment Estimator'!$E$11:$Z$228,'Pre-Assessment Estimator'!$N$2,FALSE))</f>
        <v>0</v>
      </c>
      <c r="AK52" s="151">
        <f>IF(VLOOKUP(E52,'Pre-Assessment Estimator'!$E$11:$Z$228,'Pre-Assessment Estimator'!$U$2,FALSE)&gt;AB52,AB52,VLOOKUP(E52,'Pre-Assessment Estimator'!$E$11:$Z$228,'Pre-Assessment Estimator'!$U$2,FALSE))</f>
        <v>0</v>
      </c>
      <c r="AM52" s="251"/>
      <c r="AN52" s="252"/>
      <c r="AO52" s="252"/>
      <c r="AP52" s="252"/>
      <c r="AQ52" s="253"/>
      <c r="AS52" s="251"/>
      <c r="AT52" s="252"/>
      <c r="AU52" s="252"/>
      <c r="AV52" s="252"/>
      <c r="AW52" s="253"/>
      <c r="AY52" s="146"/>
      <c r="AZ52" s="43"/>
      <c r="BA52" s="43"/>
      <c r="BB52" s="43"/>
      <c r="BC52" s="147"/>
      <c r="BD52" s="520">
        <f t="shared" si="94"/>
        <v>9</v>
      </c>
      <c r="BE52" s="45" t="str">
        <f t="shared" si="70"/>
        <v>N/A</v>
      </c>
      <c r="BF52" s="163"/>
      <c r="BG52" s="160">
        <f t="shared" si="95"/>
        <v>9</v>
      </c>
      <c r="BH52" s="45" t="str">
        <f t="shared" si="72"/>
        <v>N/A</v>
      </c>
      <c r="BI52" s="163"/>
      <c r="BJ52" s="160">
        <f t="shared" si="96"/>
        <v>9</v>
      </c>
      <c r="BK52" s="45" t="str">
        <f t="shared" si="73"/>
        <v>N/A</v>
      </c>
      <c r="BL52" s="163"/>
      <c r="BO52" s="43"/>
      <c r="BP52" s="43"/>
      <c r="BQ52" s="43" t="str">
        <f t="shared" si="15"/>
        <v/>
      </c>
      <c r="BR52" s="43">
        <f t="shared" si="54"/>
        <v>9</v>
      </c>
      <c r="BS52" s="43">
        <f t="shared" si="55"/>
        <v>9</v>
      </c>
      <c r="BT52" s="43">
        <f t="shared" si="56"/>
        <v>9</v>
      </c>
      <c r="BW52" s="43"/>
      <c r="BX52" s="43"/>
      <c r="BY52" s="61"/>
      <c r="BZ52" s="43"/>
      <c r="CA52" s="514"/>
      <c r="CB52" s="43"/>
      <c r="CE52" s="43"/>
      <c r="CG52" s="62"/>
    </row>
    <row r="53" spans="1:85" x14ac:dyDescent="0.25">
      <c r="A53">
        <v>45</v>
      </c>
      <c r="B53" t="str">
        <f t="shared" si="103"/>
        <v>Hea 03b</v>
      </c>
      <c r="D53" s="144" t="s">
        <v>676</v>
      </c>
      <c r="E53" s="826" t="s">
        <v>593</v>
      </c>
      <c r="F53" s="582">
        <v>1</v>
      </c>
      <c r="G53" s="582">
        <v>1</v>
      </c>
      <c r="H53" s="582">
        <v>1</v>
      </c>
      <c r="I53" s="582">
        <v>1</v>
      </c>
      <c r="J53" s="582">
        <v>1</v>
      </c>
      <c r="K53" s="582">
        <v>1</v>
      </c>
      <c r="L53" s="582">
        <v>1</v>
      </c>
      <c r="M53" s="582">
        <v>1</v>
      </c>
      <c r="N53" s="582">
        <v>1</v>
      </c>
      <c r="O53" s="582">
        <v>1</v>
      </c>
      <c r="P53" s="582">
        <v>1</v>
      </c>
      <c r="Q53" s="582">
        <v>1</v>
      </c>
      <c r="R53" s="582">
        <v>1</v>
      </c>
      <c r="T53" s="184">
        <f t="shared" si="65"/>
        <v>1</v>
      </c>
      <c r="U53" s="191">
        <f>IF(AND(ADBT0=ADBT1,ADIND_option03=AD_no),Poeng!T53,0)</f>
        <v>0</v>
      </c>
      <c r="V53" s="43"/>
      <c r="W53" s="43"/>
      <c r="X53" s="147"/>
      <c r="Y53" s="148">
        <f>IF($Y$4=$Y$6,T53,0)</f>
        <v>0</v>
      </c>
      <c r="Z53" s="865">
        <f>VLOOKUP(B53,'Manuell filtrering og justering'!$A$7:$H$107,'Manuell filtrering og justering'!$H$1,FALSE)</f>
        <v>1</v>
      </c>
      <c r="AA53" s="148">
        <f t="shared" si="67"/>
        <v>0</v>
      </c>
      <c r="AB53" s="149">
        <f>IF($AC$5='Manuell filtrering og justering'!$J$2,Z53,(T53-AA53))</f>
        <v>1</v>
      </c>
      <c r="AD53" s="150">
        <f t="shared" si="68"/>
        <v>8.4210526315789472E-3</v>
      </c>
      <c r="AE53" s="150">
        <f t="shared" si="86"/>
        <v>0</v>
      </c>
      <c r="AF53" s="150">
        <f t="shared" si="87"/>
        <v>0</v>
      </c>
      <c r="AG53" s="150">
        <f t="shared" si="88"/>
        <v>0</v>
      </c>
      <c r="AI53" s="151">
        <f>IF(VLOOKUP(E53,'Pre-Assessment Estimator'!$E$11:$Z$228,'Pre-Assessment Estimator'!$G$2,FALSE)&gt;AB53,AB53,VLOOKUP(E53,'Pre-Assessment Estimator'!$E$11:$Z$228,'Pre-Assessment Estimator'!$G$2,FALSE))</f>
        <v>0</v>
      </c>
      <c r="AJ53" s="151">
        <f>IF(VLOOKUP(E53,'Pre-Assessment Estimator'!$E$11:$Z$228,'Pre-Assessment Estimator'!$N$2,FALSE)&gt;AB53,AB53,VLOOKUP(E53,'Pre-Assessment Estimator'!$E$11:$Z$228,'Pre-Assessment Estimator'!$N$2,FALSE))</f>
        <v>0</v>
      </c>
      <c r="AK53" s="151">
        <f>IF(VLOOKUP(E53,'Pre-Assessment Estimator'!$E$11:$Z$228,'Pre-Assessment Estimator'!$U$2,FALSE)&gt;AB53,AB53,VLOOKUP(E53,'Pre-Assessment Estimator'!$E$11:$Z$228,'Pre-Assessment Estimator'!$U$2,FALSE))</f>
        <v>0</v>
      </c>
      <c r="AM53" s="251"/>
      <c r="AN53" s="252"/>
      <c r="AO53" s="252"/>
      <c r="AP53" s="252"/>
      <c r="AQ53" s="253"/>
      <c r="AS53" s="251"/>
      <c r="AT53" s="252"/>
      <c r="AU53" s="252"/>
      <c r="AV53" s="252"/>
      <c r="AW53" s="253"/>
      <c r="AY53" s="146"/>
      <c r="AZ53" s="43"/>
      <c r="BA53" s="43"/>
      <c r="BB53" s="43"/>
      <c r="BC53" s="147"/>
      <c r="BD53" s="520">
        <f t="shared" si="94"/>
        <v>9</v>
      </c>
      <c r="BE53" s="45" t="str">
        <f t="shared" si="70"/>
        <v>N/A</v>
      </c>
      <c r="BF53" s="163"/>
      <c r="BG53" s="160">
        <f t="shared" si="95"/>
        <v>9</v>
      </c>
      <c r="BH53" s="45" t="str">
        <f t="shared" si="72"/>
        <v>N/A</v>
      </c>
      <c r="BI53" s="163"/>
      <c r="BJ53" s="160">
        <f t="shared" si="96"/>
        <v>9</v>
      </c>
      <c r="BK53" s="45" t="str">
        <f t="shared" si="73"/>
        <v>N/A</v>
      </c>
      <c r="BL53" s="163"/>
      <c r="BO53" s="43"/>
      <c r="BP53" s="43"/>
      <c r="BQ53" s="43" t="str">
        <f t="shared" si="15"/>
        <v/>
      </c>
      <c r="BR53" s="43">
        <f t="shared" si="54"/>
        <v>9</v>
      </c>
      <c r="BS53" s="43">
        <f t="shared" si="55"/>
        <v>9</v>
      </c>
      <c r="BT53" s="43">
        <f t="shared" si="56"/>
        <v>9</v>
      </c>
      <c r="BW53" s="43"/>
      <c r="BX53" s="43"/>
      <c r="BY53" s="61"/>
      <c r="BZ53" s="43"/>
      <c r="CA53" s="514"/>
      <c r="CB53" s="43"/>
      <c r="CE53" s="43"/>
      <c r="CG53" s="62"/>
    </row>
    <row r="54" spans="1:85" x14ac:dyDescent="0.25">
      <c r="A54">
        <v>46</v>
      </c>
      <c r="B54" t="str">
        <f t="shared" si="103"/>
        <v>Hea 03c</v>
      </c>
      <c r="D54" s="146" t="s">
        <v>677</v>
      </c>
      <c r="E54" s="826" t="s">
        <v>594</v>
      </c>
      <c r="F54" s="582">
        <v>1</v>
      </c>
      <c r="G54" s="582">
        <v>1</v>
      </c>
      <c r="H54" s="582">
        <v>1</v>
      </c>
      <c r="I54" s="582">
        <v>1</v>
      </c>
      <c r="J54" s="582">
        <v>1</v>
      </c>
      <c r="K54" s="582">
        <v>1</v>
      </c>
      <c r="L54" s="582">
        <v>1</v>
      </c>
      <c r="M54" s="582">
        <v>1</v>
      </c>
      <c r="N54" s="582">
        <v>1</v>
      </c>
      <c r="O54" s="582">
        <v>1</v>
      </c>
      <c r="P54" s="582">
        <v>1</v>
      </c>
      <c r="Q54" s="582">
        <v>1</v>
      </c>
      <c r="R54" s="582">
        <v>1</v>
      </c>
      <c r="T54" s="184">
        <f t="shared" si="65"/>
        <v>1</v>
      </c>
      <c r="U54" s="191">
        <f>IF(AND(ADBT0=ADBT1,ADIND_option03=AD_no),Poeng!T54,0)</f>
        <v>0</v>
      </c>
      <c r="V54" s="43"/>
      <c r="W54" s="43"/>
      <c r="X54" s="147"/>
      <c r="Y54" s="148">
        <f>IF(OR($Y$4=$Y$5,$Y$4=$Y$6),T54,0)</f>
        <v>0</v>
      </c>
      <c r="Z54" s="865">
        <f>VLOOKUP(B54,'Manuell filtrering og justering'!$A$7:$H$107,'Manuell filtrering og justering'!$H$1,FALSE)</f>
        <v>1</v>
      </c>
      <c r="AA54" s="148">
        <f t="shared" si="67"/>
        <v>0</v>
      </c>
      <c r="AB54" s="149">
        <f>IF($AC$5='Manuell filtrering og justering'!$J$2,Z54,(T54-AA54))</f>
        <v>1</v>
      </c>
      <c r="AD54" s="150">
        <f t="shared" si="68"/>
        <v>8.4210526315789472E-3</v>
      </c>
      <c r="AE54" s="150">
        <f t="shared" si="86"/>
        <v>0</v>
      </c>
      <c r="AF54" s="150">
        <f t="shared" si="87"/>
        <v>0</v>
      </c>
      <c r="AG54" s="150">
        <f t="shared" si="88"/>
        <v>0</v>
      </c>
      <c r="AI54" s="151">
        <f>IF(VLOOKUP(E54,'Pre-Assessment Estimator'!$E$11:$Z$228,'Pre-Assessment Estimator'!$G$2,FALSE)&gt;AB54,AB54,VLOOKUP(E54,'Pre-Assessment Estimator'!$E$11:$Z$228,'Pre-Assessment Estimator'!$G$2,FALSE))</f>
        <v>0</v>
      </c>
      <c r="AJ54" s="151">
        <f>IF(VLOOKUP(E54,'Pre-Assessment Estimator'!$E$11:$Z$228,'Pre-Assessment Estimator'!$N$2,FALSE)&gt;AB54,AB54,VLOOKUP(E54,'Pre-Assessment Estimator'!$E$11:$Z$228,'Pre-Assessment Estimator'!$N$2,FALSE))</f>
        <v>0</v>
      </c>
      <c r="AK54" s="151">
        <f>IF(VLOOKUP(E54,'Pre-Assessment Estimator'!$E$11:$Z$228,'Pre-Assessment Estimator'!$U$2,FALSE)&gt;AB54,AB54,VLOOKUP(E54,'Pre-Assessment Estimator'!$E$11:$Z$228,'Pre-Assessment Estimator'!$U$2,FALSE))</f>
        <v>0</v>
      </c>
      <c r="AM54" s="251"/>
      <c r="AN54" s="252"/>
      <c r="AO54" s="252"/>
      <c r="AP54" s="252"/>
      <c r="AQ54" s="253"/>
      <c r="AS54" s="251"/>
      <c r="AT54" s="252"/>
      <c r="AU54" s="252"/>
      <c r="AV54" s="252"/>
      <c r="AW54" s="253"/>
      <c r="AY54" s="146"/>
      <c r="AZ54" s="43"/>
      <c r="BA54" s="43"/>
      <c r="BB54" s="43"/>
      <c r="BC54" s="147"/>
      <c r="BD54" s="520">
        <f t="shared" si="94"/>
        <v>9</v>
      </c>
      <c r="BE54" s="45" t="str">
        <f t="shared" si="70"/>
        <v>N/A</v>
      </c>
      <c r="BF54" s="163"/>
      <c r="BG54" s="160">
        <f t="shared" si="95"/>
        <v>9</v>
      </c>
      <c r="BH54" s="45" t="str">
        <f t="shared" si="72"/>
        <v>N/A</v>
      </c>
      <c r="BI54" s="163"/>
      <c r="BJ54" s="160">
        <f t="shared" si="96"/>
        <v>9</v>
      </c>
      <c r="BK54" s="45" t="str">
        <f t="shared" si="73"/>
        <v>N/A</v>
      </c>
      <c r="BL54" s="163"/>
      <c r="BO54" s="43"/>
      <c r="BP54" s="43"/>
      <c r="BQ54" s="43" t="str">
        <f t="shared" si="15"/>
        <v/>
      </c>
      <c r="BR54" s="43">
        <f t="shared" si="54"/>
        <v>9</v>
      </c>
      <c r="BS54" s="43">
        <f t="shared" si="55"/>
        <v>9</v>
      </c>
      <c r="BT54" s="43">
        <f t="shared" si="56"/>
        <v>9</v>
      </c>
      <c r="BW54" s="43"/>
      <c r="BX54" s="43"/>
      <c r="BY54" s="61"/>
      <c r="BZ54" s="43"/>
      <c r="CA54" s="514"/>
      <c r="CB54" s="43"/>
      <c r="CE54" s="43"/>
      <c r="CG54" s="62"/>
    </row>
    <row r="55" spans="1:85" x14ac:dyDescent="0.25">
      <c r="A55">
        <v>47</v>
      </c>
      <c r="D55" s="523" t="s">
        <v>114</v>
      </c>
      <c r="E55" s="524"/>
      <c r="F55" s="701"/>
      <c r="G55" s="701"/>
      <c r="H55" s="701"/>
      <c r="I55" s="701"/>
      <c r="J55" s="701"/>
      <c r="K55" s="701"/>
      <c r="L55" s="701"/>
      <c r="M55" s="701"/>
      <c r="N55" s="701"/>
      <c r="O55" s="701"/>
      <c r="P55" s="701"/>
      <c r="Q55" s="701"/>
      <c r="R55" s="701"/>
      <c r="T55" s="718"/>
      <c r="U55" s="523"/>
      <c r="V55" s="522"/>
      <c r="W55" s="522"/>
      <c r="X55" s="711"/>
      <c r="Y55" s="712"/>
      <c r="Z55" s="865"/>
      <c r="AA55" s="712"/>
      <c r="AB55" s="713"/>
      <c r="AD55" s="150">
        <f t="shared" si="68"/>
        <v>0</v>
      </c>
      <c r="AE55" s="716"/>
      <c r="AF55" s="716"/>
      <c r="AG55" s="716"/>
      <c r="AI55" s="537"/>
      <c r="AJ55" s="537"/>
      <c r="AK55" s="537"/>
      <c r="AL55" t="s">
        <v>405</v>
      </c>
      <c r="AM55" s="251"/>
      <c r="AN55" s="252"/>
      <c r="AO55" s="252"/>
      <c r="AP55" s="252"/>
      <c r="AQ55" s="253"/>
      <c r="AS55" s="251"/>
      <c r="AT55" s="252"/>
      <c r="AU55" s="252"/>
      <c r="AV55" s="252"/>
      <c r="AW55" s="253"/>
      <c r="AY55" s="146"/>
      <c r="AZ55" s="43"/>
      <c r="BA55" s="43"/>
      <c r="BB55" s="43"/>
      <c r="BC55" s="147"/>
      <c r="BD55" s="520">
        <f t="shared" si="94"/>
        <v>9</v>
      </c>
      <c r="BE55" s="45" t="str">
        <f t="shared" si="70"/>
        <v>N/A</v>
      </c>
      <c r="BF55" s="163"/>
      <c r="BG55" s="160">
        <f t="shared" si="95"/>
        <v>9</v>
      </c>
      <c r="BH55" s="45" t="str">
        <f t="shared" si="72"/>
        <v>N/A</v>
      </c>
      <c r="BI55" s="163"/>
      <c r="BJ55" s="160">
        <f t="shared" si="96"/>
        <v>9</v>
      </c>
      <c r="BK55" s="45" t="str">
        <f t="shared" si="73"/>
        <v>N/A</v>
      </c>
      <c r="BL55" s="163"/>
      <c r="BO55" s="43"/>
      <c r="BP55" s="43"/>
      <c r="BQ55" s="43" t="str">
        <f t="shared" si="15"/>
        <v/>
      </c>
      <c r="BR55" s="43">
        <f t="shared" si="54"/>
        <v>9</v>
      </c>
      <c r="BS55" s="43">
        <f t="shared" si="55"/>
        <v>9</v>
      </c>
      <c r="BT55" s="43">
        <f t="shared" si="56"/>
        <v>9</v>
      </c>
      <c r="BW55" s="43" t="str">
        <f>D55</f>
        <v>Hea 04</v>
      </c>
      <c r="BX55" s="43" t="str">
        <f>IFERROR(VLOOKUP($E55,'Pre-Assessment Estimator'!$E$11:$AB$228,'Pre-Assessment Estimator'!AB$2,FALSE),"")</f>
        <v/>
      </c>
      <c r="BY55" s="61" t="str">
        <f>IFERROR(VLOOKUP($E55,'Pre-Assessment Estimator'!$E$11:$AI$228,'Pre-Assessment Estimator'!AI$2,FALSE),"")</f>
        <v/>
      </c>
      <c r="BZ55" s="43" t="str">
        <f>IFERROR(VLOOKUP($BX55,$E$294:$H$327,F$292,FALSE),"")</f>
        <v/>
      </c>
      <c r="CA55" s="514" t="s">
        <v>410</v>
      </c>
      <c r="CB55" s="43"/>
      <c r="CC55" t="str">
        <f>IFERROR(VLOOKUP($BX55,$E$294:$H$327,I$292,FALSE),"")</f>
        <v/>
      </c>
      <c r="CD55" t="s">
        <v>416</v>
      </c>
      <c r="CE55" s="43">
        <f t="shared" si="74"/>
        <v>1</v>
      </c>
      <c r="CG55" s="62">
        <f>IF($BX$5=ais_nei,CE55,IF(AND(CA55=$CA$4,BX55=$CC$4),0,BZ55))</f>
        <v>1</v>
      </c>
    </row>
    <row r="56" spans="1:85" x14ac:dyDescent="0.25">
      <c r="A56">
        <v>48</v>
      </c>
      <c r="B56" s="121" t="str">
        <f>D56</f>
        <v>Hea 05</v>
      </c>
      <c r="C56" s="121"/>
      <c r="D56" s="638" t="s">
        <v>115</v>
      </c>
      <c r="E56" s="636" t="s">
        <v>121</v>
      </c>
      <c r="F56" s="699">
        <f t="shared" ref="F56:R56" si="104">SUM(F57:F58)</f>
        <v>3</v>
      </c>
      <c r="G56" s="699">
        <f t="shared" si="104"/>
        <v>3</v>
      </c>
      <c r="H56" s="699">
        <f t="shared" si="104"/>
        <v>4</v>
      </c>
      <c r="I56" s="699">
        <f t="shared" si="104"/>
        <v>3</v>
      </c>
      <c r="J56" s="699">
        <f t="shared" si="104"/>
        <v>3</v>
      </c>
      <c r="K56" s="699">
        <f t="shared" si="104"/>
        <v>3</v>
      </c>
      <c r="L56" s="699">
        <f t="shared" si="104"/>
        <v>3</v>
      </c>
      <c r="M56" s="699">
        <f t="shared" si="104"/>
        <v>4</v>
      </c>
      <c r="N56" s="699">
        <f t="shared" si="104"/>
        <v>4</v>
      </c>
      <c r="O56" s="699">
        <f t="shared" si="104"/>
        <v>3</v>
      </c>
      <c r="P56" s="699">
        <f t="shared" si="104"/>
        <v>3</v>
      </c>
      <c r="Q56" s="699">
        <f t="shared" ref="Q56" si="105">SUM(Q57:Q58)</f>
        <v>3</v>
      </c>
      <c r="R56" s="699">
        <f t="shared" si="104"/>
        <v>3</v>
      </c>
      <c r="S56" s="504" t="s">
        <v>553</v>
      </c>
      <c r="T56" s="717">
        <f t="shared" ref="T56:T61" si="106">HLOOKUP($E$6,$F$9:$R$231,$A56,FALSE)</f>
        <v>3</v>
      </c>
      <c r="U56" s="191"/>
      <c r="V56" s="61"/>
      <c r="W56" s="61"/>
      <c r="X56" s="818">
        <f>'Manuell filtrering og justering'!E21</f>
        <v>0</v>
      </c>
      <c r="Y56" s="719"/>
      <c r="Z56" s="883">
        <f t="shared" ref="Z56" si="107">SUM(Z57:Z58)</f>
        <v>4</v>
      </c>
      <c r="AA56" s="719">
        <f t="shared" ref="AA56:AA61" si="108">IF(SUM(U56:Y56)&gt;T56,T56,SUM(U56:Y56))</f>
        <v>0</v>
      </c>
      <c r="AB56" s="793">
        <f t="shared" ref="AB56" si="109">SUM(AB57:AB58)</f>
        <v>3</v>
      </c>
      <c r="AD56" s="150">
        <f t="shared" si="68"/>
        <v>2.5263157894736842E-2</v>
      </c>
      <c r="AE56" s="687">
        <f>SUM(AE57:AE58)</f>
        <v>0</v>
      </c>
      <c r="AF56" s="687">
        <f t="shared" ref="AF56:AG56" si="110">SUM(AF57:AF58)</f>
        <v>0</v>
      </c>
      <c r="AG56" s="687">
        <f t="shared" si="110"/>
        <v>0</v>
      </c>
      <c r="AI56" s="714">
        <f t="shared" ref="AI56:AK56" si="111">SUM(AI57:AI58)</f>
        <v>0</v>
      </c>
      <c r="AJ56" s="714">
        <f t="shared" si="111"/>
        <v>0</v>
      </c>
      <c r="AK56" s="714">
        <f t="shared" si="111"/>
        <v>0</v>
      </c>
      <c r="AM56" s="251"/>
      <c r="AN56" s="252"/>
      <c r="AO56" s="252"/>
      <c r="AP56" s="252"/>
      <c r="AQ56" s="253"/>
      <c r="AS56" s="251"/>
      <c r="AT56" s="252"/>
      <c r="AU56" s="252"/>
      <c r="AV56" s="252"/>
      <c r="AW56" s="253"/>
      <c r="AY56" s="146"/>
      <c r="AZ56" s="43"/>
      <c r="BA56" s="43"/>
      <c r="BB56" s="43"/>
      <c r="BC56" s="147"/>
      <c r="BD56" s="520">
        <f t="shared" si="94"/>
        <v>9</v>
      </c>
      <c r="BE56" s="45" t="str">
        <f t="shared" si="70"/>
        <v>N/A</v>
      </c>
      <c r="BF56" s="163"/>
      <c r="BG56" s="160">
        <f t="shared" si="95"/>
        <v>9</v>
      </c>
      <c r="BH56" s="45" t="str">
        <f t="shared" si="72"/>
        <v>N/A</v>
      </c>
      <c r="BI56" s="163"/>
      <c r="BJ56" s="160">
        <f t="shared" si="96"/>
        <v>9</v>
      </c>
      <c r="BK56" s="45" t="str">
        <f t="shared" si="73"/>
        <v>N/A</v>
      </c>
      <c r="BL56" s="163"/>
      <c r="BO56" s="43"/>
      <c r="BP56" s="43"/>
      <c r="BQ56" s="43" t="str">
        <f t="shared" si="15"/>
        <v/>
      </c>
      <c r="BR56" s="43">
        <f t="shared" si="54"/>
        <v>9</v>
      </c>
      <c r="BS56" s="43">
        <f t="shared" si="55"/>
        <v>9</v>
      </c>
      <c r="BT56" s="43">
        <f t="shared" si="56"/>
        <v>9</v>
      </c>
      <c r="BW56" s="43" t="str">
        <f>D56</f>
        <v>Hea 05</v>
      </c>
      <c r="BX56" s="43" t="str">
        <f>IFERROR(VLOOKUP($E56,'Pre-Assessment Estimator'!$E$11:$AB$228,'Pre-Assessment Estimator'!AB$2,FALSE),"")</f>
        <v>No</v>
      </c>
      <c r="BY56" s="43">
        <f>IFERROR(VLOOKUP($E56,'Pre-Assessment Estimator'!$E$11:$AI$228,'Pre-Assessment Estimator'!AI$2,FALSE),"")</f>
        <v>0</v>
      </c>
      <c r="BZ56" s="43">
        <f>IFERROR(VLOOKUP($BX56,$E$294:$H$327,F$292,FALSE),"")</f>
        <v>1</v>
      </c>
      <c r="CA56" s="43">
        <f>IFERROR(VLOOKUP($BX56,$E$294:$H$327,G$292,FALSE),"")</f>
        <v>0</v>
      </c>
      <c r="CB56" s="43"/>
      <c r="CC56" t="str">
        <f>IFERROR(VLOOKUP($BX56,$E$294:$H$327,I$292,FALSE),"")</f>
        <v/>
      </c>
    </row>
    <row r="57" spans="1:85" x14ac:dyDescent="0.25">
      <c r="A57">
        <v>49</v>
      </c>
      <c r="D57" s="144" t="s">
        <v>673</v>
      </c>
      <c r="E57" s="705" t="s">
        <v>595</v>
      </c>
      <c r="F57" s="580"/>
      <c r="G57" s="580"/>
      <c r="H57" s="580"/>
      <c r="I57" s="580"/>
      <c r="J57" s="580"/>
      <c r="K57" s="580"/>
      <c r="L57" s="580"/>
      <c r="M57" s="580"/>
      <c r="N57" s="580"/>
      <c r="O57" s="580"/>
      <c r="P57" s="580"/>
      <c r="Q57" s="580"/>
      <c r="R57" s="580"/>
      <c r="S57" s="504"/>
      <c r="T57" s="184">
        <f t="shared" si="106"/>
        <v>0</v>
      </c>
      <c r="U57" s="146"/>
      <c r="V57" s="43"/>
      <c r="W57" s="43"/>
      <c r="X57" s="147"/>
      <c r="Y57" s="148"/>
      <c r="Z57" s="865"/>
      <c r="AA57" s="148">
        <f t="shared" si="108"/>
        <v>0</v>
      </c>
      <c r="AB57" s="149">
        <f>IF($AC$5='Manuell filtrering og justering'!$J$2,Z57,(T57-AA57))</f>
        <v>0</v>
      </c>
      <c r="AD57" s="150">
        <f t="shared" si="68"/>
        <v>0</v>
      </c>
      <c r="AE57" s="150">
        <f t="shared" si="86"/>
        <v>0</v>
      </c>
      <c r="AF57" s="150">
        <f t="shared" si="87"/>
        <v>0</v>
      </c>
      <c r="AG57" s="150">
        <f t="shared" si="88"/>
        <v>0</v>
      </c>
      <c r="AI57" s="151">
        <f>IF(VLOOKUP(E57,'Pre-Assessment Estimator'!$E$11:$Z$228,'Pre-Assessment Estimator'!$G$2,FALSE)&gt;AB57,AB57,VLOOKUP(E57,'Pre-Assessment Estimator'!$E$11:$Z$228,'Pre-Assessment Estimator'!$G$2,FALSE))</f>
        <v>0</v>
      </c>
      <c r="AJ57" s="151">
        <f>IF(VLOOKUP(E57,'Pre-Assessment Estimator'!$E$11:$Z$228,'Pre-Assessment Estimator'!$N$2,FALSE)&gt;AB57,AB57,VLOOKUP(E57,'Pre-Assessment Estimator'!$E$11:$Z$228,'Pre-Assessment Estimator'!$N$2,FALSE))</f>
        <v>0</v>
      </c>
      <c r="AK57" s="151">
        <f>IF(VLOOKUP(E57,'Pre-Assessment Estimator'!$E$11:$Z$228,'Pre-Assessment Estimator'!$U$2,FALSE)&gt;AB57,AB57,VLOOKUP(E57,'Pre-Assessment Estimator'!$E$11:$Z$228,'Pre-Assessment Estimator'!$U$2,FALSE))</f>
        <v>0</v>
      </c>
      <c r="AM57" s="251"/>
      <c r="AN57" s="252"/>
      <c r="AO57" s="252"/>
      <c r="AP57" s="252"/>
      <c r="AQ57" s="253"/>
      <c r="AS57" s="251"/>
      <c r="AT57" s="252"/>
      <c r="AU57" s="252"/>
      <c r="AV57" s="252"/>
      <c r="AW57" s="253"/>
      <c r="AY57" s="146"/>
      <c r="AZ57" s="43"/>
      <c r="BA57" s="43"/>
      <c r="BB57" s="43"/>
      <c r="BC57" s="147"/>
      <c r="BD57" s="520">
        <f t="shared" si="94"/>
        <v>9</v>
      </c>
      <c r="BE57" s="45" t="str">
        <f t="shared" si="70"/>
        <v>N/A</v>
      </c>
      <c r="BF57" s="163"/>
      <c r="BG57" s="160">
        <f t="shared" si="95"/>
        <v>9</v>
      </c>
      <c r="BH57" s="45" t="str">
        <f t="shared" si="72"/>
        <v>N/A</v>
      </c>
      <c r="BI57" s="163"/>
      <c r="BJ57" s="160">
        <f t="shared" si="96"/>
        <v>9</v>
      </c>
      <c r="BK57" s="45" t="str">
        <f t="shared" si="73"/>
        <v>N/A</v>
      </c>
      <c r="BL57" s="163"/>
      <c r="BO57" s="43"/>
      <c r="BP57" s="43"/>
      <c r="BQ57" s="43" t="str">
        <f t="shared" si="15"/>
        <v/>
      </c>
      <c r="BR57" s="43">
        <f t="shared" si="54"/>
        <v>9</v>
      </c>
      <c r="BS57" s="43">
        <f t="shared" si="55"/>
        <v>9</v>
      </c>
      <c r="BT57" s="43">
        <f t="shared" si="56"/>
        <v>9</v>
      </c>
      <c r="BW57" s="43"/>
      <c r="BX57" s="43"/>
      <c r="BY57" s="43"/>
      <c r="BZ57" s="43"/>
      <c r="CA57" s="43"/>
      <c r="CB57" s="43"/>
    </row>
    <row r="58" spans="1:85" x14ac:dyDescent="0.25">
      <c r="A58">
        <v>50</v>
      </c>
      <c r="B58" t="str">
        <f t="shared" ref="B58" si="112">$D$56&amp;D58</f>
        <v>Hea 05b</v>
      </c>
      <c r="D58" s="144" t="s">
        <v>676</v>
      </c>
      <c r="E58" s="826" t="s">
        <v>596</v>
      </c>
      <c r="F58" s="582">
        <v>3</v>
      </c>
      <c r="G58" s="582">
        <v>3</v>
      </c>
      <c r="H58" s="759">
        <v>4</v>
      </c>
      <c r="I58" s="582">
        <v>3</v>
      </c>
      <c r="J58" s="582">
        <v>3</v>
      </c>
      <c r="K58" s="582">
        <v>3</v>
      </c>
      <c r="L58" s="582">
        <v>3</v>
      </c>
      <c r="M58" s="759">
        <v>4</v>
      </c>
      <c r="N58" s="759">
        <v>4</v>
      </c>
      <c r="O58" s="582">
        <v>3</v>
      </c>
      <c r="P58" s="582">
        <v>3</v>
      </c>
      <c r="Q58" s="582">
        <v>3</v>
      </c>
      <c r="R58" s="582">
        <v>3</v>
      </c>
      <c r="S58" s="504"/>
      <c r="T58" s="184">
        <f t="shared" si="106"/>
        <v>3</v>
      </c>
      <c r="U58" s="146"/>
      <c r="V58" s="43"/>
      <c r="W58" s="43"/>
      <c r="X58" s="147"/>
      <c r="Y58" s="148">
        <f>IF($Y$4=$Y$6,T58,0)</f>
        <v>0</v>
      </c>
      <c r="Z58" s="865">
        <f>VLOOKUP(B58,'Manuell filtrering og justering'!$A$7:$H$107,'Manuell filtrering og justering'!$H$1,FALSE)</f>
        <v>4</v>
      </c>
      <c r="AA58" s="148">
        <f t="shared" si="108"/>
        <v>0</v>
      </c>
      <c r="AB58" s="149">
        <f>IF($AC$5='Manuell filtrering og justering'!$J$2,Z58,(T58-AA58))</f>
        <v>3</v>
      </c>
      <c r="AD58" s="150">
        <f t="shared" si="68"/>
        <v>2.5263157894736842E-2</v>
      </c>
      <c r="AE58" s="150">
        <f t="shared" si="86"/>
        <v>0</v>
      </c>
      <c r="AF58" s="150">
        <f t="shared" si="87"/>
        <v>0</v>
      </c>
      <c r="AG58" s="150">
        <f t="shared" si="88"/>
        <v>0</v>
      </c>
      <c r="AI58" s="794">
        <f>IF(AI237=AD_no,0,IF(VLOOKUP(E58,'Pre-Assessment Estimator'!$E$11:$Z$228,'Pre-Assessment Estimator'!$G$2,FALSE)&gt;AB58,AB58,VLOOKUP(E58,'Pre-Assessment Estimator'!$E$11:$Z$228,'Pre-Assessment Estimator'!$G$2,FALSE)))</f>
        <v>0</v>
      </c>
      <c r="AJ58" s="794">
        <f>IF(AJ237=AD_no,0,IF(VLOOKUP(E58,'Pre-Assessment Estimator'!$E$11:$Z$228,'Pre-Assessment Estimator'!$N$2,FALSE)&gt;AB58,AB58,VLOOKUP(E58,'Pre-Assessment Estimator'!$E$11:$Z$228,'Pre-Assessment Estimator'!$N$2,FALSE)))</f>
        <v>0</v>
      </c>
      <c r="AK58" s="794">
        <f>IF(AK237=AD_no,0,IF(VLOOKUP(E58,'Pre-Assessment Estimator'!$E$11:$Z$228,'Pre-Assessment Estimator'!$U$2,FALSE)&gt;AB58,AB58,VLOOKUP(E58,'Pre-Assessment Estimator'!$E$11:$Z$228,'Pre-Assessment Estimator'!$U$2,FALSE)))</f>
        <v>0</v>
      </c>
      <c r="AM58" s="251"/>
      <c r="AN58" s="252"/>
      <c r="AO58" s="252"/>
      <c r="AP58" s="252"/>
      <c r="AQ58" s="253"/>
      <c r="AS58" s="251"/>
      <c r="AT58" s="252"/>
      <c r="AU58" s="252"/>
      <c r="AV58" s="252"/>
      <c r="AW58" s="253"/>
      <c r="AY58" s="146"/>
      <c r="AZ58" s="43"/>
      <c r="BA58" s="43"/>
      <c r="BB58" s="43"/>
      <c r="BC58" s="147"/>
      <c r="BD58" s="520">
        <f t="shared" si="94"/>
        <v>9</v>
      </c>
      <c r="BE58" s="45" t="str">
        <f t="shared" si="70"/>
        <v>N/A</v>
      </c>
      <c r="BF58" s="163"/>
      <c r="BG58" s="160">
        <f t="shared" si="95"/>
        <v>9</v>
      </c>
      <c r="BH58" s="45" t="str">
        <f t="shared" si="72"/>
        <v>N/A</v>
      </c>
      <c r="BI58" s="163"/>
      <c r="BJ58" s="160">
        <f t="shared" si="96"/>
        <v>9</v>
      </c>
      <c r="BK58" s="45" t="str">
        <f t="shared" si="73"/>
        <v>N/A</v>
      </c>
      <c r="BL58" s="163"/>
      <c r="BO58" s="43"/>
      <c r="BP58" s="43"/>
      <c r="BQ58" s="43" t="str">
        <f t="shared" si="15"/>
        <v/>
      </c>
      <c r="BR58" s="43">
        <f t="shared" si="54"/>
        <v>9</v>
      </c>
      <c r="BS58" s="43">
        <f t="shared" si="55"/>
        <v>9</v>
      </c>
      <c r="BT58" s="43">
        <f t="shared" si="56"/>
        <v>9</v>
      </c>
      <c r="BW58" s="43"/>
      <c r="BX58" s="43"/>
      <c r="BY58" s="43"/>
      <c r="BZ58" s="43"/>
      <c r="CA58" s="43"/>
      <c r="CB58" s="43"/>
    </row>
    <row r="59" spans="1:85" x14ac:dyDescent="0.25">
      <c r="A59">
        <v>51</v>
      </c>
      <c r="B59" s="121" t="str">
        <f>D59</f>
        <v>Hea 06</v>
      </c>
      <c r="C59" s="121"/>
      <c r="D59" s="638" t="s">
        <v>116</v>
      </c>
      <c r="E59" s="636" t="s">
        <v>108</v>
      </c>
      <c r="F59" s="699">
        <f t="shared" ref="F59:R59" si="113">SUM(F60:F61)</f>
        <v>2</v>
      </c>
      <c r="G59" s="699">
        <f t="shared" si="113"/>
        <v>2</v>
      </c>
      <c r="H59" s="699">
        <f t="shared" si="113"/>
        <v>3</v>
      </c>
      <c r="I59" s="699">
        <f t="shared" si="113"/>
        <v>2</v>
      </c>
      <c r="J59" s="699">
        <f t="shared" si="113"/>
        <v>2</v>
      </c>
      <c r="K59" s="699">
        <f t="shared" si="113"/>
        <v>2</v>
      </c>
      <c r="L59" s="699">
        <f t="shared" si="113"/>
        <v>2</v>
      </c>
      <c r="M59" s="699">
        <f t="shared" si="113"/>
        <v>3</v>
      </c>
      <c r="N59" s="699">
        <f t="shared" si="113"/>
        <v>2</v>
      </c>
      <c r="O59" s="699">
        <f t="shared" si="113"/>
        <v>2</v>
      </c>
      <c r="P59" s="699">
        <f t="shared" si="113"/>
        <v>2</v>
      </c>
      <c r="Q59" s="699">
        <f t="shared" ref="Q59" si="114">SUM(Q60:Q61)</f>
        <v>2</v>
      </c>
      <c r="R59" s="699">
        <f t="shared" si="113"/>
        <v>2</v>
      </c>
      <c r="S59" s="715" t="s">
        <v>554</v>
      </c>
      <c r="T59" s="717">
        <f t="shared" si="106"/>
        <v>2</v>
      </c>
      <c r="U59" s="191"/>
      <c r="V59" s="61"/>
      <c r="W59" s="61"/>
      <c r="X59" s="818">
        <f>'Manuell filtrering og justering'!E22</f>
        <v>0</v>
      </c>
      <c r="Y59" s="719"/>
      <c r="Z59" s="883">
        <f t="shared" ref="Z59" si="115">SUM(Z60:Z61)</f>
        <v>3</v>
      </c>
      <c r="AA59" s="719">
        <f t="shared" si="108"/>
        <v>0</v>
      </c>
      <c r="AB59" s="793">
        <f t="shared" ref="AB59" si="116">SUM(AB60:AB61)</f>
        <v>2</v>
      </c>
      <c r="AD59" s="150">
        <f t="shared" si="68"/>
        <v>1.6842105263157894E-2</v>
      </c>
      <c r="AE59" s="687">
        <f>SUM(AE60:AE61)</f>
        <v>0</v>
      </c>
      <c r="AF59" s="687">
        <f t="shared" ref="AF59:AG59" si="117">SUM(AF60:AF62)</f>
        <v>0</v>
      </c>
      <c r="AG59" s="687">
        <f t="shared" si="117"/>
        <v>0</v>
      </c>
      <c r="AI59" s="714">
        <f t="shared" ref="AI59:AK59" si="118">SUM(AI60:AI61)</f>
        <v>0</v>
      </c>
      <c r="AJ59" s="714">
        <f t="shared" si="118"/>
        <v>0</v>
      </c>
      <c r="AK59" s="714">
        <f t="shared" si="118"/>
        <v>0</v>
      </c>
      <c r="AM59" s="251"/>
      <c r="AN59" s="252"/>
      <c r="AO59" s="252"/>
      <c r="AP59" s="252"/>
      <c r="AQ59" s="253"/>
      <c r="AS59" s="251"/>
      <c r="AT59" s="252"/>
      <c r="AU59" s="252"/>
      <c r="AV59" s="252"/>
      <c r="AW59" s="253"/>
      <c r="AY59" s="146"/>
      <c r="AZ59" s="43"/>
      <c r="BA59" s="43"/>
      <c r="BB59" s="43"/>
      <c r="BC59" s="147"/>
      <c r="BD59" s="520">
        <f t="shared" si="94"/>
        <v>9</v>
      </c>
      <c r="BE59" s="45" t="str">
        <f t="shared" si="70"/>
        <v>N/A</v>
      </c>
      <c r="BF59" s="163"/>
      <c r="BG59" s="160">
        <f t="shared" si="95"/>
        <v>9</v>
      </c>
      <c r="BH59" s="45" t="str">
        <f t="shared" si="72"/>
        <v>N/A</v>
      </c>
      <c r="BI59" s="163"/>
      <c r="BJ59" s="160">
        <f t="shared" si="96"/>
        <v>9</v>
      </c>
      <c r="BK59" s="45" t="str">
        <f t="shared" si="73"/>
        <v>N/A</v>
      </c>
      <c r="BL59" s="163"/>
      <c r="BO59" s="43"/>
      <c r="BP59" s="43"/>
      <c r="BQ59" s="43" t="str">
        <f t="shared" si="15"/>
        <v/>
      </c>
      <c r="BR59" s="43">
        <f t="shared" si="54"/>
        <v>9</v>
      </c>
      <c r="BS59" s="43">
        <f t="shared" si="55"/>
        <v>9</v>
      </c>
      <c r="BT59" s="43">
        <f t="shared" si="56"/>
        <v>9</v>
      </c>
      <c r="BW59" s="43" t="str">
        <f>D59</f>
        <v>Hea 06</v>
      </c>
      <c r="BX59" s="43" t="str">
        <f>IFERROR(VLOOKUP($E59,'Pre-Assessment Estimator'!$E$11:$AB$228,'Pre-Assessment Estimator'!AB$2,FALSE),"")</f>
        <v>N/A</v>
      </c>
      <c r="BY59" s="43">
        <f>IFERROR(VLOOKUP($E59,'Pre-Assessment Estimator'!$E$11:$AI$228,'Pre-Assessment Estimator'!AI$2,FALSE),"")</f>
        <v>0</v>
      </c>
      <c r="BZ59" s="43">
        <f>IFERROR(VLOOKUP($BX59,$E$294:$H$327,F$292,FALSE),"")</f>
        <v>1</v>
      </c>
      <c r="CA59" s="43">
        <f>IFERROR(VLOOKUP($BX59,$E$294:$H$327,G$292,FALSE),"")</f>
        <v>0</v>
      </c>
      <c r="CB59" s="43"/>
      <c r="CC59" t="str">
        <f>IFERROR(VLOOKUP($BX59,$E$294:$H$327,I$292,FALSE),"")</f>
        <v/>
      </c>
    </row>
    <row r="60" spans="1:85" x14ac:dyDescent="0.25">
      <c r="A60">
        <v>52</v>
      </c>
      <c r="B60" t="str">
        <f t="shared" ref="B60:B61" si="119">$D$59&amp;D60</f>
        <v>Hea 06a</v>
      </c>
      <c r="D60" s="144" t="s">
        <v>673</v>
      </c>
      <c r="E60" s="826" t="s">
        <v>597</v>
      </c>
      <c r="F60" s="582">
        <v>1</v>
      </c>
      <c r="G60" s="582">
        <v>1</v>
      </c>
      <c r="H60" s="759">
        <v>2</v>
      </c>
      <c r="I60" s="582">
        <v>1</v>
      </c>
      <c r="J60" s="582">
        <v>1</v>
      </c>
      <c r="K60" s="582">
        <v>1</v>
      </c>
      <c r="L60" s="582">
        <v>1</v>
      </c>
      <c r="M60" s="759">
        <v>2</v>
      </c>
      <c r="N60" s="582">
        <v>1</v>
      </c>
      <c r="O60" s="582">
        <v>1</v>
      </c>
      <c r="P60" s="582">
        <v>1</v>
      </c>
      <c r="Q60" s="582">
        <v>1</v>
      </c>
      <c r="R60" s="582">
        <v>1</v>
      </c>
      <c r="S60" s="607"/>
      <c r="T60" s="184">
        <f t="shared" si="106"/>
        <v>1</v>
      </c>
      <c r="U60" s="146">
        <f>IF(AND(T60=2,ADBT0=ADBT16,'Assessment Details'!F6&lt;&gt;'Assessment Details'!Z7),1,0)</f>
        <v>0</v>
      </c>
      <c r="V60" s="43"/>
      <c r="W60" s="43"/>
      <c r="X60" s="147"/>
      <c r="Y60" s="148">
        <f>IF($Y$4=$Y$6,T60,0)</f>
        <v>0</v>
      </c>
      <c r="Z60" s="865">
        <f>VLOOKUP(B60,'Manuell filtrering og justering'!$A$7:$H$107,'Manuell filtrering og justering'!$H$1,FALSE)</f>
        <v>2</v>
      </c>
      <c r="AA60" s="148">
        <f t="shared" si="108"/>
        <v>0</v>
      </c>
      <c r="AB60" s="149">
        <f>IF($AC$5='Manuell filtrering og justering'!$J$2,Z60,(T60-AA60))</f>
        <v>1</v>
      </c>
      <c r="AD60" s="150">
        <f t="shared" si="68"/>
        <v>8.4210526315789472E-3</v>
      </c>
      <c r="AE60" s="150">
        <f t="shared" si="86"/>
        <v>0</v>
      </c>
      <c r="AF60" s="150">
        <f t="shared" si="87"/>
        <v>0</v>
      </c>
      <c r="AG60" s="150">
        <f t="shared" si="88"/>
        <v>0</v>
      </c>
      <c r="AI60" s="151">
        <f>IF(VLOOKUP(E60,'Pre-Assessment Estimator'!$E$11:$Z$228,'Pre-Assessment Estimator'!$G$2,FALSE)&gt;AB60,AB60,VLOOKUP(E60,'Pre-Assessment Estimator'!$E$11:$Z$228,'Pre-Assessment Estimator'!$G$2,FALSE))</f>
        <v>0</v>
      </c>
      <c r="AJ60" s="151">
        <f>IF(VLOOKUP(E60,'Pre-Assessment Estimator'!$E$11:$Z$228,'Pre-Assessment Estimator'!$N$2,FALSE)&gt;AB60,AB60,VLOOKUP(E60,'Pre-Assessment Estimator'!$E$11:$Z$228,'Pre-Assessment Estimator'!$N$2,FALSE))</f>
        <v>0</v>
      </c>
      <c r="AK60" s="151">
        <f>IF(VLOOKUP(E60,'Pre-Assessment Estimator'!$E$11:$Z$228,'Pre-Assessment Estimator'!$U$2,FALSE)&gt;AB60,AB60,VLOOKUP(E60,'Pre-Assessment Estimator'!$E$11:$Z$228,'Pre-Assessment Estimator'!$U$2,FALSE))</f>
        <v>0</v>
      </c>
      <c r="AM60" s="251"/>
      <c r="AN60" s="252"/>
      <c r="AO60" s="252"/>
      <c r="AP60" s="252"/>
      <c r="AQ60" s="253"/>
      <c r="AS60" s="251"/>
      <c r="AT60" s="252"/>
      <c r="AU60" s="252"/>
      <c r="AV60" s="252"/>
      <c r="AW60" s="253"/>
      <c r="AY60" s="146"/>
      <c r="AZ60" s="43"/>
      <c r="BA60" s="43"/>
      <c r="BB60" s="43"/>
      <c r="BC60" s="147"/>
      <c r="BD60" s="520">
        <f t="shared" si="94"/>
        <v>9</v>
      </c>
      <c r="BE60" s="45" t="str">
        <f t="shared" si="70"/>
        <v>N/A</v>
      </c>
      <c r="BF60" s="163"/>
      <c r="BG60" s="160">
        <f t="shared" si="95"/>
        <v>9</v>
      </c>
      <c r="BH60" s="45" t="str">
        <f t="shared" si="72"/>
        <v>N/A</v>
      </c>
      <c r="BI60" s="163"/>
      <c r="BJ60" s="160">
        <f t="shared" si="96"/>
        <v>9</v>
      </c>
      <c r="BK60" s="45" t="str">
        <f t="shared" si="73"/>
        <v>N/A</v>
      </c>
      <c r="BL60" s="163"/>
      <c r="BO60" s="43"/>
      <c r="BP60" s="43"/>
      <c r="BQ60" s="43" t="str">
        <f t="shared" si="15"/>
        <v/>
      </c>
      <c r="BR60" s="43">
        <f t="shared" si="54"/>
        <v>9</v>
      </c>
      <c r="BS60" s="43">
        <f t="shared" si="55"/>
        <v>9</v>
      </c>
      <c r="BT60" s="43">
        <f t="shared" si="56"/>
        <v>9</v>
      </c>
      <c r="BW60" s="43"/>
      <c r="BX60" s="43"/>
      <c r="BY60" s="43"/>
      <c r="BZ60" s="43"/>
      <c r="CA60" s="43"/>
      <c r="CB60" s="43"/>
    </row>
    <row r="61" spans="1:85" x14ac:dyDescent="0.25">
      <c r="A61">
        <v>53</v>
      </c>
      <c r="B61" t="str">
        <f t="shared" si="119"/>
        <v>Hea 06b</v>
      </c>
      <c r="D61" s="144" t="s">
        <v>676</v>
      </c>
      <c r="E61" s="826" t="s">
        <v>598</v>
      </c>
      <c r="F61" s="582">
        <v>1</v>
      </c>
      <c r="G61" s="582">
        <v>1</v>
      </c>
      <c r="H61" s="582">
        <v>1</v>
      </c>
      <c r="I61" s="582">
        <v>1</v>
      </c>
      <c r="J61" s="582">
        <v>1</v>
      </c>
      <c r="K61" s="582">
        <v>1</v>
      </c>
      <c r="L61" s="582">
        <v>1</v>
      </c>
      <c r="M61" s="582">
        <v>1</v>
      </c>
      <c r="N61" s="582">
        <v>1</v>
      </c>
      <c r="O61" s="582">
        <v>1</v>
      </c>
      <c r="P61" s="582">
        <v>1</v>
      </c>
      <c r="Q61" s="582">
        <v>1</v>
      </c>
      <c r="R61" s="582">
        <v>1</v>
      </c>
      <c r="S61" s="607"/>
      <c r="T61" s="184">
        <f t="shared" si="106"/>
        <v>1</v>
      </c>
      <c r="U61" s="146"/>
      <c r="V61" s="43"/>
      <c r="W61" s="43"/>
      <c r="X61" s="147"/>
      <c r="Y61" s="148">
        <f>IF(OR($Y$4=$Y$5,$Y$4=$Y$6),T61,0)</f>
        <v>0</v>
      </c>
      <c r="Z61" s="865">
        <f>VLOOKUP(B61,'Manuell filtrering og justering'!$A$7:$H$107,'Manuell filtrering og justering'!$H$1,FALSE)</f>
        <v>1</v>
      </c>
      <c r="AA61" s="148">
        <f t="shared" si="108"/>
        <v>0</v>
      </c>
      <c r="AB61" s="149">
        <f>IF($AC$5='Manuell filtrering og justering'!$J$2,Z61,(T61-AA61))</f>
        <v>1</v>
      </c>
      <c r="AD61" s="150">
        <f t="shared" si="68"/>
        <v>8.4210526315789472E-3</v>
      </c>
      <c r="AE61" s="150">
        <f t="shared" si="86"/>
        <v>0</v>
      </c>
      <c r="AF61" s="150">
        <f t="shared" si="87"/>
        <v>0</v>
      </c>
      <c r="AG61" s="150">
        <f t="shared" si="88"/>
        <v>0</v>
      </c>
      <c r="AI61" s="151">
        <f>IF(VLOOKUP(E61,'Pre-Assessment Estimator'!$E$11:$Z$228,'Pre-Assessment Estimator'!$G$2,FALSE)&gt;AB61,AB61,VLOOKUP(E61,'Pre-Assessment Estimator'!$E$11:$Z$228,'Pre-Assessment Estimator'!$G$2,FALSE))</f>
        <v>0</v>
      </c>
      <c r="AJ61" s="151">
        <f>IF(VLOOKUP(E61,'Pre-Assessment Estimator'!$E$11:$Z$228,'Pre-Assessment Estimator'!$N$2,FALSE)&gt;AB61,AB61,VLOOKUP(E61,'Pre-Assessment Estimator'!$E$11:$Z$228,'Pre-Assessment Estimator'!$N$2,FALSE))</f>
        <v>0</v>
      </c>
      <c r="AK61" s="151">
        <f>IF(VLOOKUP(E61,'Pre-Assessment Estimator'!$E$11:$Z$228,'Pre-Assessment Estimator'!$U$2,FALSE)&gt;AB61,AB61,VLOOKUP(E61,'Pre-Assessment Estimator'!$E$11:$Z$228,'Pre-Assessment Estimator'!$U$2,FALSE))</f>
        <v>0</v>
      </c>
      <c r="AM61" s="251"/>
      <c r="AN61" s="252"/>
      <c r="AO61" s="252"/>
      <c r="AP61" s="252"/>
      <c r="AQ61" s="253"/>
      <c r="AS61" s="251"/>
      <c r="AT61" s="252"/>
      <c r="AU61" s="252"/>
      <c r="AV61" s="252"/>
      <c r="AW61" s="253"/>
      <c r="AY61" s="146"/>
      <c r="AZ61" s="43"/>
      <c r="BA61" s="43"/>
      <c r="BB61" s="43"/>
      <c r="BC61" s="147"/>
      <c r="BD61" s="520">
        <f t="shared" si="94"/>
        <v>9</v>
      </c>
      <c r="BE61" s="45" t="str">
        <f t="shared" si="70"/>
        <v>N/A</v>
      </c>
      <c r="BF61" s="163"/>
      <c r="BG61" s="160">
        <f t="shared" si="95"/>
        <v>9</v>
      </c>
      <c r="BH61" s="45" t="str">
        <f t="shared" si="72"/>
        <v>N/A</v>
      </c>
      <c r="BI61" s="163"/>
      <c r="BJ61" s="160">
        <f t="shared" si="96"/>
        <v>9</v>
      </c>
      <c r="BK61" s="45" t="str">
        <f t="shared" si="73"/>
        <v>N/A</v>
      </c>
      <c r="BL61" s="163"/>
      <c r="BO61" s="43"/>
      <c r="BP61" s="43"/>
      <c r="BQ61" s="43" t="str">
        <f t="shared" si="15"/>
        <v/>
      </c>
      <c r="BR61" s="43">
        <f t="shared" si="54"/>
        <v>9</v>
      </c>
      <c r="BS61" s="43">
        <f t="shared" si="55"/>
        <v>9</v>
      </c>
      <c r="BT61" s="43">
        <f t="shared" si="56"/>
        <v>9</v>
      </c>
      <c r="BW61" s="43"/>
      <c r="BX61" s="43"/>
      <c r="BY61" s="43"/>
      <c r="BZ61" s="43"/>
      <c r="CA61" s="43"/>
      <c r="CB61" s="43"/>
    </row>
    <row r="62" spans="1:85" x14ac:dyDescent="0.25">
      <c r="A62">
        <v>54</v>
      </c>
      <c r="D62" s="523" t="s">
        <v>117</v>
      </c>
      <c r="E62" s="522"/>
      <c r="F62" s="701"/>
      <c r="G62" s="701"/>
      <c r="H62" s="701"/>
      <c r="I62" s="701"/>
      <c r="J62" s="701"/>
      <c r="K62" s="701"/>
      <c r="L62" s="701"/>
      <c r="M62" s="701"/>
      <c r="N62" s="701"/>
      <c r="O62" s="701"/>
      <c r="P62" s="701"/>
      <c r="Q62" s="701"/>
      <c r="R62" s="701"/>
      <c r="T62" s="718"/>
      <c r="U62" s="523"/>
      <c r="V62" s="522"/>
      <c r="W62" s="522"/>
      <c r="X62" s="711"/>
      <c r="Y62" s="712"/>
      <c r="Z62" s="865"/>
      <c r="AA62" s="712"/>
      <c r="AB62" s="713"/>
      <c r="AD62" s="150">
        <f t="shared" si="68"/>
        <v>0</v>
      </c>
      <c r="AE62" s="716"/>
      <c r="AF62" s="716"/>
      <c r="AG62" s="716"/>
      <c r="AI62" s="537"/>
      <c r="AJ62" s="537"/>
      <c r="AK62" s="537"/>
      <c r="AM62" s="251"/>
      <c r="AN62" s="252"/>
      <c r="AO62" s="252"/>
      <c r="AP62" s="252"/>
      <c r="AQ62" s="253"/>
      <c r="AS62" s="251"/>
      <c r="AT62" s="252"/>
      <c r="AU62" s="252"/>
      <c r="AV62" s="252"/>
      <c r="AW62" s="253"/>
      <c r="AY62" s="146"/>
      <c r="AZ62" s="43"/>
      <c r="BA62" s="43"/>
      <c r="BB62" s="43"/>
      <c r="BC62" s="147"/>
      <c r="BD62" s="520">
        <f t="shared" si="94"/>
        <v>9</v>
      </c>
      <c r="BE62" s="45" t="str">
        <f t="shared" si="70"/>
        <v>N/A</v>
      </c>
      <c r="BF62" s="163"/>
      <c r="BG62" s="160">
        <f t="shared" si="95"/>
        <v>9</v>
      </c>
      <c r="BH62" s="45" t="str">
        <f t="shared" si="72"/>
        <v>N/A</v>
      </c>
      <c r="BI62" s="163"/>
      <c r="BJ62" s="160">
        <f t="shared" si="96"/>
        <v>9</v>
      </c>
      <c r="BK62" s="45" t="str">
        <f t="shared" si="73"/>
        <v>N/A</v>
      </c>
      <c r="BL62" s="163"/>
      <c r="BO62" s="43"/>
      <c r="BP62" s="43"/>
      <c r="BQ62" s="43" t="str">
        <f t="shared" si="15"/>
        <v/>
      </c>
      <c r="BR62" s="43">
        <f t="shared" si="54"/>
        <v>9</v>
      </c>
      <c r="BS62" s="43">
        <f t="shared" si="55"/>
        <v>9</v>
      </c>
      <c r="BT62" s="43">
        <f t="shared" si="56"/>
        <v>9</v>
      </c>
      <c r="BW62" s="43" t="str">
        <f>D62</f>
        <v>Hea 07</v>
      </c>
      <c r="BX62" s="43" t="str">
        <f>IFERROR(VLOOKUP($E62,'Pre-Assessment Estimator'!$E$11:$AB$228,'Pre-Assessment Estimator'!AB$2,FALSE),"")</f>
        <v/>
      </c>
      <c r="BY62" s="43" t="str">
        <f>IFERROR(VLOOKUP($E62,'Pre-Assessment Estimator'!$E$11:$AI$228,'Pre-Assessment Estimator'!AI$2,FALSE),"")</f>
        <v/>
      </c>
      <c r="BZ62" s="43" t="str">
        <f>IFERROR(VLOOKUP($BX62,$E$294:$H$327,F$292,FALSE),"")</f>
        <v/>
      </c>
      <c r="CA62" s="43" t="str">
        <f>IFERROR(VLOOKUP($BX62,$E$294:$H$327,G$292,FALSE),"")</f>
        <v/>
      </c>
      <c r="CB62" s="43"/>
      <c r="CC62" t="str">
        <f>IFERROR(VLOOKUP($BX62,$E$294:$H$327,I$292,FALSE),"")</f>
        <v/>
      </c>
    </row>
    <row r="63" spans="1:85" x14ac:dyDescent="0.25">
      <c r="A63">
        <v>55</v>
      </c>
      <c r="B63" s="121" t="str">
        <f>D63</f>
        <v>Hea 08</v>
      </c>
      <c r="C63" s="121"/>
      <c r="D63" s="638" t="s">
        <v>118</v>
      </c>
      <c r="E63" s="636" t="s">
        <v>110</v>
      </c>
      <c r="F63" s="699">
        <f t="shared" ref="F63:R63" si="120">SUM(F64:F65)</f>
        <v>0</v>
      </c>
      <c r="G63" s="699">
        <f t="shared" si="120"/>
        <v>0</v>
      </c>
      <c r="H63" s="699">
        <f t="shared" si="120"/>
        <v>1</v>
      </c>
      <c r="I63" s="699">
        <f t="shared" si="120"/>
        <v>0</v>
      </c>
      <c r="J63" s="699">
        <f t="shared" si="120"/>
        <v>0</v>
      </c>
      <c r="K63" s="699">
        <f t="shared" si="120"/>
        <v>0</v>
      </c>
      <c r="L63" s="699">
        <f t="shared" si="120"/>
        <v>0</v>
      </c>
      <c r="M63" s="699">
        <f t="shared" si="120"/>
        <v>0</v>
      </c>
      <c r="N63" s="699">
        <f t="shared" si="120"/>
        <v>0</v>
      </c>
      <c r="O63" s="699">
        <f t="shared" si="120"/>
        <v>0</v>
      </c>
      <c r="P63" s="699">
        <f t="shared" si="120"/>
        <v>0</v>
      </c>
      <c r="Q63" s="699">
        <f t="shared" ref="Q63" si="121">SUM(Q64:Q65)</f>
        <v>0</v>
      </c>
      <c r="R63" s="699">
        <f t="shared" si="120"/>
        <v>0</v>
      </c>
      <c r="T63" s="717">
        <f>HLOOKUP($E$6,$F$9:$R$231,$A63,FALSE)</f>
        <v>0</v>
      </c>
      <c r="U63" s="191"/>
      <c r="V63" s="61"/>
      <c r="W63" s="61"/>
      <c r="X63" s="818">
        <f>'Manuell filtrering og justering'!E24</f>
        <v>0</v>
      </c>
      <c r="Y63" s="719"/>
      <c r="Z63" s="883">
        <f t="shared" ref="Z63" si="122">SUM(Z64:Z65)</f>
        <v>1</v>
      </c>
      <c r="AA63" s="719">
        <f>IF(SUM(U63:Y63)&gt;T63,T63,SUM(U63:Y63))</f>
        <v>0</v>
      </c>
      <c r="AB63" s="793">
        <f>SUM(AB64)</f>
        <v>0</v>
      </c>
      <c r="AD63" s="150">
        <f t="shared" si="68"/>
        <v>0</v>
      </c>
      <c r="AE63" s="687">
        <f>SUM(AE64)</f>
        <v>0</v>
      </c>
      <c r="AF63" s="687">
        <f t="shared" ref="AF63:AG63" si="123">SUM(AF64)</f>
        <v>0</v>
      </c>
      <c r="AG63" s="687">
        <f t="shared" si="123"/>
        <v>0</v>
      </c>
      <c r="AI63" s="714">
        <f t="shared" ref="AI63:AK63" si="124">SUM(AI64:AI65)</f>
        <v>0</v>
      </c>
      <c r="AJ63" s="714">
        <f t="shared" si="124"/>
        <v>0</v>
      </c>
      <c r="AK63" s="714">
        <f t="shared" si="124"/>
        <v>0</v>
      </c>
      <c r="AM63" s="250"/>
      <c r="AN63" s="159"/>
      <c r="AO63" s="159"/>
      <c r="AP63" s="159"/>
      <c r="AQ63" s="164"/>
      <c r="AS63" s="250"/>
      <c r="AT63" s="159"/>
      <c r="AU63" s="159"/>
      <c r="AV63" s="159"/>
      <c r="AW63" s="253"/>
      <c r="AY63" s="160"/>
      <c r="AZ63" s="161"/>
      <c r="BA63" s="161"/>
      <c r="BB63" s="161"/>
      <c r="BC63" s="165"/>
      <c r="BD63" s="520">
        <f t="shared" si="94"/>
        <v>9</v>
      </c>
      <c r="BE63" s="45" t="str">
        <f t="shared" si="70"/>
        <v>N/A</v>
      </c>
      <c r="BF63" s="163"/>
      <c r="BG63" s="160">
        <f t="shared" si="95"/>
        <v>9</v>
      </c>
      <c r="BH63" s="45" t="str">
        <f t="shared" si="72"/>
        <v>N/A</v>
      </c>
      <c r="BI63" s="163"/>
      <c r="BJ63" s="160">
        <f t="shared" si="96"/>
        <v>9</v>
      </c>
      <c r="BK63" s="45" t="str">
        <f t="shared" si="73"/>
        <v>N/A</v>
      </c>
      <c r="BL63" s="163"/>
      <c r="BO63" s="730"/>
      <c r="BP63" s="43"/>
      <c r="BQ63" s="43" t="str">
        <f t="shared" si="15"/>
        <v/>
      </c>
      <c r="BR63" s="43">
        <f t="shared" si="54"/>
        <v>9</v>
      </c>
      <c r="BS63" s="43">
        <f t="shared" si="55"/>
        <v>9</v>
      </c>
      <c r="BT63" s="43">
        <f t="shared" si="56"/>
        <v>9</v>
      </c>
      <c r="BW63" s="43" t="str">
        <f>D63</f>
        <v>Hea 08</v>
      </c>
      <c r="BX63" s="43" t="str">
        <f>IFERROR(VLOOKUP($E63,'Pre-Assessment Estimator'!$E$11:$AB$228,'Pre-Assessment Estimator'!AB$2,FALSE),"")</f>
        <v>N/A</v>
      </c>
      <c r="BY63" s="43">
        <f>IFERROR(VLOOKUP($E63,'Pre-Assessment Estimator'!$E$11:$AI$228,'Pre-Assessment Estimator'!AI$2,FALSE),"")</f>
        <v>0</v>
      </c>
      <c r="BZ63" s="43">
        <f>IFERROR(VLOOKUP($BX63,$E$294:$H$327,F$292,FALSE),"")</f>
        <v>1</v>
      </c>
      <c r="CA63" s="43">
        <f>IFERROR(VLOOKUP($BX63,$E$294:$H$327,G$292,FALSE),"")</f>
        <v>0</v>
      </c>
      <c r="CB63" s="43"/>
      <c r="CC63" t="str">
        <f>IFERROR(VLOOKUP($BX63,$E$294:$H$327,I$292,FALSE),"")</f>
        <v/>
      </c>
    </row>
    <row r="64" spans="1:85" x14ac:dyDescent="0.25">
      <c r="A64">
        <v>56</v>
      </c>
      <c r="B64" t="str">
        <f>$D$63&amp;D64</f>
        <v>Hea 08a</v>
      </c>
      <c r="D64" s="167" t="s">
        <v>673</v>
      </c>
      <c r="E64" s="826" t="s">
        <v>599</v>
      </c>
      <c r="F64" s="584">
        <v>0</v>
      </c>
      <c r="G64" s="584">
        <v>0</v>
      </c>
      <c r="H64" s="584">
        <v>1</v>
      </c>
      <c r="I64" s="584">
        <v>0</v>
      </c>
      <c r="J64" s="584">
        <v>0</v>
      </c>
      <c r="K64" s="584">
        <v>0</v>
      </c>
      <c r="L64" s="584">
        <v>0</v>
      </c>
      <c r="M64" s="584">
        <v>0</v>
      </c>
      <c r="N64" s="584">
        <v>0</v>
      </c>
      <c r="O64" s="584">
        <v>0</v>
      </c>
      <c r="P64" s="584">
        <v>0</v>
      </c>
      <c r="Q64" s="584">
        <v>0</v>
      </c>
      <c r="R64" s="584">
        <v>0</v>
      </c>
      <c r="T64" s="184">
        <f>HLOOKUP($E$6,$F$9:$R$231,$A64,FALSE)</f>
        <v>0</v>
      </c>
      <c r="U64" s="146"/>
      <c r="V64" s="43"/>
      <c r="W64" s="43"/>
      <c r="X64" s="147"/>
      <c r="Y64" s="148"/>
      <c r="Z64" s="865">
        <f>VLOOKUP(B64,'Manuell filtrering og justering'!$A$7:$H$107,'Manuell filtrering og justering'!$H$1,FALSE)</f>
        <v>1</v>
      </c>
      <c r="AA64" s="148">
        <f>IF(SUM(U64:Y64)&gt;T64,T64,SUM(U64:Y64))</f>
        <v>0</v>
      </c>
      <c r="AB64" s="149">
        <f>IF($AC$5='Manuell filtrering og justering'!$J$2,Z64,(T64-AA64))</f>
        <v>0</v>
      </c>
      <c r="AD64" s="150">
        <f t="shared" si="68"/>
        <v>0</v>
      </c>
      <c r="AE64" s="150">
        <f t="shared" si="86"/>
        <v>0</v>
      </c>
      <c r="AF64" s="150">
        <f t="shared" si="87"/>
        <v>0</v>
      </c>
      <c r="AG64" s="150">
        <f t="shared" si="88"/>
        <v>0</v>
      </c>
      <c r="AI64" s="151">
        <f>IF(VLOOKUP(E64,'Pre-Assessment Estimator'!$E$11:$Z$228,'Pre-Assessment Estimator'!$G$2,FALSE)&gt;AB64,AB64,VLOOKUP(E64,'Pre-Assessment Estimator'!$E$11:$Z$228,'Pre-Assessment Estimator'!$G$2,FALSE))</f>
        <v>0</v>
      </c>
      <c r="AJ64" s="151">
        <f>IF(VLOOKUP(E64,'Pre-Assessment Estimator'!$E$11:$Z$228,'Pre-Assessment Estimator'!$N$2,FALSE)&gt;AB64,AB64,VLOOKUP(E64,'Pre-Assessment Estimator'!$E$11:$Z$228,'Pre-Assessment Estimator'!$N$2,FALSE))</f>
        <v>0</v>
      </c>
      <c r="AK64" s="151">
        <f>IF(VLOOKUP(E64,'Pre-Assessment Estimator'!$E$11:$Z$228,'Pre-Assessment Estimator'!$U$2,FALSE)&gt;AB64,AB64,VLOOKUP(E64,'Pre-Assessment Estimator'!$E$11:$Z$228,'Pre-Assessment Estimator'!$U$2,FALSE))</f>
        <v>0</v>
      </c>
      <c r="AM64" s="643"/>
      <c r="AN64" s="644"/>
      <c r="AO64" s="644"/>
      <c r="AP64" s="644"/>
      <c r="AQ64" s="645"/>
      <c r="AS64" s="643"/>
      <c r="AT64" s="644"/>
      <c r="AU64" s="644"/>
      <c r="AV64" s="644"/>
      <c r="AW64" s="646"/>
      <c r="AY64" s="647"/>
      <c r="AZ64" s="648"/>
      <c r="BA64" s="648"/>
      <c r="BB64" s="648"/>
      <c r="BC64" s="649"/>
      <c r="BD64" s="520">
        <f t="shared" si="94"/>
        <v>9</v>
      </c>
      <c r="BE64" s="45" t="str">
        <f t="shared" si="70"/>
        <v>N/A</v>
      </c>
      <c r="BF64" s="163"/>
      <c r="BG64" s="160">
        <f t="shared" si="95"/>
        <v>9</v>
      </c>
      <c r="BH64" s="45" t="str">
        <f t="shared" si="72"/>
        <v>N/A</v>
      </c>
      <c r="BI64" s="163"/>
      <c r="BJ64" s="160">
        <f t="shared" si="96"/>
        <v>9</v>
      </c>
      <c r="BK64" s="45" t="str">
        <f t="shared" si="73"/>
        <v>N/A</v>
      </c>
      <c r="BL64" s="650"/>
      <c r="BO64" s="730"/>
      <c r="BP64" s="43"/>
      <c r="BQ64" s="43" t="str">
        <f t="shared" si="15"/>
        <v/>
      </c>
      <c r="BR64" s="43">
        <f t="shared" si="54"/>
        <v>9</v>
      </c>
      <c r="BS64" s="43">
        <f t="shared" si="55"/>
        <v>9</v>
      </c>
      <c r="BT64" s="43">
        <f t="shared" si="56"/>
        <v>9</v>
      </c>
      <c r="BW64" s="48"/>
      <c r="BX64" s="48"/>
      <c r="BY64" s="48"/>
      <c r="BZ64" s="48"/>
      <c r="CA64" s="48"/>
      <c r="CB64" s="48"/>
    </row>
    <row r="65" spans="1:87" ht="15.75" thickBot="1" x14ac:dyDescent="0.3">
      <c r="A65">
        <v>57</v>
      </c>
      <c r="D65" s="525" t="s">
        <v>119</v>
      </c>
      <c r="E65" s="526"/>
      <c r="F65" s="702"/>
      <c r="G65" s="702"/>
      <c r="H65" s="702"/>
      <c r="I65" s="702"/>
      <c r="J65" s="702"/>
      <c r="K65" s="702"/>
      <c r="L65" s="702"/>
      <c r="M65" s="702"/>
      <c r="N65" s="702"/>
      <c r="O65" s="702"/>
      <c r="P65" s="702"/>
      <c r="Q65" s="702"/>
      <c r="R65" s="702"/>
      <c r="T65" s="718"/>
      <c r="U65" s="523"/>
      <c r="V65" s="522"/>
      <c r="W65" s="522"/>
      <c r="X65" s="711"/>
      <c r="Y65" s="885"/>
      <c r="Z65" s="865"/>
      <c r="AA65" s="712"/>
      <c r="AB65" s="713"/>
      <c r="AD65" s="150">
        <f t="shared" si="68"/>
        <v>0</v>
      </c>
      <c r="AE65" s="716"/>
      <c r="AF65" s="716"/>
      <c r="AG65" s="716"/>
      <c r="AI65" s="537"/>
      <c r="AJ65" s="537"/>
      <c r="AK65" s="537"/>
      <c r="AM65" s="260"/>
      <c r="AN65" s="261"/>
      <c r="AO65" s="261"/>
      <c r="AP65" s="261"/>
      <c r="AQ65" s="262"/>
      <c r="AS65" s="260"/>
      <c r="AT65" s="261"/>
      <c r="AU65" s="261"/>
      <c r="AV65" s="261"/>
      <c r="AW65" s="262"/>
      <c r="AY65" s="172"/>
      <c r="AZ65" s="193"/>
      <c r="BA65" s="193"/>
      <c r="BB65" s="193"/>
      <c r="BC65" s="194"/>
      <c r="BD65" s="172">
        <f t="shared" si="59"/>
        <v>9</v>
      </c>
      <c r="BE65" s="45" t="str">
        <f t="shared" si="70"/>
        <v>N/A</v>
      </c>
      <c r="BF65" s="173"/>
      <c r="BG65" s="172">
        <f t="shared" si="71"/>
        <v>9</v>
      </c>
      <c r="BH65" s="45" t="str">
        <f t="shared" si="72"/>
        <v>N/A</v>
      </c>
      <c r="BI65" s="173"/>
      <c r="BJ65" s="172">
        <f t="shared" si="27"/>
        <v>9</v>
      </c>
      <c r="BK65" s="45" t="str">
        <f t="shared" si="73"/>
        <v>N/A</v>
      </c>
      <c r="BL65" s="173"/>
      <c r="BO65" s="43"/>
      <c r="BP65" s="43"/>
      <c r="BQ65" s="43" t="str">
        <f t="shared" si="15"/>
        <v/>
      </c>
      <c r="BR65" s="43">
        <f t="shared" si="54"/>
        <v>9</v>
      </c>
      <c r="BS65" s="43">
        <f t="shared" si="55"/>
        <v>9</v>
      </c>
      <c r="BT65" s="43">
        <f t="shared" si="56"/>
        <v>9</v>
      </c>
      <c r="BW65" s="48" t="str">
        <f>D65</f>
        <v>Hea 09</v>
      </c>
      <c r="BX65" s="48" t="str">
        <f>IFERROR(VLOOKUP($E65,'Pre-Assessment Estimator'!$E$11:$AB$228,'Pre-Assessment Estimator'!AB$2,FALSE),"")</f>
        <v/>
      </c>
      <c r="BY65" s="48" t="str">
        <f>IFERROR(VLOOKUP($E65,'Pre-Assessment Estimator'!$E$11:$AI$228,'Pre-Assessment Estimator'!AI$2,FALSE),"")</f>
        <v/>
      </c>
      <c r="BZ65" s="48" t="str">
        <f t="shared" ref="BZ65:CA69" si="125">IFERROR(VLOOKUP($BX65,$E$294:$H$327,F$292,FALSE),"")</f>
        <v/>
      </c>
      <c r="CA65" s="48" t="str">
        <f t="shared" si="125"/>
        <v/>
      </c>
      <c r="CB65" s="48"/>
      <c r="CC65" t="str">
        <f>IFERROR(VLOOKUP($BX65,$E$294:$H$327,I$292,FALSE),"")</f>
        <v/>
      </c>
    </row>
    <row r="66" spans="1:87" ht="15.75" thickBot="1" x14ac:dyDescent="0.3">
      <c r="A66">
        <v>58</v>
      </c>
      <c r="B66" t="s">
        <v>861</v>
      </c>
      <c r="D66" s="174"/>
      <c r="E66" s="50" t="s">
        <v>204</v>
      </c>
      <c r="F66" s="586">
        <f>F39+F46+F51+F56+F59+F63</f>
        <v>19</v>
      </c>
      <c r="G66" s="586">
        <f t="shared" ref="G66:R66" si="126">G39+G46+G51+G56+G59+G63</f>
        <v>19</v>
      </c>
      <c r="H66" s="586">
        <f t="shared" si="126"/>
        <v>20</v>
      </c>
      <c r="I66" s="586">
        <f t="shared" si="126"/>
        <v>19</v>
      </c>
      <c r="J66" s="586">
        <f t="shared" si="126"/>
        <v>19</v>
      </c>
      <c r="K66" s="586">
        <f t="shared" si="126"/>
        <v>19</v>
      </c>
      <c r="L66" s="586">
        <f t="shared" si="126"/>
        <v>19</v>
      </c>
      <c r="M66" s="586">
        <f t="shared" si="126"/>
        <v>21</v>
      </c>
      <c r="N66" s="586">
        <f t="shared" si="126"/>
        <v>20</v>
      </c>
      <c r="O66" s="586">
        <f t="shared" si="126"/>
        <v>19</v>
      </c>
      <c r="P66" s="586">
        <f t="shared" si="126"/>
        <v>19</v>
      </c>
      <c r="Q66" s="586">
        <f t="shared" ref="Q66" si="127">Q39+Q46+Q51+Q56+Q59+Q63</f>
        <v>19</v>
      </c>
      <c r="R66" s="586">
        <f t="shared" si="126"/>
        <v>19</v>
      </c>
      <c r="T66" s="195">
        <f>HLOOKUP($E$6,$F$9:$R$231,$A66,FALSE)</f>
        <v>19</v>
      </c>
      <c r="U66" s="176"/>
      <c r="V66" s="177"/>
      <c r="W66" s="177"/>
      <c r="X66" s="177"/>
      <c r="Y66" s="884"/>
      <c r="Z66" s="178"/>
      <c r="AA66" s="586">
        <f t="shared" ref="AA66:AG66" si="128">AA39+AA46+AA51+AA56+AA59+AA63</f>
        <v>0</v>
      </c>
      <c r="AB66" s="586">
        <f t="shared" si="128"/>
        <v>19</v>
      </c>
      <c r="AD66" s="180">
        <f t="shared" si="128"/>
        <v>0.16000000000000003</v>
      </c>
      <c r="AE66" s="180">
        <f t="shared" si="128"/>
        <v>0</v>
      </c>
      <c r="AF66" s="180">
        <f t="shared" si="128"/>
        <v>0</v>
      </c>
      <c r="AG66" s="180">
        <f t="shared" si="128"/>
        <v>0</v>
      </c>
      <c r="AI66" s="72">
        <f t="shared" ref="AI66:AK66" si="129">AI39+AI46+AI51+AI56+AI59+AI63</f>
        <v>0</v>
      </c>
      <c r="AJ66" s="72">
        <f t="shared" si="129"/>
        <v>0</v>
      </c>
      <c r="AK66" s="72">
        <f t="shared" si="129"/>
        <v>0</v>
      </c>
      <c r="AM66" s="123"/>
      <c r="AN66" s="123"/>
      <c r="AO66" s="123"/>
      <c r="AP66" s="123"/>
      <c r="AQ66" s="123"/>
      <c r="AS66" s="123"/>
      <c r="AT66" s="123"/>
      <c r="AU66" s="123"/>
      <c r="AV66" s="123"/>
      <c r="AW66" s="123"/>
      <c r="AZ66" s="181"/>
      <c r="BW66" s="50"/>
      <c r="BX66" s="50" t="str">
        <f>IFERROR(VLOOKUP($E66,'Pre-Assessment Estimator'!$E$11:$AB$228,'Pre-Assessment Estimator'!AB$2,FALSE),"")</f>
        <v/>
      </c>
      <c r="BY66" s="50" t="str">
        <f>IFERROR(VLOOKUP($E66,'Pre-Assessment Estimator'!$E$11:$AI$228,'Pre-Assessment Estimator'!AI$2,FALSE),"")</f>
        <v/>
      </c>
      <c r="BZ66" s="50" t="str">
        <f t="shared" si="125"/>
        <v/>
      </c>
      <c r="CA66" s="50" t="str">
        <f t="shared" si="125"/>
        <v/>
      </c>
      <c r="CB66" s="50"/>
      <c r="CC66" t="str">
        <f>IFERROR(VLOOKUP($BX66,$E$294:$H$327,I$292,FALSE),"")</f>
        <v/>
      </c>
    </row>
    <row r="67" spans="1:87" ht="15.75" thickBot="1" x14ac:dyDescent="0.3">
      <c r="A67">
        <v>59</v>
      </c>
      <c r="AI67" s="1"/>
      <c r="AJ67" s="1"/>
      <c r="AK67" s="1"/>
      <c r="AM67" s="123"/>
      <c r="AN67" s="123"/>
      <c r="AO67" s="123"/>
      <c r="AP67" s="123"/>
      <c r="AQ67" s="123"/>
      <c r="AS67" s="123"/>
      <c r="AT67" s="123"/>
      <c r="AU67" s="123"/>
      <c r="AV67" s="123"/>
      <c r="AW67" s="123"/>
      <c r="BX67" t="str">
        <f>IFERROR(VLOOKUP($E67,'Pre-Assessment Estimator'!$E$11:$AB$228,'Pre-Assessment Estimator'!AB$2,FALSE),"")</f>
        <v/>
      </c>
      <c r="BY67" t="str">
        <f>IFERROR(VLOOKUP($E67,'Pre-Assessment Estimator'!$E$11:$AI$228,'Pre-Assessment Estimator'!AI$2,FALSE),"")</f>
        <v/>
      </c>
      <c r="BZ67" t="str">
        <f t="shared" si="125"/>
        <v/>
      </c>
      <c r="CA67" t="str">
        <f t="shared" si="125"/>
        <v/>
      </c>
      <c r="CC67" t="str">
        <f>IFERROR(VLOOKUP($BX67,$E$294:$H$327,I$292,FALSE),"")</f>
        <v/>
      </c>
    </row>
    <row r="68" spans="1:87" ht="60.75" thickBot="1" x14ac:dyDescent="0.3">
      <c r="A68">
        <v>60</v>
      </c>
      <c r="D68" s="127"/>
      <c r="E68" s="47" t="s">
        <v>61</v>
      </c>
      <c r="F68" s="1364" t="str">
        <f>$F$9</f>
        <v>Office</v>
      </c>
      <c r="G68" s="1364" t="str">
        <f>$G$9</f>
        <v>Retail</v>
      </c>
      <c r="H68" s="1365" t="str">
        <f>$H$9</f>
        <v>Residential</v>
      </c>
      <c r="I68" s="1364" t="str">
        <f>$I$9</f>
        <v>Industrial</v>
      </c>
      <c r="J68" s="1366" t="str">
        <f>$J$9</f>
        <v>Healthcare</v>
      </c>
      <c r="K68" s="1366" t="str">
        <f>$K$9</f>
        <v>Prison</v>
      </c>
      <c r="L68" s="1366" t="str">
        <f>$L$9</f>
        <v>Law Court</v>
      </c>
      <c r="M68" s="1367" t="str">
        <f>$M$9</f>
        <v>Residential institution (long term stay)</v>
      </c>
      <c r="N68" s="684" t="str">
        <f>$N$9</f>
        <v>Residential institution (short term stay)</v>
      </c>
      <c r="O68" s="684" t="str">
        <f>$O$9</f>
        <v>Non-residential institution</v>
      </c>
      <c r="P68" s="684" t="str">
        <f>$P$9</f>
        <v>Assembly and leisure</v>
      </c>
      <c r="Q68" s="1366" t="str">
        <f>$Q$9</f>
        <v>Education</v>
      </c>
      <c r="R68" s="659" t="str">
        <f>$R$9</f>
        <v>Other</v>
      </c>
      <c r="T68" s="122" t="str">
        <f>$E$6</f>
        <v>Office</v>
      </c>
      <c r="U68" s="182"/>
      <c r="V68" s="183"/>
      <c r="W68" s="183"/>
      <c r="X68" s="183"/>
      <c r="Y68" s="871" t="s">
        <v>391</v>
      </c>
      <c r="Z68" s="302" t="s">
        <v>317</v>
      </c>
      <c r="AA68" s="131" t="s">
        <v>204</v>
      </c>
      <c r="AB68" s="53" t="s">
        <v>15</v>
      </c>
      <c r="AI68" s="36"/>
      <c r="AJ68" s="54"/>
      <c r="AK68" s="54"/>
      <c r="AM68" s="123"/>
      <c r="AN68" s="123"/>
      <c r="AO68" s="123"/>
      <c r="AP68" s="123"/>
      <c r="AQ68" s="123"/>
      <c r="AS68" s="123"/>
      <c r="AT68" s="123"/>
      <c r="AU68" s="123"/>
      <c r="AV68" s="123"/>
      <c r="AW68" s="123"/>
      <c r="BO68" s="54"/>
      <c r="BP68" s="54"/>
      <c r="BQ68" s="54"/>
      <c r="BR68" s="54"/>
      <c r="BS68" s="54"/>
      <c r="BT68" s="54"/>
      <c r="BW68" s="47"/>
      <c r="BX68" s="47" t="str">
        <f>E68</f>
        <v>Energy</v>
      </c>
      <c r="BY68" s="47">
        <f>IFERROR(VLOOKUP($E68,'Pre-Assessment Estimator'!$E$11:$AI$228,'Pre-Assessment Estimator'!AI$2,FALSE),"")</f>
        <v>0</v>
      </c>
      <c r="BZ68" s="47" t="str">
        <f t="shared" si="125"/>
        <v/>
      </c>
      <c r="CA68" s="47" t="str">
        <f t="shared" si="125"/>
        <v/>
      </c>
      <c r="CB68" s="47"/>
      <c r="CC68" t="str">
        <f>IFERROR(VLOOKUP($BX68,$E$294:$H$327,I$292,FALSE),"")</f>
        <v/>
      </c>
    </row>
    <row r="69" spans="1:87" x14ac:dyDescent="0.25">
      <c r="A69">
        <v>61</v>
      </c>
      <c r="B69" s="121" t="str">
        <f>D69</f>
        <v>Ene 01</v>
      </c>
      <c r="C69" s="121"/>
      <c r="D69" s="637" t="s">
        <v>129</v>
      </c>
      <c r="E69" s="635" t="s">
        <v>122</v>
      </c>
      <c r="F69" s="699">
        <f t="shared" ref="F69:R69" si="130">SUM(F70:F74)</f>
        <v>12</v>
      </c>
      <c r="G69" s="699">
        <f t="shared" si="130"/>
        <v>12</v>
      </c>
      <c r="H69" s="699">
        <f t="shared" si="130"/>
        <v>12</v>
      </c>
      <c r="I69" s="699">
        <f t="shared" si="130"/>
        <v>12</v>
      </c>
      <c r="J69" s="699">
        <f t="shared" si="130"/>
        <v>12</v>
      </c>
      <c r="K69" s="699">
        <f t="shared" si="130"/>
        <v>12</v>
      </c>
      <c r="L69" s="699">
        <f t="shared" si="130"/>
        <v>12</v>
      </c>
      <c r="M69" s="699">
        <f t="shared" si="130"/>
        <v>12</v>
      </c>
      <c r="N69" s="699">
        <f t="shared" si="130"/>
        <v>12</v>
      </c>
      <c r="O69" s="699">
        <f t="shared" si="130"/>
        <v>12</v>
      </c>
      <c r="P69" s="699">
        <f t="shared" si="130"/>
        <v>12</v>
      </c>
      <c r="Q69" s="699">
        <f t="shared" ref="Q69" si="131">SUM(Q70:Q74)</f>
        <v>12</v>
      </c>
      <c r="R69" s="699">
        <f t="shared" si="130"/>
        <v>12</v>
      </c>
      <c r="T69" s="131">
        <f t="shared" ref="T69:T81" si="132">HLOOKUP($E$6,$F$9:$R$231,$A69,FALSE)</f>
        <v>12</v>
      </c>
      <c r="U69" s="191"/>
      <c r="V69" s="61"/>
      <c r="W69" s="61"/>
      <c r="X69" s="61">
        <f>'Manuell filtrering og justering'!E29</f>
        <v>0</v>
      </c>
      <c r="Y69" s="61"/>
      <c r="Z69" s="714">
        <f t="shared" ref="Z69:AB69" si="133">SUM(Z70:Z74)</f>
        <v>12</v>
      </c>
      <c r="AA69" s="719">
        <f t="shared" ref="AA69:AA79" si="134">IF(SUM(U69:Y69)&gt;T69,T69,SUM(U69:Y69))</f>
        <v>0</v>
      </c>
      <c r="AB69" s="793">
        <f t="shared" si="133"/>
        <v>12</v>
      </c>
      <c r="AD69" s="150">
        <f t="shared" ref="AD69:AD96" si="135">(Ene_Weight/Ene_Credits)*AB69</f>
        <v>6.2222222222222234E-2</v>
      </c>
      <c r="AE69" s="687">
        <f>SUM(AE70:AE74)</f>
        <v>0</v>
      </c>
      <c r="AF69" s="687">
        <f t="shared" ref="AF69:AG69" si="136">SUM(AF70:AF74)</f>
        <v>0</v>
      </c>
      <c r="AG69" s="687">
        <f t="shared" si="136"/>
        <v>0</v>
      </c>
      <c r="AI69" s="714">
        <f t="shared" ref="AI69:AK69" si="137">SUM(AI70:AI74)</f>
        <v>0</v>
      </c>
      <c r="AJ69" s="714">
        <f t="shared" si="137"/>
        <v>0</v>
      </c>
      <c r="AK69" s="714">
        <f t="shared" si="137"/>
        <v>0</v>
      </c>
      <c r="AM69" s="152"/>
      <c r="AN69" s="249"/>
      <c r="AO69" s="249"/>
      <c r="AP69" s="258"/>
      <c r="AQ69" s="259"/>
      <c r="AS69" s="257"/>
      <c r="AT69" s="258"/>
      <c r="AU69" s="258"/>
      <c r="AV69" s="258"/>
      <c r="AW69" s="259"/>
      <c r="AY69" s="153"/>
      <c r="AZ69" s="154"/>
      <c r="BA69" s="154"/>
      <c r="BB69" s="154"/>
      <c r="BC69" s="197"/>
      <c r="BD69" s="153">
        <f t="shared" si="59"/>
        <v>9</v>
      </c>
      <c r="BE69" s="45" t="str">
        <f t="shared" ref="BE69:BE96" si="138">VLOOKUP(BD69,$BO$285:$BT$291,6,FALSE)</f>
        <v>N/A</v>
      </c>
      <c r="BF69" s="157"/>
      <c r="BG69" s="153">
        <f t="shared" ref="BG69:BG96" si="139">IF(BC69=0,9,IF(AJ69&gt;=BC69,5,IF(AJ69&gt;=BB69,4,IF(AJ69&gt;=BA69,3,IF(AJ69&gt;=AZ69,2,IF(AJ69&lt;AY69,0,1))))))</f>
        <v>9</v>
      </c>
      <c r="BH69" s="45" t="str">
        <f t="shared" ref="BH69:BH96" si="140">VLOOKUP(BG69,$BO$285:$BT$291,6,FALSE)</f>
        <v>N/A</v>
      </c>
      <c r="BI69" s="157"/>
      <c r="BJ69" s="153">
        <f t="shared" si="27"/>
        <v>9</v>
      </c>
      <c r="BK69" s="45" t="str">
        <f t="shared" ref="BK69:BK96" si="141">VLOOKUP(BJ69,$BO$285:$BT$291,6,FALSE)</f>
        <v>N/A</v>
      </c>
      <c r="BL69" s="157"/>
      <c r="BO69" s="43"/>
      <c r="BP69" s="43"/>
      <c r="BQ69" s="43" t="str">
        <f t="shared" si="15"/>
        <v/>
      </c>
      <c r="BR69" s="43">
        <f t="shared" si="54"/>
        <v>9</v>
      </c>
      <c r="BS69" s="43">
        <f t="shared" si="55"/>
        <v>9</v>
      </c>
      <c r="BT69" s="43">
        <f t="shared" si="56"/>
        <v>9</v>
      </c>
      <c r="BW69" s="45" t="str">
        <f>D69</f>
        <v>Ene 01</v>
      </c>
      <c r="BX69" s="45" t="str">
        <f>IFERROR(VLOOKUP($E69,'Pre-Assessment Estimator'!$E$11:$AB$228,'Pre-Assessment Estimator'!AB$2,FALSE),"")</f>
        <v>No</v>
      </c>
      <c r="BY69" s="45">
        <f>IFERROR(VLOOKUP($E69,'Pre-Assessment Estimator'!$E$11:$AI$228,'Pre-Assessment Estimator'!AI$2,FALSE),"")</f>
        <v>0</v>
      </c>
      <c r="BZ69" s="45">
        <f t="shared" si="125"/>
        <v>1</v>
      </c>
      <c r="CA69" s="45">
        <f t="shared" si="125"/>
        <v>0</v>
      </c>
      <c r="CB69" s="45"/>
      <c r="CC69" t="str">
        <f>IFERROR(VLOOKUP($BX69,$E$294:$H$327,I$292,FALSE),"")</f>
        <v/>
      </c>
    </row>
    <row r="70" spans="1:87" x14ac:dyDescent="0.25">
      <c r="A70">
        <v>62</v>
      </c>
      <c r="B70" t="str">
        <f t="shared" ref="B70:B74" si="142">$D$69&amp;D70</f>
        <v>Ene 01a</v>
      </c>
      <c r="D70" s="144" t="s">
        <v>673</v>
      </c>
      <c r="E70" s="683" t="s">
        <v>600</v>
      </c>
      <c r="F70" s="582">
        <v>2</v>
      </c>
      <c r="G70" s="582">
        <v>2</v>
      </c>
      <c r="H70" s="582">
        <v>2</v>
      </c>
      <c r="I70" s="582">
        <v>2</v>
      </c>
      <c r="J70" s="582">
        <v>2</v>
      </c>
      <c r="K70" s="582">
        <v>2</v>
      </c>
      <c r="L70" s="582">
        <v>2</v>
      </c>
      <c r="M70" s="582">
        <v>2</v>
      </c>
      <c r="N70" s="582">
        <v>2</v>
      </c>
      <c r="O70" s="582">
        <v>2</v>
      </c>
      <c r="P70" s="582">
        <v>2</v>
      </c>
      <c r="Q70" s="582">
        <v>2</v>
      </c>
      <c r="R70" s="582">
        <v>2</v>
      </c>
      <c r="T70" s="148">
        <f t="shared" si="132"/>
        <v>2</v>
      </c>
      <c r="U70" s="146"/>
      <c r="V70" s="43"/>
      <c r="W70" s="43"/>
      <c r="X70" s="43"/>
      <c r="Y70" s="147"/>
      <c r="Z70" s="147">
        <f>VLOOKUP(B70,'Manuell filtrering og justering'!$A$7:$H$107,'Manuell filtrering og justering'!$H$1,FALSE)</f>
        <v>2</v>
      </c>
      <c r="AA70" s="148">
        <f t="shared" si="134"/>
        <v>0</v>
      </c>
      <c r="AB70" s="149">
        <f>IF($AC$5='Manuell filtrering og justering'!$J$2,Z70,(T70-AA70))</f>
        <v>2</v>
      </c>
      <c r="AD70" s="150">
        <f t="shared" si="135"/>
        <v>1.0370370370370372E-2</v>
      </c>
      <c r="AE70" s="150">
        <f t="shared" ref="AE70:AE96" si="143">IF(AB70=0,0,(AD70/AB70)*AI70)</f>
        <v>0</v>
      </c>
      <c r="AF70" s="150">
        <f t="shared" ref="AF70:AF96" si="144">IF(AB70=0,0,(AD70/AB70)*AJ70)</f>
        <v>0</v>
      </c>
      <c r="AG70" s="150">
        <f t="shared" ref="AG70:AG96" si="145">IF(AB70=0,0,(AD70/AB70)*AK70)</f>
        <v>0</v>
      </c>
      <c r="AI70" s="794">
        <f>IF(AND(ADPT&lt;&gt;ADPT02,OR(AI52&gt;0,ADIND_option03="No")),IF(VLOOKUP(E70,'Pre-Assessment Estimator'!$E$11:$Z$228,'Pre-Assessment Estimator'!$G$2,FALSE)&gt;AB70,AB70,VLOOKUP(E70,'Pre-Assessment Estimator'!$E$11:$Z$228,'Pre-Assessment Estimator'!$G$2,FALSE)),0)</f>
        <v>0</v>
      </c>
      <c r="AJ70" s="794">
        <f>IF(AND(ADPT&lt;&gt;ADPT02,OR(AJ52&gt;0,ADIND_option03="No")),IF(VLOOKUP(E70,'Pre-Assessment Estimator'!$E$11:$Z$228,'Pre-Assessment Estimator'!$N$2,FALSE)&gt;AB70,AB70,VLOOKUP(E70,'Pre-Assessment Estimator'!$E$11:$Z$228,'Pre-Assessment Estimator'!$N$2,FALSE)),0)</f>
        <v>0</v>
      </c>
      <c r="AK70" s="794">
        <f>IF(AND(ADPT&lt;&gt;ADPT02,OR(AK52&gt;0,ADIND_option03="No")),IF(VLOOKUP(E70,'Pre-Assessment Estimator'!$E$11:$Z$228,'Pre-Assessment Estimator'!$U$2,FALSE)&gt;AB70,AB70,VLOOKUP(E70,'Pre-Assessment Estimator'!$E$11:$Z$228,'Pre-Assessment Estimator'!$U$2,FALSE)),0)</f>
        <v>0</v>
      </c>
      <c r="AM70" s="630"/>
      <c r="AN70" s="631"/>
      <c r="AO70" s="631"/>
      <c r="AP70" s="640"/>
      <c r="AQ70" s="641"/>
      <c r="AS70" s="639"/>
      <c r="AT70" s="640"/>
      <c r="AU70" s="640"/>
      <c r="AV70" s="640"/>
      <c r="AW70" s="641"/>
      <c r="AY70" s="632"/>
      <c r="AZ70" s="633"/>
      <c r="BA70" s="633"/>
      <c r="BB70" s="633"/>
      <c r="BC70" s="651"/>
      <c r="BD70" s="160">
        <f t="shared" ref="BD70:BD74" si="146">IF(BC70=0,9,IF((AI70-CG70)&gt;=BC70,5,IF((AI70-CG70)&gt;=BB70,4,IF((AI70-CG70)&gt;=BA70,3,IF((AI70-CG70)&gt;=AZ70,2,IF((AI70-CG70)&lt;AY70,0,1))))))</f>
        <v>9</v>
      </c>
      <c r="BE70" s="45" t="str">
        <f t="shared" si="138"/>
        <v>N/A</v>
      </c>
      <c r="BF70" s="163"/>
      <c r="BG70" s="160">
        <f t="shared" ref="BG70:BG74" si="147">IF(BC70=0,9,IF((AJ70-CG70)&gt;=BC70,5,IF((AJ70-CG70)&gt;=BB70,4,IF((AJ70-CG70)&gt;=BA70,3,IF((AJ70-CG70)&gt;=AZ70,2,IF((AJ70-CG70)&lt;AY70,0,1))))))</f>
        <v>9</v>
      </c>
      <c r="BH70" s="45" t="str">
        <f t="shared" si="140"/>
        <v>N/A</v>
      </c>
      <c r="BI70" s="163"/>
      <c r="BJ70" s="160">
        <f t="shared" ref="BJ70:BJ74" si="148">IF(BC70=0,9,IF((AK70-CG70)&gt;=BC70,5,IF((AK70-CG70)&gt;=BB70,4,IF((AK70-CG70)&gt;=BA70,3,IF((AK70-CG70)&gt;=AZ70,2,IF((AK70-CG70)&lt;AY70,0,1))))))</f>
        <v>9</v>
      </c>
      <c r="BK70" s="45" t="str">
        <f t="shared" si="141"/>
        <v>N/A</v>
      </c>
      <c r="BL70" s="634"/>
      <c r="BO70" s="43"/>
      <c r="BP70" s="43"/>
      <c r="BQ70" s="43" t="str">
        <f t="shared" si="15"/>
        <v/>
      </c>
      <c r="BR70" s="43">
        <f t="shared" si="54"/>
        <v>9</v>
      </c>
      <c r="BS70" s="43">
        <f t="shared" si="55"/>
        <v>9</v>
      </c>
      <c r="BT70" s="43">
        <f t="shared" si="56"/>
        <v>9</v>
      </c>
      <c r="BW70" s="45"/>
      <c r="BX70" s="45"/>
      <c r="BY70" s="45"/>
      <c r="BZ70" s="45"/>
      <c r="CA70" s="45"/>
      <c r="CB70" s="45"/>
    </row>
    <row r="71" spans="1:87" x14ac:dyDescent="0.25">
      <c r="A71">
        <v>63</v>
      </c>
      <c r="B71" t="str">
        <f t="shared" si="142"/>
        <v>Ene 01b</v>
      </c>
      <c r="D71" s="144" t="s">
        <v>676</v>
      </c>
      <c r="E71" s="826" t="s">
        <v>601</v>
      </c>
      <c r="F71" s="582">
        <v>1</v>
      </c>
      <c r="G71" s="582">
        <v>1</v>
      </c>
      <c r="H71" s="582">
        <v>1</v>
      </c>
      <c r="I71" s="582">
        <v>1</v>
      </c>
      <c r="J71" s="582">
        <v>1</v>
      </c>
      <c r="K71" s="582">
        <v>1</v>
      </c>
      <c r="L71" s="582">
        <v>1</v>
      </c>
      <c r="M71" s="582">
        <v>1</v>
      </c>
      <c r="N71" s="582">
        <v>1</v>
      </c>
      <c r="O71" s="582">
        <v>1</v>
      </c>
      <c r="P71" s="582">
        <v>1</v>
      </c>
      <c r="Q71" s="582">
        <v>1</v>
      </c>
      <c r="R71" s="582">
        <v>1</v>
      </c>
      <c r="T71" s="148">
        <f t="shared" si="132"/>
        <v>1</v>
      </c>
      <c r="U71" s="146"/>
      <c r="V71" s="43"/>
      <c r="W71" s="43"/>
      <c r="X71" s="43"/>
      <c r="Y71" s="147"/>
      <c r="Z71" s="147">
        <f>VLOOKUP(B71,'Manuell filtrering og justering'!$A$7:$H$107,'Manuell filtrering og justering'!$H$1,FALSE)</f>
        <v>1</v>
      </c>
      <c r="AA71" s="148">
        <f t="shared" si="134"/>
        <v>0</v>
      </c>
      <c r="AB71" s="149">
        <f>IF($AC$5='Manuell filtrering og justering'!$J$2,Z71,(T71-AA71))</f>
        <v>1</v>
      </c>
      <c r="AD71" s="150">
        <f t="shared" si="135"/>
        <v>5.1851851851851859E-3</v>
      </c>
      <c r="AE71" s="150">
        <f t="shared" si="143"/>
        <v>0</v>
      </c>
      <c r="AF71" s="150">
        <f t="shared" si="144"/>
        <v>0</v>
      </c>
      <c r="AG71" s="150">
        <f t="shared" si="145"/>
        <v>0</v>
      </c>
      <c r="AI71" s="151">
        <f>IF(VLOOKUP(E71,'Pre-Assessment Estimator'!$E$11:$Z$228,'Pre-Assessment Estimator'!$G$2,FALSE)&gt;AB71,AB71,VLOOKUP(E71,'Pre-Assessment Estimator'!$E$11:$Z$228,'Pre-Assessment Estimator'!$G$2,FALSE))</f>
        <v>0</v>
      </c>
      <c r="AJ71" s="151">
        <f>IF(VLOOKUP(E71,'Pre-Assessment Estimator'!$E$11:$Z$228,'Pre-Assessment Estimator'!$N$2,FALSE)&gt;AB71,AB71,VLOOKUP(E71,'Pre-Assessment Estimator'!$E$11:$Z$228,'Pre-Assessment Estimator'!$N$2,FALSE))</f>
        <v>0</v>
      </c>
      <c r="AK71" s="151">
        <f>IF(VLOOKUP(E71,'Pre-Assessment Estimator'!$E$11:$Z$228,'Pre-Assessment Estimator'!$U$2,FALSE)&gt;AB71,AB71,VLOOKUP(E71,'Pre-Assessment Estimator'!$E$11:$Z$228,'Pre-Assessment Estimator'!$U$2,FALSE))</f>
        <v>0</v>
      </c>
      <c r="AM71" s="630"/>
      <c r="AN71" s="631"/>
      <c r="AO71" s="631"/>
      <c r="AP71" s="640"/>
      <c r="AQ71" s="641"/>
      <c r="AS71" s="639"/>
      <c r="AT71" s="640"/>
      <c r="AU71" s="640"/>
      <c r="AV71" s="640"/>
      <c r="AW71" s="641"/>
      <c r="AY71" s="632"/>
      <c r="AZ71" s="633"/>
      <c r="BA71" s="633"/>
      <c r="BB71" s="633"/>
      <c r="BC71" s="651"/>
      <c r="BD71" s="160">
        <f t="shared" si="146"/>
        <v>9</v>
      </c>
      <c r="BE71" s="45" t="str">
        <f t="shared" si="138"/>
        <v>N/A</v>
      </c>
      <c r="BF71" s="163"/>
      <c r="BG71" s="160">
        <f t="shared" si="147"/>
        <v>9</v>
      </c>
      <c r="BH71" s="45" t="str">
        <f t="shared" si="140"/>
        <v>N/A</v>
      </c>
      <c r="BI71" s="163"/>
      <c r="BJ71" s="160">
        <f t="shared" si="148"/>
        <v>9</v>
      </c>
      <c r="BK71" s="45" t="str">
        <f t="shared" si="141"/>
        <v>N/A</v>
      </c>
      <c r="BL71" s="634"/>
      <c r="BO71" s="43"/>
      <c r="BP71" s="43"/>
      <c r="BQ71" s="43" t="str">
        <f t="shared" si="15"/>
        <v/>
      </c>
      <c r="BR71" s="43">
        <f t="shared" si="54"/>
        <v>9</v>
      </c>
      <c r="BS71" s="43">
        <f t="shared" si="55"/>
        <v>9</v>
      </c>
      <c r="BT71" s="43">
        <f t="shared" si="56"/>
        <v>9</v>
      </c>
      <c r="BW71" s="45"/>
      <c r="BX71" s="45"/>
      <c r="BY71" s="45"/>
      <c r="BZ71" s="45"/>
      <c r="CA71" s="45"/>
      <c r="CB71" s="45"/>
    </row>
    <row r="72" spans="1:87" x14ac:dyDescent="0.25">
      <c r="A72">
        <v>64</v>
      </c>
      <c r="B72" t="str">
        <f t="shared" si="142"/>
        <v>Ene 01c</v>
      </c>
      <c r="D72" s="144" t="s">
        <v>677</v>
      </c>
      <c r="E72" s="826" t="s">
        <v>602</v>
      </c>
      <c r="F72" s="582">
        <v>4</v>
      </c>
      <c r="G72" s="582">
        <v>4</v>
      </c>
      <c r="H72" s="582">
        <v>4</v>
      </c>
      <c r="I72" s="582">
        <v>4</v>
      </c>
      <c r="J72" s="582">
        <v>4</v>
      </c>
      <c r="K72" s="582">
        <v>4</v>
      </c>
      <c r="L72" s="582">
        <v>4</v>
      </c>
      <c r="M72" s="582">
        <v>4</v>
      </c>
      <c r="N72" s="582">
        <v>4</v>
      </c>
      <c r="O72" s="582">
        <v>4</v>
      </c>
      <c r="P72" s="582">
        <v>4</v>
      </c>
      <c r="Q72" s="582">
        <v>4</v>
      </c>
      <c r="R72" s="582">
        <v>4</v>
      </c>
      <c r="T72" s="148">
        <f t="shared" si="132"/>
        <v>4</v>
      </c>
      <c r="U72" s="146"/>
      <c r="V72" s="43"/>
      <c r="W72" s="43"/>
      <c r="X72" s="43"/>
      <c r="Y72" s="147"/>
      <c r="Z72" s="147">
        <f>VLOOKUP(B72,'Manuell filtrering og justering'!$A$7:$H$107,'Manuell filtrering og justering'!$H$1,FALSE)</f>
        <v>4</v>
      </c>
      <c r="AA72" s="148">
        <f t="shared" si="134"/>
        <v>0</v>
      </c>
      <c r="AB72" s="149">
        <f>IF($AC$5='Manuell filtrering og justering'!$J$2,Z72,(T72-AA72))</f>
        <v>4</v>
      </c>
      <c r="AD72" s="150">
        <f t="shared" si="135"/>
        <v>2.0740740740740744E-2</v>
      </c>
      <c r="AE72" s="150">
        <f t="shared" si="143"/>
        <v>0</v>
      </c>
      <c r="AF72" s="150">
        <f t="shared" si="144"/>
        <v>0</v>
      </c>
      <c r="AG72" s="150">
        <f t="shared" si="145"/>
        <v>0</v>
      </c>
      <c r="AI72" s="151">
        <f>IF(VLOOKUP(E72,'Pre-Assessment Estimator'!$E$11:$Z$228,'Pre-Assessment Estimator'!$G$2,FALSE)&gt;AB72,AB72,VLOOKUP(E72,'Pre-Assessment Estimator'!$E$11:$Z$228,'Pre-Assessment Estimator'!$G$2,FALSE))</f>
        <v>0</v>
      </c>
      <c r="AJ72" s="151">
        <f>IF(VLOOKUP(E72,'Pre-Assessment Estimator'!$E$11:$Z$228,'Pre-Assessment Estimator'!$N$2,FALSE)&gt;AB72,AB72,VLOOKUP(E72,'Pre-Assessment Estimator'!$E$11:$Z$228,'Pre-Assessment Estimator'!$N$2,FALSE))</f>
        <v>0</v>
      </c>
      <c r="AK72" s="151">
        <f>IF(VLOOKUP(E72,'Pre-Assessment Estimator'!$E$11:$Z$228,'Pre-Assessment Estimator'!$U$2,FALSE)&gt;AB72,AB72,VLOOKUP(E72,'Pre-Assessment Estimator'!$E$11:$Z$228,'Pre-Assessment Estimator'!$U$2,FALSE))</f>
        <v>0</v>
      </c>
      <c r="AM72" s="630"/>
      <c r="AN72" s="631"/>
      <c r="AO72" s="631"/>
      <c r="AP72" s="640">
        <v>1</v>
      </c>
      <c r="AQ72" s="641">
        <v>1</v>
      </c>
      <c r="AS72" s="639"/>
      <c r="AT72" s="640"/>
      <c r="AU72" s="640"/>
      <c r="AV72" s="640">
        <v>1</v>
      </c>
      <c r="AW72" s="641">
        <v>1</v>
      </c>
      <c r="AY72" s="632"/>
      <c r="AZ72" s="633"/>
      <c r="BA72" s="633"/>
      <c r="BB72" s="161">
        <f t="shared" ref="BB72" si="149">IF($E$6=$H$9,AV72,AP72)</f>
        <v>1</v>
      </c>
      <c r="BC72" s="165">
        <f>IF($E$6=$H$9,AW72,AQ72)</f>
        <v>1</v>
      </c>
      <c r="BD72" s="160">
        <f t="shared" si="146"/>
        <v>3</v>
      </c>
      <c r="BE72" s="45" t="str">
        <f t="shared" si="138"/>
        <v>Very Good</v>
      </c>
      <c r="BF72" s="163"/>
      <c r="BG72" s="160">
        <f t="shared" si="147"/>
        <v>3</v>
      </c>
      <c r="BH72" s="45" t="str">
        <f t="shared" si="140"/>
        <v>Very Good</v>
      </c>
      <c r="BI72" s="163"/>
      <c r="BJ72" s="160">
        <f t="shared" si="148"/>
        <v>3</v>
      </c>
      <c r="BK72" s="45" t="str">
        <f t="shared" si="141"/>
        <v>Very Good</v>
      </c>
      <c r="BL72" s="634"/>
      <c r="BO72" s="43"/>
      <c r="BP72" s="43"/>
      <c r="BQ72" s="43" t="str">
        <f t="shared" si="15"/>
        <v/>
      </c>
      <c r="BR72" s="43">
        <f t="shared" si="54"/>
        <v>9</v>
      </c>
      <c r="BS72" s="43">
        <f t="shared" si="55"/>
        <v>9</v>
      </c>
      <c r="BT72" s="43">
        <f t="shared" si="56"/>
        <v>9</v>
      </c>
      <c r="BW72" s="45"/>
      <c r="BX72" s="45"/>
      <c r="BY72" s="45"/>
      <c r="BZ72" s="45"/>
      <c r="CA72" s="45"/>
      <c r="CB72" s="45"/>
    </row>
    <row r="73" spans="1:87" x14ac:dyDescent="0.25">
      <c r="A73">
        <v>65</v>
      </c>
      <c r="B73" t="str">
        <f t="shared" si="142"/>
        <v>Ene 01d</v>
      </c>
      <c r="D73" s="144" t="s">
        <v>675</v>
      </c>
      <c r="E73" s="1406" t="s">
        <v>1820</v>
      </c>
      <c r="F73" s="582">
        <v>1</v>
      </c>
      <c r="G73" s="582">
        <v>1</v>
      </c>
      <c r="H73" s="582">
        <v>1</v>
      </c>
      <c r="I73" s="582">
        <v>1</v>
      </c>
      <c r="J73" s="582">
        <v>1</v>
      </c>
      <c r="K73" s="582">
        <v>1</v>
      </c>
      <c r="L73" s="582">
        <v>1</v>
      </c>
      <c r="M73" s="582">
        <v>1</v>
      </c>
      <c r="N73" s="582">
        <v>1</v>
      </c>
      <c r="O73" s="582">
        <v>1</v>
      </c>
      <c r="P73" s="582">
        <v>1</v>
      </c>
      <c r="Q73" s="582">
        <v>1</v>
      </c>
      <c r="R73" s="582">
        <v>1</v>
      </c>
      <c r="T73" s="148">
        <f t="shared" si="132"/>
        <v>1</v>
      </c>
      <c r="U73" s="146"/>
      <c r="V73" s="43"/>
      <c r="W73" s="43"/>
      <c r="X73" s="43"/>
      <c r="Y73" s="147"/>
      <c r="Z73" s="147">
        <f>VLOOKUP(B73,'Manuell filtrering og justering'!$A$7:$H$107,'Manuell filtrering og justering'!$H$1,FALSE)</f>
        <v>1</v>
      </c>
      <c r="AA73" s="148">
        <f t="shared" si="134"/>
        <v>0</v>
      </c>
      <c r="AB73" s="149">
        <f>IF($AC$5='Manuell filtrering og justering'!$J$2,Z73,(T73-AA73))</f>
        <v>1</v>
      </c>
      <c r="AD73" s="150">
        <f t="shared" si="135"/>
        <v>5.1851851851851859E-3</v>
      </c>
      <c r="AE73" s="150">
        <f t="shared" si="143"/>
        <v>0</v>
      </c>
      <c r="AF73" s="150">
        <f t="shared" si="144"/>
        <v>0</v>
      </c>
      <c r="AG73" s="150">
        <f t="shared" si="145"/>
        <v>0</v>
      </c>
      <c r="AI73" s="151">
        <f>IF(VLOOKUP(E73,'Pre-Assessment Estimator'!$E$11:$Z$228,'Pre-Assessment Estimator'!$G$2,FALSE)&gt;AB73,AB73,VLOOKUP(E73,'Pre-Assessment Estimator'!$E$11:$Z$228,'Pre-Assessment Estimator'!$G$2,FALSE))</f>
        <v>0</v>
      </c>
      <c r="AJ73" s="151">
        <f>IF(VLOOKUP(E73,'Pre-Assessment Estimator'!$E$11:$Z$228,'Pre-Assessment Estimator'!$N$2,FALSE)&gt;AB73,AB73,VLOOKUP(E73,'Pre-Assessment Estimator'!$E$11:$Z$228,'Pre-Assessment Estimator'!$N$2,FALSE))</f>
        <v>0</v>
      </c>
      <c r="AK73" s="151">
        <f>IF(VLOOKUP(E73,'Pre-Assessment Estimator'!$E$11:$Z$228,'Pre-Assessment Estimator'!$U$2,FALSE)&gt;AB73,AB73,VLOOKUP(E73,'Pre-Assessment Estimator'!$E$11:$Z$228,'Pre-Assessment Estimator'!$U$2,FALSE))</f>
        <v>0</v>
      </c>
      <c r="AM73" s="630"/>
      <c r="AN73" s="631"/>
      <c r="AO73" s="631"/>
      <c r="AP73" s="640">
        <v>1</v>
      </c>
      <c r="AQ73" s="641">
        <v>1</v>
      </c>
      <c r="AS73" s="639"/>
      <c r="AT73" s="640"/>
      <c r="AU73" s="640"/>
      <c r="AV73" s="640">
        <v>1</v>
      </c>
      <c r="AW73" s="641">
        <v>1</v>
      </c>
      <c r="AY73" s="632"/>
      <c r="AZ73" s="633"/>
      <c r="BA73" s="633"/>
      <c r="BB73" s="161">
        <f t="shared" ref="BB73" si="150">IF($E$6=$H$9,AV73,AP73)</f>
        <v>1</v>
      </c>
      <c r="BC73" s="165">
        <f>IF($E$6=$H$9,AW73,AQ73)</f>
        <v>1</v>
      </c>
      <c r="BD73" s="160">
        <f t="shared" si="146"/>
        <v>3</v>
      </c>
      <c r="BE73" s="45" t="str">
        <f t="shared" si="138"/>
        <v>Very Good</v>
      </c>
      <c r="BF73" s="163"/>
      <c r="BG73" s="160">
        <f t="shared" si="147"/>
        <v>3</v>
      </c>
      <c r="BH73" s="45" t="str">
        <f t="shared" si="140"/>
        <v>Very Good</v>
      </c>
      <c r="BI73" s="163"/>
      <c r="BJ73" s="160">
        <f t="shared" si="148"/>
        <v>3</v>
      </c>
      <c r="BK73" s="45" t="str">
        <f t="shared" si="141"/>
        <v>Very Good</v>
      </c>
      <c r="BL73" s="634"/>
      <c r="BO73" s="43"/>
      <c r="BP73" s="43"/>
      <c r="BQ73" s="43" t="str">
        <f t="shared" si="15"/>
        <v/>
      </c>
      <c r="BR73" s="43">
        <f t="shared" si="54"/>
        <v>9</v>
      </c>
      <c r="BS73" s="43">
        <f t="shared" si="55"/>
        <v>9</v>
      </c>
      <c r="BT73" s="43">
        <f t="shared" si="56"/>
        <v>9</v>
      </c>
      <c r="BW73" s="45"/>
      <c r="BX73" s="45"/>
      <c r="BY73" s="45"/>
      <c r="BZ73" s="45"/>
      <c r="CA73" s="45"/>
      <c r="CB73" s="45"/>
    </row>
    <row r="74" spans="1:87" x14ac:dyDescent="0.25">
      <c r="A74">
        <v>66</v>
      </c>
      <c r="B74" t="str">
        <f t="shared" si="142"/>
        <v>Ene 01e</v>
      </c>
      <c r="D74" s="144" t="s">
        <v>674</v>
      </c>
      <c r="E74" s="826" t="s">
        <v>604</v>
      </c>
      <c r="F74" s="582">
        <v>4</v>
      </c>
      <c r="G74" s="582">
        <v>4</v>
      </c>
      <c r="H74" s="582">
        <v>4</v>
      </c>
      <c r="I74" s="582">
        <v>4</v>
      </c>
      <c r="J74" s="582">
        <v>4</v>
      </c>
      <c r="K74" s="582">
        <v>4</v>
      </c>
      <c r="L74" s="582">
        <v>4</v>
      </c>
      <c r="M74" s="582">
        <v>4</v>
      </c>
      <c r="N74" s="582">
        <v>4</v>
      </c>
      <c r="O74" s="582">
        <v>4</v>
      </c>
      <c r="P74" s="582">
        <v>4</v>
      </c>
      <c r="Q74" s="582">
        <v>4</v>
      </c>
      <c r="R74" s="582">
        <v>4</v>
      </c>
      <c r="T74" s="148">
        <f t="shared" si="132"/>
        <v>4</v>
      </c>
      <c r="U74" s="146"/>
      <c r="V74" s="43"/>
      <c r="W74" s="43"/>
      <c r="X74" s="43"/>
      <c r="Y74" s="148">
        <f>IF($Y$4=$Y$6,T74,0)</f>
        <v>0</v>
      </c>
      <c r="Z74" s="147">
        <f>VLOOKUP(B74,'Manuell filtrering og justering'!$A$7:$H$107,'Manuell filtrering og justering'!$H$1,FALSE)</f>
        <v>4</v>
      </c>
      <c r="AA74" s="148">
        <f t="shared" si="134"/>
        <v>0</v>
      </c>
      <c r="AB74" s="149">
        <f>IF($AC$5='Manuell filtrering og justering'!$J$2,Z74,(T74-AA74))</f>
        <v>4</v>
      </c>
      <c r="AD74" s="150">
        <f t="shared" si="135"/>
        <v>2.0740740740740744E-2</v>
      </c>
      <c r="AE74" s="150">
        <f t="shared" si="143"/>
        <v>0</v>
      </c>
      <c r="AF74" s="150">
        <f t="shared" si="144"/>
        <v>0</v>
      </c>
      <c r="AG74" s="150">
        <f t="shared" si="145"/>
        <v>0</v>
      </c>
      <c r="AI74" s="151">
        <f>IF(VLOOKUP(E74,'Pre-Assessment Estimator'!$E$11:$Z$228,'Pre-Assessment Estimator'!$G$2,FALSE)&gt;AB74,AB74,VLOOKUP(E74,'Pre-Assessment Estimator'!$E$11:$Z$228,'Pre-Assessment Estimator'!$G$2,FALSE))</f>
        <v>0</v>
      </c>
      <c r="AJ74" s="151">
        <f>IF(VLOOKUP(E74,'Pre-Assessment Estimator'!$E$11:$Z$228,'Pre-Assessment Estimator'!$N$2,FALSE)&gt;AB74,AB74,VLOOKUP(E74,'Pre-Assessment Estimator'!$E$11:$Z$228,'Pre-Assessment Estimator'!$N$2,FALSE))</f>
        <v>0</v>
      </c>
      <c r="AK74" s="151">
        <f>IF(VLOOKUP(E74,'Pre-Assessment Estimator'!$E$11:$Z$228,'Pre-Assessment Estimator'!$U$2,FALSE)&gt;AB74,AB74,VLOOKUP(E74,'Pre-Assessment Estimator'!$E$11:$Z$228,'Pre-Assessment Estimator'!$U$2,FALSE))</f>
        <v>0</v>
      </c>
      <c r="AM74" s="630"/>
      <c r="AN74" s="631"/>
      <c r="AO74" s="631"/>
      <c r="AP74" s="640"/>
      <c r="AQ74" s="641"/>
      <c r="AS74" s="639"/>
      <c r="AT74" s="640"/>
      <c r="AU74" s="640"/>
      <c r="AV74" s="640"/>
      <c r="AW74" s="641"/>
      <c r="AY74" s="632"/>
      <c r="AZ74" s="633"/>
      <c r="BA74" s="633"/>
      <c r="BB74" s="633"/>
      <c r="BC74" s="651"/>
      <c r="BD74" s="160">
        <f t="shared" si="146"/>
        <v>9</v>
      </c>
      <c r="BE74" s="45" t="str">
        <f t="shared" si="138"/>
        <v>N/A</v>
      </c>
      <c r="BF74" s="163"/>
      <c r="BG74" s="160">
        <f t="shared" si="147"/>
        <v>9</v>
      </c>
      <c r="BH74" s="45" t="str">
        <f t="shared" si="140"/>
        <v>N/A</v>
      </c>
      <c r="BI74" s="163"/>
      <c r="BJ74" s="160">
        <f t="shared" si="148"/>
        <v>9</v>
      </c>
      <c r="BK74" s="45" t="str">
        <f t="shared" si="141"/>
        <v>N/A</v>
      </c>
      <c r="BL74" s="634"/>
      <c r="BO74" s="43"/>
      <c r="BP74" s="43"/>
      <c r="BQ74" s="43" t="str">
        <f t="shared" si="15"/>
        <v/>
      </c>
      <c r="BR74" s="43">
        <f t="shared" si="54"/>
        <v>9</v>
      </c>
      <c r="BS74" s="43">
        <f t="shared" si="55"/>
        <v>9</v>
      </c>
      <c r="BT74" s="43">
        <f t="shared" si="56"/>
        <v>9</v>
      </c>
      <c r="BW74" s="45"/>
      <c r="BX74" s="45"/>
      <c r="BY74" s="45"/>
      <c r="BZ74" s="45"/>
      <c r="CA74" s="45"/>
      <c r="CB74" s="45"/>
    </row>
    <row r="75" spans="1:87" x14ac:dyDescent="0.25">
      <c r="A75">
        <v>67</v>
      </c>
      <c r="B75" s="121" t="str">
        <f>D75</f>
        <v>Ene 02</v>
      </c>
      <c r="C75" s="121"/>
      <c r="D75" s="638" t="s">
        <v>130</v>
      </c>
      <c r="E75" s="636" t="s">
        <v>128</v>
      </c>
      <c r="F75" s="699">
        <f t="shared" ref="F75:R75" si="151">SUM(F76:F78)</f>
        <v>2</v>
      </c>
      <c r="G75" s="699">
        <f t="shared" si="151"/>
        <v>2</v>
      </c>
      <c r="H75" s="699">
        <f t="shared" si="151"/>
        <v>2</v>
      </c>
      <c r="I75" s="699">
        <f t="shared" si="151"/>
        <v>2</v>
      </c>
      <c r="J75" s="699">
        <f t="shared" si="151"/>
        <v>2</v>
      </c>
      <c r="K75" s="699">
        <f t="shared" si="151"/>
        <v>2</v>
      </c>
      <c r="L75" s="699">
        <f t="shared" si="151"/>
        <v>2</v>
      </c>
      <c r="M75" s="699">
        <f t="shared" si="151"/>
        <v>2</v>
      </c>
      <c r="N75" s="699">
        <f t="shared" si="151"/>
        <v>2</v>
      </c>
      <c r="O75" s="699">
        <f t="shared" si="151"/>
        <v>2</v>
      </c>
      <c r="P75" s="699">
        <f t="shared" si="151"/>
        <v>2</v>
      </c>
      <c r="Q75" s="699">
        <f t="shared" ref="Q75" si="152">SUM(Q76:Q78)</f>
        <v>2</v>
      </c>
      <c r="R75" s="699">
        <f t="shared" si="151"/>
        <v>2</v>
      </c>
      <c r="T75" s="719">
        <f t="shared" si="132"/>
        <v>2</v>
      </c>
      <c r="U75" s="191">
        <f>U77</f>
        <v>0</v>
      </c>
      <c r="V75" s="61"/>
      <c r="W75" s="61"/>
      <c r="X75" s="61">
        <f>'Manuell filtrering og justering'!E30</f>
        <v>0</v>
      </c>
      <c r="Y75" s="61"/>
      <c r="Z75" s="714">
        <f t="shared" ref="Z75" si="153">SUM(Z76:Z78)</f>
        <v>3</v>
      </c>
      <c r="AA75" s="719">
        <f t="shared" si="134"/>
        <v>0</v>
      </c>
      <c r="AB75" s="793">
        <f>SUM(AB76:AB78)</f>
        <v>2</v>
      </c>
      <c r="AD75" s="150">
        <f t="shared" si="135"/>
        <v>1.0370370370370372E-2</v>
      </c>
      <c r="AE75" s="687">
        <f>SUM(AE76:AE78)</f>
        <v>0</v>
      </c>
      <c r="AF75" s="687">
        <f t="shared" ref="AF75:AG75" si="154">SUM(AF76:AF78)</f>
        <v>0</v>
      </c>
      <c r="AG75" s="687">
        <f t="shared" si="154"/>
        <v>0</v>
      </c>
      <c r="AI75" s="714">
        <f t="shared" ref="AI75:AK75" si="155">SUM(AI76:AI78)</f>
        <v>0</v>
      </c>
      <c r="AJ75" s="714">
        <f t="shared" si="155"/>
        <v>0</v>
      </c>
      <c r="AK75" s="714">
        <f t="shared" si="155"/>
        <v>0</v>
      </c>
      <c r="AL75" t="s">
        <v>405</v>
      </c>
      <c r="AM75" s="250"/>
      <c r="AN75" s="159"/>
      <c r="AO75" s="159"/>
      <c r="AP75" s="159"/>
      <c r="AQ75" s="164"/>
      <c r="AS75" s="250"/>
      <c r="AT75" s="159"/>
      <c r="AU75" s="159"/>
      <c r="AV75" s="159"/>
      <c r="AW75" s="164"/>
      <c r="AY75" s="160"/>
      <c r="AZ75" s="161"/>
      <c r="BA75" s="161"/>
      <c r="BB75" s="161"/>
      <c r="BC75" s="165"/>
      <c r="BD75" s="160">
        <f>IF(BC75=0,9,IF((AI75-CG75)&gt;=BC75,5,IF((AI75-CG75)&gt;=BB75,4,IF((AI75-CG75)&gt;=BA75,3,IF((AI75-CG75)&gt;=AZ75,2,IF((AI75-CG75)&lt;AY75,0,1))))))</f>
        <v>9</v>
      </c>
      <c r="BE75" s="45" t="str">
        <f t="shared" si="138"/>
        <v>N/A</v>
      </c>
      <c r="BF75" s="163"/>
      <c r="BG75" s="160">
        <f>IF(BC75=0,9,IF((AJ75-CG75)&gt;=BC75,5,IF((AJ75-CG75)&gt;=BB75,4,IF((AJ75-CG75)&gt;=BA75,3,IF((AJ75-CG75)&gt;=AZ75,2,IF((AJ75-CG75)&lt;AY75,0,1))))))</f>
        <v>9</v>
      </c>
      <c r="BH75" s="45" t="str">
        <f t="shared" si="140"/>
        <v>N/A</v>
      </c>
      <c r="BI75" s="163"/>
      <c r="BJ75" s="160">
        <f>IF(BC75=0,9,IF((AK75-CG75)&gt;=BC75,5,IF((AK75-CG75)&gt;=BB75,4,IF((AK75-CG75)&gt;=BA75,3,IF((AK75-CG75)&gt;=AZ75,2,IF((AK75-CG75)&lt;AY75,0,1))))))</f>
        <v>9</v>
      </c>
      <c r="BK75" s="45" t="str">
        <f t="shared" si="141"/>
        <v>N/A</v>
      </c>
      <c r="BL75" s="163"/>
      <c r="BO75" s="43"/>
      <c r="BP75" s="43"/>
      <c r="BQ75" s="43" t="str">
        <f t="shared" ref="BQ75:BQ138" si="156">IF(BO75&lt;&gt;"",BO75,IF(BP75&lt;&gt;"",BP75,""))</f>
        <v/>
      </c>
      <c r="BR75" s="43">
        <f t="shared" si="54"/>
        <v>9</v>
      </c>
      <c r="BS75" s="43">
        <f t="shared" si="55"/>
        <v>9</v>
      </c>
      <c r="BT75" s="43">
        <f t="shared" si="56"/>
        <v>9</v>
      </c>
      <c r="BW75" s="43" t="str">
        <f>D75</f>
        <v>Ene 02</v>
      </c>
      <c r="BX75" s="43" t="str">
        <f>IFERROR(VLOOKUP($E75,'Pre-Assessment Estimator'!$E$11:$AB$228,'Pre-Assessment Estimator'!AB$2,FALSE),"")</f>
        <v>O2: Sub-met. (AC 4-7: -1,0 c)</v>
      </c>
      <c r="BY75" s="61" t="str">
        <f>IFERROR(VLOOKUP($E75,'Pre-Assessment Estimator'!$E$11:$AI$228,'Pre-Assessment Estimator'!AI$2,FALSE),"")</f>
        <v>Ja</v>
      </c>
      <c r="BZ75" s="43">
        <f>IFERROR(VLOOKUP($BX75,$E$294:$H$327,F$292,FALSE),"")</f>
        <v>-1</v>
      </c>
      <c r="CA75" s="509" t="s">
        <v>408</v>
      </c>
      <c r="CB75" s="43">
        <f>H309</f>
        <v>1</v>
      </c>
      <c r="CC75" t="str">
        <f>IFERROR(VLOOKUP($BX75,$E$294:$H$327,I$292,FALSE),"")</f>
        <v/>
      </c>
      <c r="CD75" s="62" t="s">
        <v>383</v>
      </c>
      <c r="CE75" s="43">
        <f>VLOOKUP(CA75,$CA$4:$CB$5,2,FALSE)</f>
        <v>0</v>
      </c>
      <c r="CG75" s="62">
        <f>IF($BX$5=ais_nei,CE75,IF(CD75=$BY$5,IF(AND(CA75=$CA$4,BX75=$CC$4),0,BZ75),CE75))</f>
        <v>0</v>
      </c>
      <c r="CI75" t="s">
        <v>383</v>
      </c>
    </row>
    <row r="76" spans="1:87" x14ac:dyDescent="0.25">
      <c r="A76">
        <v>68</v>
      </c>
      <c r="B76" t="str">
        <f t="shared" ref="B76:B78" si="157">$D$75&amp;D76</f>
        <v>Ene 02a</v>
      </c>
      <c r="D76" s="144" t="s">
        <v>673</v>
      </c>
      <c r="E76" s="840" t="s">
        <v>605</v>
      </c>
      <c r="F76" s="582">
        <v>1</v>
      </c>
      <c r="G76" s="582">
        <v>1</v>
      </c>
      <c r="H76" s="759">
        <v>0</v>
      </c>
      <c r="I76" s="582">
        <v>1</v>
      </c>
      <c r="J76" s="582">
        <v>1</v>
      </c>
      <c r="K76" s="582">
        <v>1</v>
      </c>
      <c r="L76" s="582">
        <v>1</v>
      </c>
      <c r="M76" s="582">
        <v>1</v>
      </c>
      <c r="N76" s="582">
        <v>1</v>
      </c>
      <c r="O76" s="582">
        <v>1</v>
      </c>
      <c r="P76" s="582">
        <v>1</v>
      </c>
      <c r="Q76" s="582">
        <v>1</v>
      </c>
      <c r="R76" s="582">
        <v>1</v>
      </c>
      <c r="T76" s="148">
        <f t="shared" si="132"/>
        <v>1</v>
      </c>
      <c r="U76" s="146"/>
      <c r="V76" s="43"/>
      <c r="W76" s="43"/>
      <c r="X76" s="43"/>
      <c r="Y76" s="148">
        <f>IF($Y$4=$Y$6,T76,0)</f>
        <v>0</v>
      </c>
      <c r="Z76" s="147">
        <f>VLOOKUP(B76,'Manuell filtrering og justering'!$A$7:$H$107,'Manuell filtrering og justering'!$H$1,FALSE)</f>
        <v>1</v>
      </c>
      <c r="AA76" s="148">
        <f t="shared" si="134"/>
        <v>0</v>
      </c>
      <c r="AB76" s="149">
        <f>IF($AC$5='Manuell filtrering og justering'!$J$2,Z76,(T76-AA76))</f>
        <v>1</v>
      </c>
      <c r="AD76" s="150">
        <f t="shared" si="135"/>
        <v>5.1851851851851859E-3</v>
      </c>
      <c r="AE76" s="150">
        <f t="shared" si="143"/>
        <v>0</v>
      </c>
      <c r="AF76" s="150">
        <f t="shared" si="144"/>
        <v>0</v>
      </c>
      <c r="AG76" s="150">
        <f t="shared" si="145"/>
        <v>0</v>
      </c>
      <c r="AI76" s="151">
        <f>IF(VLOOKUP(E76,'Pre-Assessment Estimator'!$E$11:$Z$228,'Pre-Assessment Estimator'!$G$2,FALSE)&gt;AB76,AB76,VLOOKUP(E76,'Pre-Assessment Estimator'!$E$11:$Z$228,'Pre-Assessment Estimator'!$G$2,FALSE))</f>
        <v>0</v>
      </c>
      <c r="AJ76" s="151">
        <f>IF(VLOOKUP(E76,'Pre-Assessment Estimator'!$E$11:$Z$228,'Pre-Assessment Estimator'!$N$2,FALSE)&gt;AB76,AB76,VLOOKUP(E76,'Pre-Assessment Estimator'!$E$11:$Z$228,'Pre-Assessment Estimator'!$N$2,FALSE))</f>
        <v>0</v>
      </c>
      <c r="AK76" s="151">
        <f>IF(VLOOKUP(E76,'Pre-Assessment Estimator'!$E$11:$Z$228,'Pre-Assessment Estimator'!$U$2,FALSE)&gt;AB76,AB76,VLOOKUP(E76,'Pre-Assessment Estimator'!$E$11:$Z$228,'Pre-Assessment Estimator'!$U$2,FALSE))</f>
        <v>0</v>
      </c>
      <c r="AM76" s="250"/>
      <c r="AN76" s="159"/>
      <c r="AO76" s="159"/>
      <c r="AP76" s="159"/>
      <c r="AQ76" s="164"/>
      <c r="AS76" s="250"/>
      <c r="AT76" s="159"/>
      <c r="AU76" s="159"/>
      <c r="AV76" s="159"/>
      <c r="AW76" s="164"/>
      <c r="AY76" s="160"/>
      <c r="AZ76" s="161"/>
      <c r="BA76" s="161"/>
      <c r="BB76" s="161"/>
      <c r="BC76" s="165"/>
      <c r="BD76" s="160">
        <f t="shared" ref="BD76:BD95" si="158">IF(BC76=0,9,IF((AI76-CG76)&gt;=BC76,5,IF((AI76-CG76)&gt;=BB76,4,IF((AI76-CG76)&gt;=BA76,3,IF((AI76-CG76)&gt;=AZ76,2,IF((AI76-CG76)&lt;AY76,0,1))))))</f>
        <v>9</v>
      </c>
      <c r="BE76" s="45" t="str">
        <f t="shared" si="138"/>
        <v>N/A</v>
      </c>
      <c r="BF76" s="163"/>
      <c r="BG76" s="160">
        <f t="shared" ref="BG76:BG95" si="159">IF(BC76=0,9,IF((AJ76-CG76)&gt;=BC76,5,IF((AJ76-CG76)&gt;=BB76,4,IF((AJ76-CG76)&gt;=BA76,3,IF((AJ76-CG76)&gt;=AZ76,2,IF((AJ76-CG76)&lt;AY76,0,1))))))</f>
        <v>9</v>
      </c>
      <c r="BH76" s="45" t="str">
        <f t="shared" si="140"/>
        <v>N/A</v>
      </c>
      <c r="BI76" s="163"/>
      <c r="BJ76" s="160">
        <f t="shared" ref="BJ76:BJ95" si="160">IF(BC76=0,9,IF((AK76-CG76)&gt;=BC76,5,IF((AK76-CG76)&gt;=BB76,4,IF((AK76-CG76)&gt;=BA76,3,IF((AK76-CG76)&gt;=AZ76,2,IF((AK76-CG76)&lt;AY76,0,1))))))</f>
        <v>9</v>
      </c>
      <c r="BK76" s="45" t="str">
        <f t="shared" si="141"/>
        <v>N/A</v>
      </c>
      <c r="BL76" s="163"/>
      <c r="BO76" s="43"/>
      <c r="BP76" s="43"/>
      <c r="BQ76" s="43" t="str">
        <f t="shared" si="156"/>
        <v/>
      </c>
      <c r="BR76" s="43">
        <f t="shared" si="54"/>
        <v>9</v>
      </c>
      <c r="BS76" s="43">
        <f t="shared" si="55"/>
        <v>9</v>
      </c>
      <c r="BT76" s="43">
        <f t="shared" si="56"/>
        <v>9</v>
      </c>
      <c r="BW76" s="43"/>
      <c r="BX76" s="43"/>
      <c r="BY76" s="61"/>
      <c r="BZ76" s="43"/>
      <c r="CA76" s="510"/>
      <c r="CB76" s="43"/>
      <c r="CD76" s="62"/>
      <c r="CE76" s="43"/>
      <c r="CG76" s="62"/>
    </row>
    <row r="77" spans="1:87" x14ac:dyDescent="0.25">
      <c r="A77">
        <v>69</v>
      </c>
      <c r="B77" t="str">
        <f t="shared" si="157"/>
        <v>Ene 02b</v>
      </c>
      <c r="D77" s="144" t="s">
        <v>676</v>
      </c>
      <c r="E77" s="840" t="s">
        <v>606</v>
      </c>
      <c r="F77" s="582">
        <v>1</v>
      </c>
      <c r="G77" s="582">
        <v>1</v>
      </c>
      <c r="H77" s="759">
        <v>0</v>
      </c>
      <c r="I77" s="582">
        <v>1</v>
      </c>
      <c r="J77" s="582">
        <v>1</v>
      </c>
      <c r="K77" s="582">
        <v>1</v>
      </c>
      <c r="L77" s="582">
        <v>1</v>
      </c>
      <c r="M77" s="582">
        <v>1</v>
      </c>
      <c r="N77" s="582">
        <v>1</v>
      </c>
      <c r="O77" s="582">
        <v>1</v>
      </c>
      <c r="P77" s="582">
        <v>1</v>
      </c>
      <c r="Q77" s="582">
        <v>1</v>
      </c>
      <c r="R77" s="582">
        <v>1</v>
      </c>
      <c r="T77" s="148">
        <f t="shared" si="132"/>
        <v>1</v>
      </c>
      <c r="U77" s="191">
        <f>IF(AND('Assessment Details'!I28=1,'Assessment Details'!F28=AD_no),Poeng!T77,0)</f>
        <v>0</v>
      </c>
      <c r="V77" s="43"/>
      <c r="W77" s="43"/>
      <c r="X77" s="43"/>
      <c r="Y77" s="148">
        <f>IF($Y$4=$Y$6,T77,0)</f>
        <v>0</v>
      </c>
      <c r="Z77" s="147">
        <f>VLOOKUP(B77,'Manuell filtrering og justering'!$A$7:$H$107,'Manuell filtrering og justering'!$H$1,FALSE)</f>
        <v>1</v>
      </c>
      <c r="AA77" s="148">
        <f t="shared" si="134"/>
        <v>0</v>
      </c>
      <c r="AB77" s="149">
        <f>IF($AC$5='Manuell filtrering og justering'!$J$2,Z77,(T77-AA77))</f>
        <v>1</v>
      </c>
      <c r="AD77" s="150">
        <f t="shared" si="135"/>
        <v>5.1851851851851859E-3</v>
      </c>
      <c r="AE77" s="150">
        <f t="shared" si="143"/>
        <v>0</v>
      </c>
      <c r="AF77" s="150">
        <f t="shared" si="144"/>
        <v>0</v>
      </c>
      <c r="AG77" s="150">
        <f t="shared" si="145"/>
        <v>0</v>
      </c>
      <c r="AI77" s="151">
        <f>IF(VLOOKUP(E77,'Pre-Assessment Estimator'!$E$11:$Z$228,'Pre-Assessment Estimator'!$G$2,FALSE)&gt;AB77,AB77,VLOOKUP(E77,'Pre-Assessment Estimator'!$E$11:$Z$228,'Pre-Assessment Estimator'!$G$2,FALSE))</f>
        <v>0</v>
      </c>
      <c r="AJ77" s="151">
        <f>IF(VLOOKUP(E77,'Pre-Assessment Estimator'!$E$11:$Z$228,'Pre-Assessment Estimator'!$N$2,FALSE)&gt;AB77,AB77,VLOOKUP(E77,'Pre-Assessment Estimator'!$E$11:$Z$228,'Pre-Assessment Estimator'!$N$2,FALSE))</f>
        <v>0</v>
      </c>
      <c r="AK77" s="151">
        <f>IF(VLOOKUP(E77,'Pre-Assessment Estimator'!$E$11:$Z$228,'Pre-Assessment Estimator'!$U$2,FALSE)&gt;AB77,AB77,VLOOKUP(E77,'Pre-Assessment Estimator'!$E$11:$Z$228,'Pre-Assessment Estimator'!$U$2,FALSE))</f>
        <v>0</v>
      </c>
      <c r="AM77" s="250"/>
      <c r="AN77" s="159"/>
      <c r="AO77" s="159"/>
      <c r="AP77" s="159"/>
      <c r="AQ77" s="164"/>
      <c r="AS77" s="250"/>
      <c r="AT77" s="159"/>
      <c r="AU77" s="159"/>
      <c r="AV77" s="159"/>
      <c r="AW77" s="164"/>
      <c r="AY77" s="160"/>
      <c r="AZ77" s="161"/>
      <c r="BA77" s="161"/>
      <c r="BB77" s="161"/>
      <c r="BC77" s="165"/>
      <c r="BD77" s="160">
        <f t="shared" si="158"/>
        <v>9</v>
      </c>
      <c r="BE77" s="45" t="str">
        <f t="shared" si="138"/>
        <v>N/A</v>
      </c>
      <c r="BF77" s="163"/>
      <c r="BG77" s="160">
        <f t="shared" si="159"/>
        <v>9</v>
      </c>
      <c r="BH77" s="45" t="str">
        <f t="shared" si="140"/>
        <v>N/A</v>
      </c>
      <c r="BI77" s="163"/>
      <c r="BJ77" s="160">
        <f t="shared" si="160"/>
        <v>9</v>
      </c>
      <c r="BK77" s="45" t="str">
        <f t="shared" si="141"/>
        <v>N/A</v>
      </c>
      <c r="BL77" s="163"/>
      <c r="BO77" s="43"/>
      <c r="BP77" s="43"/>
      <c r="BQ77" s="43" t="str">
        <f t="shared" si="156"/>
        <v/>
      </c>
      <c r="BR77" s="43">
        <f t="shared" si="54"/>
        <v>9</v>
      </c>
      <c r="BS77" s="43">
        <f t="shared" si="55"/>
        <v>9</v>
      </c>
      <c r="BT77" s="43">
        <f t="shared" si="56"/>
        <v>9</v>
      </c>
      <c r="BW77" s="43"/>
      <c r="BX77" s="43"/>
      <c r="BY77" s="61"/>
      <c r="BZ77" s="43"/>
      <c r="CA77" s="510"/>
      <c r="CB77" s="43"/>
      <c r="CD77" s="62"/>
      <c r="CE77" s="43"/>
      <c r="CG77" s="62"/>
    </row>
    <row r="78" spans="1:87" ht="15.75" thickBot="1" x14ac:dyDescent="0.3">
      <c r="A78">
        <v>70</v>
      </c>
      <c r="B78" t="str">
        <f t="shared" si="157"/>
        <v>Ene 02c</v>
      </c>
      <c r="D78" s="146" t="s">
        <v>677</v>
      </c>
      <c r="E78" s="840" t="s">
        <v>607</v>
      </c>
      <c r="F78" s="582">
        <v>0</v>
      </c>
      <c r="G78" s="582">
        <v>0</v>
      </c>
      <c r="H78" s="759">
        <v>2</v>
      </c>
      <c r="I78" s="582">
        <v>0</v>
      </c>
      <c r="J78" s="582">
        <v>0</v>
      </c>
      <c r="K78" s="582">
        <v>0</v>
      </c>
      <c r="L78" s="582">
        <v>0</v>
      </c>
      <c r="M78" s="582">
        <v>0</v>
      </c>
      <c r="N78" s="582">
        <v>0</v>
      </c>
      <c r="O78" s="582">
        <v>0</v>
      </c>
      <c r="P78" s="582">
        <v>0</v>
      </c>
      <c r="Q78" s="582">
        <v>0</v>
      </c>
      <c r="R78" s="582">
        <v>0</v>
      </c>
      <c r="T78" s="148">
        <f t="shared" si="132"/>
        <v>0</v>
      </c>
      <c r="U78" s="146"/>
      <c r="V78" s="43"/>
      <c r="W78" s="48"/>
      <c r="X78" s="43"/>
      <c r="Y78" s="148">
        <f>IF($Y$4=$Y$6,T78,0)</f>
        <v>0</v>
      </c>
      <c r="Z78" s="147">
        <f>VLOOKUP(B78,'Manuell filtrering og justering'!$A$7:$H$107,'Manuell filtrering og justering'!$H$1,FALSE)</f>
        <v>1</v>
      </c>
      <c r="AA78" s="148">
        <f t="shared" si="134"/>
        <v>0</v>
      </c>
      <c r="AB78" s="149">
        <f>IF($AC$5='Manuell filtrering og justering'!$J$2,Z78,(T78-AA78))</f>
        <v>0</v>
      </c>
      <c r="AD78" s="150">
        <f t="shared" si="135"/>
        <v>0</v>
      </c>
      <c r="AE78" s="150">
        <f t="shared" si="143"/>
        <v>0</v>
      </c>
      <c r="AF78" s="150">
        <f t="shared" si="144"/>
        <v>0</v>
      </c>
      <c r="AG78" s="150">
        <f t="shared" si="145"/>
        <v>0</v>
      </c>
      <c r="AI78" s="151">
        <f>IF(VLOOKUP(E78,'Pre-Assessment Estimator'!$E$11:$Z$228,'Pre-Assessment Estimator'!$G$2,FALSE)&gt;AB78,AB78,VLOOKUP(E78,'Pre-Assessment Estimator'!$E$11:$Z$228,'Pre-Assessment Estimator'!$G$2,FALSE))</f>
        <v>0</v>
      </c>
      <c r="AJ78" s="151">
        <f>IF(VLOOKUP(E78,'Pre-Assessment Estimator'!$E$11:$Z$228,'Pre-Assessment Estimator'!$N$2,FALSE)&gt;AB78,AB78,VLOOKUP(E78,'Pre-Assessment Estimator'!$E$11:$Z$228,'Pre-Assessment Estimator'!$N$2,FALSE))</f>
        <v>0</v>
      </c>
      <c r="AK78" s="151">
        <f>IF(VLOOKUP(E78,'Pre-Assessment Estimator'!$E$11:$Z$228,'Pre-Assessment Estimator'!$U$2,FALSE)&gt;AB78,AB78,VLOOKUP(E78,'Pre-Assessment Estimator'!$E$11:$Z$228,'Pre-Assessment Estimator'!$U$2,FALSE))</f>
        <v>0</v>
      </c>
      <c r="AM78" s="250"/>
      <c r="AN78" s="159"/>
      <c r="AO78" s="159"/>
      <c r="AP78" s="159"/>
      <c r="AQ78" s="164"/>
      <c r="AS78" s="250"/>
      <c r="AT78" s="159"/>
      <c r="AU78" s="159"/>
      <c r="AV78" s="159"/>
      <c r="AW78" s="164"/>
      <c r="AY78" s="160"/>
      <c r="AZ78" s="161"/>
      <c r="BA78" s="161"/>
      <c r="BB78" s="161"/>
      <c r="BC78" s="165"/>
      <c r="BD78" s="160">
        <f t="shared" si="158"/>
        <v>9</v>
      </c>
      <c r="BE78" s="45" t="str">
        <f t="shared" si="138"/>
        <v>N/A</v>
      </c>
      <c r="BF78" s="163"/>
      <c r="BG78" s="160">
        <f t="shared" si="159"/>
        <v>9</v>
      </c>
      <c r="BH78" s="45" t="str">
        <f t="shared" si="140"/>
        <v>N/A</v>
      </c>
      <c r="BI78" s="163"/>
      <c r="BJ78" s="160">
        <f t="shared" si="160"/>
        <v>9</v>
      </c>
      <c r="BK78" s="45" t="str">
        <f t="shared" si="141"/>
        <v>N/A</v>
      </c>
      <c r="BL78" s="163"/>
      <c r="BO78" s="43"/>
      <c r="BP78" s="43"/>
      <c r="BQ78" s="43" t="str">
        <f t="shared" si="156"/>
        <v/>
      </c>
      <c r="BR78" s="43">
        <f t="shared" si="54"/>
        <v>9</v>
      </c>
      <c r="BS78" s="43">
        <f t="shared" si="55"/>
        <v>9</v>
      </c>
      <c r="BT78" s="43">
        <f t="shared" si="56"/>
        <v>9</v>
      </c>
      <c r="BW78" s="43"/>
      <c r="BX78" s="43"/>
      <c r="BY78" s="61"/>
      <c r="BZ78" s="43"/>
      <c r="CA78" s="510"/>
      <c r="CB78" s="43"/>
      <c r="CD78" s="62"/>
      <c r="CE78" s="43"/>
      <c r="CG78" s="62"/>
    </row>
    <row r="79" spans="1:87" x14ac:dyDescent="0.25">
      <c r="A79">
        <v>71</v>
      </c>
      <c r="B79" s="121" t="str">
        <f>D79</f>
        <v>Ene 03</v>
      </c>
      <c r="C79" s="121"/>
      <c r="D79" s="706" t="s">
        <v>131</v>
      </c>
      <c r="E79" s="636" t="s">
        <v>123</v>
      </c>
      <c r="F79" s="709">
        <v>1</v>
      </c>
      <c r="G79" s="709">
        <v>1</v>
      </c>
      <c r="H79" s="709">
        <v>1</v>
      </c>
      <c r="I79" s="709">
        <v>1</v>
      </c>
      <c r="J79" s="709">
        <v>1</v>
      </c>
      <c r="K79" s="709">
        <v>1</v>
      </c>
      <c r="L79" s="709">
        <v>1</v>
      </c>
      <c r="M79" s="709">
        <v>1</v>
      </c>
      <c r="N79" s="709">
        <v>1</v>
      </c>
      <c r="O79" s="709">
        <v>1</v>
      </c>
      <c r="P79" s="709">
        <v>1</v>
      </c>
      <c r="Q79" s="709">
        <v>1</v>
      </c>
      <c r="R79" s="709">
        <v>1</v>
      </c>
      <c r="T79" s="719">
        <f t="shared" si="132"/>
        <v>1</v>
      </c>
      <c r="U79" s="191"/>
      <c r="V79" s="818"/>
      <c r="W79" s="131" t="s">
        <v>930</v>
      </c>
      <c r="X79" s="819">
        <f>'Manuell filtrering og justering'!E31</f>
        <v>0</v>
      </c>
      <c r="Y79" s="866"/>
      <c r="Z79" s="733">
        <f>IF((Z80+Z81)&gt;0,1,0)</f>
        <v>1</v>
      </c>
      <c r="AA79" s="719">
        <f t="shared" si="134"/>
        <v>0</v>
      </c>
      <c r="AB79" s="793">
        <f>SUM(AB80:AB81)</f>
        <v>1</v>
      </c>
      <c r="AD79" s="150">
        <f t="shared" si="135"/>
        <v>5.1851851851851859E-3</v>
      </c>
      <c r="AE79" s="687">
        <f>IF(SUM(AE80:AE81)&gt;Ene03_05,Ene03_05,SUM(AE80:AE81))</f>
        <v>0</v>
      </c>
      <c r="AF79" s="687">
        <f>IF(SUM(AF80:AF81)&gt;Ene03_05,Ene03_05,SUM(AF80:AF81))</f>
        <v>0</v>
      </c>
      <c r="AG79" s="687">
        <f>IF(SUM(AG80:AG81)&gt;Ene03_05,Ene03_05,SUM(AG80:AG81))</f>
        <v>0</v>
      </c>
      <c r="AI79" s="714">
        <f>IF(SUM(AI80:AI81)&gt;Ene03_credits,Ene03_credits,SUM(AI80:AI81))</f>
        <v>0</v>
      </c>
      <c r="AJ79" s="714">
        <f>IF(SUM(AJ80:AJ81)&gt;Ene03_credits,Ene03_credits,SUM(AJ80:AJ81))</f>
        <v>0</v>
      </c>
      <c r="AK79" s="714">
        <f>IF(SUM(AK80:AK81)&gt;Ene03_credits,Ene03_credits,SUM(AK80:AK81))</f>
        <v>0</v>
      </c>
      <c r="AL79" t="s">
        <v>405</v>
      </c>
      <c r="AM79" s="251"/>
      <c r="AN79" s="252"/>
      <c r="AO79" s="252"/>
      <c r="AP79" s="252"/>
      <c r="AQ79" s="253"/>
      <c r="AS79" s="251"/>
      <c r="AT79" s="252"/>
      <c r="AU79" s="252"/>
      <c r="AV79" s="252"/>
      <c r="AW79" s="253"/>
      <c r="AY79" s="146"/>
      <c r="AZ79" s="43"/>
      <c r="BA79" s="43"/>
      <c r="BB79" s="43"/>
      <c r="BC79" s="147"/>
      <c r="BD79" s="160">
        <f t="shared" si="158"/>
        <v>9</v>
      </c>
      <c r="BE79" s="45" t="str">
        <f t="shared" si="138"/>
        <v>N/A</v>
      </c>
      <c r="BF79" s="163"/>
      <c r="BG79" s="160">
        <f t="shared" si="159"/>
        <v>9</v>
      </c>
      <c r="BH79" s="45" t="str">
        <f t="shared" si="140"/>
        <v>N/A</v>
      </c>
      <c r="BI79" s="163"/>
      <c r="BJ79" s="160">
        <f t="shared" si="160"/>
        <v>9</v>
      </c>
      <c r="BK79" s="45" t="str">
        <f t="shared" si="141"/>
        <v>N/A</v>
      </c>
      <c r="BL79" s="163"/>
      <c r="BM79" t="s">
        <v>438</v>
      </c>
      <c r="BO79" s="43"/>
      <c r="BP79" s="43"/>
      <c r="BQ79" s="43" t="str">
        <f t="shared" si="156"/>
        <v/>
      </c>
      <c r="BR79" s="43">
        <f t="shared" si="54"/>
        <v>9</v>
      </c>
      <c r="BS79" s="43">
        <f t="shared" si="55"/>
        <v>9</v>
      </c>
      <c r="BT79" s="43">
        <f t="shared" si="56"/>
        <v>9</v>
      </c>
      <c r="BW79" s="43" t="str">
        <f>D79</f>
        <v>Ene 03</v>
      </c>
      <c r="BX79" s="43" t="str">
        <f>IFERROR(VLOOKUP($E79,'Pre-Assessment Estimator'!$E$11:$AB$228,'Pre-Assessment Estimator'!AB$2,FALSE),"")</f>
        <v>No</v>
      </c>
      <c r="BY79" s="61" t="str">
        <f>IFERROR(VLOOKUP($E79,'Pre-Assessment Estimator'!$E$11:$AI$228,'Pre-Assessment Estimator'!AI$2,FALSE),"")</f>
        <v>Ja</v>
      </c>
      <c r="BZ79" s="43">
        <f>IFERROR(VLOOKUP($BX79,$E$294:$H$327,F$292,FALSE),"")</f>
        <v>1</v>
      </c>
      <c r="CA79" s="514" t="s">
        <v>410</v>
      </c>
      <c r="CB79" s="43"/>
      <c r="CC79" t="str">
        <f>IFERROR(VLOOKUP($BX79,$E$294:$H$327,I$292,FALSE),"")</f>
        <v/>
      </c>
      <c r="CD79" t="s">
        <v>416</v>
      </c>
      <c r="CE79" s="43">
        <f>VLOOKUP(CA79,$CA$4:$CB$5,2,FALSE)</f>
        <v>1</v>
      </c>
      <c r="CG79" s="62">
        <f>IF($BX$5=ais_nei,CE79,IF(AND(CA79=$CA$4,BX79=$CC$4),0,BZ79))</f>
        <v>1</v>
      </c>
    </row>
    <row r="80" spans="1:87" x14ac:dyDescent="0.25">
      <c r="A80">
        <v>72</v>
      </c>
      <c r="B80" t="str">
        <f t="shared" ref="B80:B81" si="161">$D$79&amp;D80</f>
        <v>Ene 03a</v>
      </c>
      <c r="D80" s="144" t="s">
        <v>673</v>
      </c>
      <c r="E80" s="840" t="s">
        <v>608</v>
      </c>
      <c r="F80" s="582">
        <v>1</v>
      </c>
      <c r="G80" s="582">
        <v>1</v>
      </c>
      <c r="H80" s="582">
        <v>1</v>
      </c>
      <c r="I80" s="582">
        <v>1</v>
      </c>
      <c r="J80" s="582">
        <v>1</v>
      </c>
      <c r="K80" s="582">
        <v>1</v>
      </c>
      <c r="L80" s="582">
        <v>1</v>
      </c>
      <c r="M80" s="582">
        <v>1</v>
      </c>
      <c r="N80" s="582">
        <v>1</v>
      </c>
      <c r="O80" s="582">
        <v>1</v>
      </c>
      <c r="P80" s="582">
        <v>1</v>
      </c>
      <c r="Q80" s="582">
        <v>1</v>
      </c>
      <c r="R80" s="582">
        <v>1</v>
      </c>
      <c r="T80" s="148">
        <f t="shared" si="132"/>
        <v>1</v>
      </c>
      <c r="U80" s="191">
        <f>IF('Assessment Details'!F18=AD_Yes,Poeng!T80,0)</f>
        <v>0</v>
      </c>
      <c r="V80" s="147"/>
      <c r="W80" s="148">
        <f>IF('Assessment Details'!F18=AD_Yes,Poeng!Z80,0)</f>
        <v>0</v>
      </c>
      <c r="X80" s="204"/>
      <c r="Y80" s="865"/>
      <c r="Z80" s="147">
        <f>VLOOKUP(B80,'Manuell filtrering og justering'!$A$7:$H$107,'Manuell filtrering og justering'!$H$1,FALSE)</f>
        <v>1</v>
      </c>
      <c r="AA80" s="148">
        <f>IF(SUM(U80:V80)&gt;T80,T80,SUM(U80:V80))</f>
        <v>0</v>
      </c>
      <c r="AB80" s="771">
        <f>IF($AC$5='Manuell filtrering og justering'!$J$2,Z80-W80,(T80-AA80))</f>
        <v>1</v>
      </c>
      <c r="AD80" s="150">
        <f t="shared" si="135"/>
        <v>5.1851851851851859E-3</v>
      </c>
      <c r="AE80" s="150">
        <f t="shared" si="143"/>
        <v>0</v>
      </c>
      <c r="AF80" s="150">
        <f t="shared" si="144"/>
        <v>0</v>
      </c>
      <c r="AG80" s="150">
        <f t="shared" si="145"/>
        <v>0</v>
      </c>
      <c r="AI80" s="151">
        <f>IF(VLOOKUP(E80,'Pre-Assessment Estimator'!$E$11:$Z$228,'Pre-Assessment Estimator'!$G$2,FALSE)&gt;AB80,AB80,VLOOKUP(E80,'Pre-Assessment Estimator'!$E$11:$Z$228,'Pre-Assessment Estimator'!$G$2,FALSE))</f>
        <v>0</v>
      </c>
      <c r="AJ80" s="151">
        <f>IF(VLOOKUP(E80,'Pre-Assessment Estimator'!$E$11:$Z$228,'Pre-Assessment Estimator'!$N$2,FALSE)&gt;AB80,AB80,VLOOKUP(E80,'Pre-Assessment Estimator'!$E$11:$Z$228,'Pre-Assessment Estimator'!$N$2,FALSE))</f>
        <v>0</v>
      </c>
      <c r="AK80" s="151">
        <f>IF(VLOOKUP(E80,'Pre-Assessment Estimator'!$E$11:$Z$228,'Pre-Assessment Estimator'!$U$2,FALSE)&gt;AB80,AB80,VLOOKUP(E80,'Pre-Assessment Estimator'!$E$11:$Z$228,'Pre-Assessment Estimator'!$U$2,FALSE))</f>
        <v>0</v>
      </c>
      <c r="AM80" s="251"/>
      <c r="AN80" s="252"/>
      <c r="AO80" s="252"/>
      <c r="AP80" s="252"/>
      <c r="AQ80" s="253"/>
      <c r="AS80" s="251"/>
      <c r="AT80" s="252"/>
      <c r="AU80" s="252"/>
      <c r="AV80" s="252"/>
      <c r="AW80" s="253"/>
      <c r="AY80" s="146"/>
      <c r="AZ80" s="43"/>
      <c r="BA80" s="43"/>
      <c r="BB80" s="43"/>
      <c r="BC80" s="147"/>
      <c r="BD80" s="160">
        <f t="shared" si="158"/>
        <v>9</v>
      </c>
      <c r="BE80" s="45" t="str">
        <f t="shared" si="138"/>
        <v>N/A</v>
      </c>
      <c r="BF80" s="163"/>
      <c r="BG80" s="160">
        <f t="shared" si="159"/>
        <v>9</v>
      </c>
      <c r="BH80" s="45" t="str">
        <f t="shared" si="140"/>
        <v>N/A</v>
      </c>
      <c r="BI80" s="163"/>
      <c r="BJ80" s="160">
        <f t="shared" si="160"/>
        <v>9</v>
      </c>
      <c r="BK80" s="45" t="str">
        <f t="shared" si="141"/>
        <v>N/A</v>
      </c>
      <c r="BL80" s="163"/>
      <c r="BO80" s="43"/>
      <c r="BP80" s="43"/>
      <c r="BQ80" s="43" t="str">
        <f t="shared" si="156"/>
        <v/>
      </c>
      <c r="BR80" s="43">
        <f t="shared" si="54"/>
        <v>9</v>
      </c>
      <c r="BS80" s="43">
        <f t="shared" si="55"/>
        <v>9</v>
      </c>
      <c r="BT80" s="43">
        <f t="shared" si="56"/>
        <v>9</v>
      </c>
      <c r="BW80" s="43"/>
      <c r="BX80" s="43"/>
      <c r="BY80" s="61"/>
      <c r="BZ80" s="43"/>
      <c r="CA80" s="514"/>
      <c r="CB80" s="43"/>
      <c r="CG80" s="62"/>
    </row>
    <row r="81" spans="1:85" ht="15.75" thickBot="1" x14ac:dyDescent="0.3">
      <c r="A81">
        <v>73</v>
      </c>
      <c r="B81" t="str">
        <f t="shared" si="161"/>
        <v>Ene 03b</v>
      </c>
      <c r="D81" s="144" t="s">
        <v>676</v>
      </c>
      <c r="E81" s="840" t="s">
        <v>609</v>
      </c>
      <c r="F81" s="582">
        <v>1</v>
      </c>
      <c r="G81" s="582">
        <v>1</v>
      </c>
      <c r="H81" s="582">
        <v>1</v>
      </c>
      <c r="I81" s="582">
        <v>1</v>
      </c>
      <c r="J81" s="582">
        <v>1</v>
      </c>
      <c r="K81" s="582">
        <v>1</v>
      </c>
      <c r="L81" s="582">
        <v>1</v>
      </c>
      <c r="M81" s="582">
        <v>1</v>
      </c>
      <c r="N81" s="582">
        <v>1</v>
      </c>
      <c r="O81" s="582">
        <v>1</v>
      </c>
      <c r="P81" s="582">
        <v>1</v>
      </c>
      <c r="Q81" s="582">
        <v>1</v>
      </c>
      <c r="R81" s="582">
        <v>1</v>
      </c>
      <c r="T81" s="148">
        <f t="shared" si="132"/>
        <v>1</v>
      </c>
      <c r="U81" s="191">
        <f>IF(U80=0,1,0)</f>
        <v>1</v>
      </c>
      <c r="V81" s="147"/>
      <c r="W81" s="206">
        <f>IF(W80=0,1,0)</f>
        <v>1</v>
      </c>
      <c r="X81" s="204"/>
      <c r="Y81" s="865"/>
      <c r="Z81" s="147">
        <f>VLOOKUP(B81,'Manuell filtrering og justering'!$A$7:$H$107,'Manuell filtrering og justering'!$H$1,FALSE)</f>
        <v>1</v>
      </c>
      <c r="AA81" s="148">
        <f>IF(SUM(U81:V81)&gt;T81,T81,SUM(U81:V81))</f>
        <v>1</v>
      </c>
      <c r="AB81" s="771">
        <f>IF($AC$5='Manuell filtrering og justering'!$J$2,Z81-W81,(T81-AA81))</f>
        <v>0</v>
      </c>
      <c r="AD81" s="150">
        <f t="shared" si="135"/>
        <v>0</v>
      </c>
      <c r="AE81" s="150">
        <f t="shared" si="143"/>
        <v>0</v>
      </c>
      <c r="AF81" s="150">
        <f t="shared" si="144"/>
        <v>0</v>
      </c>
      <c r="AG81" s="150">
        <f t="shared" si="145"/>
        <v>0</v>
      </c>
      <c r="AI81" s="151">
        <f>IF(VLOOKUP(E81,'Pre-Assessment Estimator'!$E$11:$Z$228,'Pre-Assessment Estimator'!$G$2,FALSE)&gt;AB81,AB81,VLOOKUP(E81,'Pre-Assessment Estimator'!$E$11:$Z$228,'Pre-Assessment Estimator'!$G$2,FALSE))</f>
        <v>0</v>
      </c>
      <c r="AJ81" s="151">
        <f>IF(VLOOKUP(E81,'Pre-Assessment Estimator'!$E$11:$Z$228,'Pre-Assessment Estimator'!$N$2,FALSE)&gt;AB81,AB81,VLOOKUP(E81,'Pre-Assessment Estimator'!$E$11:$Z$228,'Pre-Assessment Estimator'!$N$2,FALSE))</f>
        <v>0</v>
      </c>
      <c r="AK81" s="151">
        <f>IF(VLOOKUP(E81,'Pre-Assessment Estimator'!$E$11:$Z$228,'Pre-Assessment Estimator'!$U$2,FALSE)&gt;AB81,AB81,VLOOKUP(E81,'Pre-Assessment Estimator'!$E$11:$Z$228,'Pre-Assessment Estimator'!$U$2,FALSE))</f>
        <v>0</v>
      </c>
      <c r="AM81" s="251"/>
      <c r="AN81" s="252"/>
      <c r="AO81" s="252"/>
      <c r="AP81" s="252"/>
      <c r="AQ81" s="253"/>
      <c r="AS81" s="251"/>
      <c r="AT81" s="252"/>
      <c r="AU81" s="252"/>
      <c r="AV81" s="252"/>
      <c r="AW81" s="253"/>
      <c r="AY81" s="146"/>
      <c r="AZ81" s="43"/>
      <c r="BA81" s="43"/>
      <c r="BB81" s="43"/>
      <c r="BC81" s="147"/>
      <c r="BD81" s="160">
        <f t="shared" si="158"/>
        <v>9</v>
      </c>
      <c r="BE81" s="45" t="str">
        <f t="shared" si="138"/>
        <v>N/A</v>
      </c>
      <c r="BF81" s="163"/>
      <c r="BG81" s="160">
        <f t="shared" si="159"/>
        <v>9</v>
      </c>
      <c r="BH81" s="45" t="str">
        <f t="shared" si="140"/>
        <v>N/A</v>
      </c>
      <c r="BI81" s="163"/>
      <c r="BJ81" s="160">
        <f t="shared" si="160"/>
        <v>9</v>
      </c>
      <c r="BK81" s="45" t="str">
        <f t="shared" si="141"/>
        <v>N/A</v>
      </c>
      <c r="BL81" s="163"/>
      <c r="BO81" s="43"/>
      <c r="BP81" s="43"/>
      <c r="BQ81" s="43" t="str">
        <f t="shared" si="156"/>
        <v/>
      </c>
      <c r="BR81" s="43">
        <f t="shared" si="54"/>
        <v>9</v>
      </c>
      <c r="BS81" s="43">
        <f t="shared" si="55"/>
        <v>9</v>
      </c>
      <c r="BT81" s="43">
        <f t="shared" si="56"/>
        <v>9</v>
      </c>
      <c r="BW81" s="43"/>
      <c r="BX81" s="43"/>
      <c r="BY81" s="61"/>
      <c r="BZ81" s="43"/>
      <c r="CA81" s="514"/>
      <c r="CB81" s="43"/>
      <c r="CG81" s="62"/>
    </row>
    <row r="82" spans="1:85" x14ac:dyDescent="0.25">
      <c r="A82">
        <v>74</v>
      </c>
      <c r="D82" s="523" t="s">
        <v>132</v>
      </c>
      <c r="E82" s="522"/>
      <c r="F82" s="700"/>
      <c r="G82" s="700"/>
      <c r="H82" s="700"/>
      <c r="I82" s="700"/>
      <c r="J82" s="700"/>
      <c r="K82" s="700"/>
      <c r="L82" s="700"/>
      <c r="M82" s="700"/>
      <c r="N82" s="700"/>
      <c r="O82" s="700"/>
      <c r="P82" s="700"/>
      <c r="Q82" s="700"/>
      <c r="R82" s="700"/>
      <c r="T82" s="712"/>
      <c r="U82" s="523"/>
      <c r="V82" s="522"/>
      <c r="W82" s="318"/>
      <c r="X82" s="522"/>
      <c r="Y82" s="711"/>
      <c r="Z82" s="147"/>
      <c r="AA82" s="712"/>
      <c r="AB82" s="713"/>
      <c r="AD82" s="150">
        <f t="shared" si="135"/>
        <v>0</v>
      </c>
      <c r="AE82" s="716"/>
      <c r="AF82" s="716"/>
      <c r="AG82" s="716"/>
      <c r="AI82" s="537"/>
      <c r="AJ82" s="537"/>
      <c r="AK82" s="537"/>
      <c r="AM82" s="250"/>
      <c r="AN82" s="159"/>
      <c r="AO82" s="159"/>
      <c r="AP82" s="159"/>
      <c r="AQ82" s="164"/>
      <c r="AS82" s="250"/>
      <c r="AT82" s="159"/>
      <c r="AU82" s="159"/>
      <c r="AV82" s="159"/>
      <c r="AW82" s="164"/>
      <c r="AY82" s="160"/>
      <c r="AZ82" s="161"/>
      <c r="BA82" s="161"/>
      <c r="BB82" s="161"/>
      <c r="BC82" s="165"/>
      <c r="BD82" s="160">
        <f t="shared" si="158"/>
        <v>9</v>
      </c>
      <c r="BE82" s="45" t="str">
        <f t="shared" si="138"/>
        <v>N/A</v>
      </c>
      <c r="BF82" s="163"/>
      <c r="BG82" s="160">
        <f t="shared" si="159"/>
        <v>9</v>
      </c>
      <c r="BH82" s="45" t="str">
        <f t="shared" si="140"/>
        <v>N/A</v>
      </c>
      <c r="BI82" s="163"/>
      <c r="BJ82" s="160">
        <f t="shared" si="160"/>
        <v>9</v>
      </c>
      <c r="BK82" s="45" t="str">
        <f t="shared" si="141"/>
        <v>N/A</v>
      </c>
      <c r="BL82" s="163"/>
      <c r="BO82" s="43"/>
      <c r="BP82" s="43"/>
      <c r="BQ82" s="43" t="str">
        <f t="shared" si="156"/>
        <v/>
      </c>
      <c r="BR82" s="43">
        <f t="shared" si="54"/>
        <v>9</v>
      </c>
      <c r="BS82" s="43">
        <f t="shared" si="55"/>
        <v>9</v>
      </c>
      <c r="BT82" s="43">
        <f t="shared" si="56"/>
        <v>9</v>
      </c>
      <c r="BW82" s="43" t="str">
        <f>D82</f>
        <v>Ene 04</v>
      </c>
      <c r="BX82" s="43" t="str">
        <f>IFERROR(VLOOKUP($E82,'Pre-Assessment Estimator'!$E$11:$AB$228,'Pre-Assessment Estimator'!AB$2,FALSE),"")</f>
        <v/>
      </c>
      <c r="BY82" s="43" t="str">
        <f>IFERROR(VLOOKUP($E82,'Pre-Assessment Estimator'!$E$11:$AI$228,'Pre-Assessment Estimator'!AI$2,FALSE),"")</f>
        <v/>
      </c>
      <c r="BZ82" s="43" t="str">
        <f>IFERROR(VLOOKUP($BX82,$E$294:$H$327,F$292,FALSE),"")</f>
        <v/>
      </c>
      <c r="CA82" s="43" t="str">
        <f>IFERROR(VLOOKUP($BX82,$E$294:$H$327,G$292,FALSE),"")</f>
        <v/>
      </c>
      <c r="CB82" s="43"/>
      <c r="CC82" t="str">
        <f>IFERROR(VLOOKUP($BX82,$E$294:$H$327,I$292,FALSE),"")</f>
        <v/>
      </c>
    </row>
    <row r="83" spans="1:85" x14ac:dyDescent="0.25">
      <c r="A83">
        <v>75</v>
      </c>
      <c r="B83" s="121" t="str">
        <f>D83</f>
        <v>Ene 05</v>
      </c>
      <c r="C83" s="121"/>
      <c r="D83" s="638" t="s">
        <v>133</v>
      </c>
      <c r="E83" s="636" t="s">
        <v>124</v>
      </c>
      <c r="F83" s="699">
        <f t="shared" ref="F83:R83" si="162">SUM(F84:F85)</f>
        <v>2</v>
      </c>
      <c r="G83" s="699">
        <f t="shared" si="162"/>
        <v>2</v>
      </c>
      <c r="H83" s="699">
        <f t="shared" si="162"/>
        <v>0</v>
      </c>
      <c r="I83" s="699">
        <f t="shared" si="162"/>
        <v>2</v>
      </c>
      <c r="J83" s="699">
        <f t="shared" si="162"/>
        <v>2</v>
      </c>
      <c r="K83" s="699">
        <f t="shared" si="162"/>
        <v>2</v>
      </c>
      <c r="L83" s="699">
        <f t="shared" si="162"/>
        <v>2</v>
      </c>
      <c r="M83" s="699">
        <f t="shared" si="162"/>
        <v>2</v>
      </c>
      <c r="N83" s="699">
        <f t="shared" si="162"/>
        <v>2</v>
      </c>
      <c r="O83" s="699">
        <f t="shared" si="162"/>
        <v>2</v>
      </c>
      <c r="P83" s="699">
        <f t="shared" si="162"/>
        <v>2</v>
      </c>
      <c r="Q83" s="699">
        <f t="shared" ref="Q83" si="163">SUM(Q84:Q85)</f>
        <v>2</v>
      </c>
      <c r="R83" s="699">
        <f t="shared" si="162"/>
        <v>2</v>
      </c>
      <c r="T83" s="719">
        <f t="shared" ref="T83:T94" si="164">HLOOKUP($E$6,$F$9:$R$231,$A83,FALSE)</f>
        <v>2</v>
      </c>
      <c r="U83" s="191">
        <f>U84+U85</f>
        <v>0</v>
      </c>
      <c r="V83" s="61"/>
      <c r="W83" s="61"/>
      <c r="X83" s="61">
        <f>'Manuell filtrering og justering'!E33</f>
        <v>0</v>
      </c>
      <c r="Y83" s="61"/>
      <c r="Z83" s="714">
        <f t="shared" ref="Z83" si="165">SUM(Z84:Z85)</f>
        <v>0</v>
      </c>
      <c r="AA83" s="719">
        <f t="shared" ref="AA83:AA94" si="166">IF(SUM(U83:Y83)&gt;T83,T83,SUM(U83:Y83))</f>
        <v>0</v>
      </c>
      <c r="AB83" s="793">
        <f t="shared" ref="AB83" si="167">SUM(AB84:AB85)</f>
        <v>2</v>
      </c>
      <c r="AD83" s="150">
        <f t="shared" si="135"/>
        <v>1.0370370370370372E-2</v>
      </c>
      <c r="AE83" s="687">
        <f>SUM(AE84:AE85)</f>
        <v>0</v>
      </c>
      <c r="AF83" s="687">
        <f t="shared" ref="AF83:AG83" si="168">SUM(AF84:AF85)</f>
        <v>0</v>
      </c>
      <c r="AG83" s="687">
        <f t="shared" si="168"/>
        <v>0</v>
      </c>
      <c r="AI83" s="714">
        <f t="shared" ref="AI83:AK83" si="169">SUM(AI84:AI85)</f>
        <v>0</v>
      </c>
      <c r="AJ83" s="714">
        <f t="shared" si="169"/>
        <v>0</v>
      </c>
      <c r="AK83" s="714">
        <f t="shared" si="169"/>
        <v>0</v>
      </c>
      <c r="AL83" t="s">
        <v>405</v>
      </c>
      <c r="AM83" s="251"/>
      <c r="AN83" s="252"/>
      <c r="AO83" s="252"/>
      <c r="AP83" s="252"/>
      <c r="AQ83" s="253"/>
      <c r="AS83" s="251"/>
      <c r="AT83" s="252"/>
      <c r="AU83" s="252"/>
      <c r="AV83" s="252"/>
      <c r="AW83" s="253"/>
      <c r="AY83" s="146"/>
      <c r="AZ83" s="43"/>
      <c r="BA83" s="43"/>
      <c r="BB83" s="43"/>
      <c r="BC83" s="147"/>
      <c r="BD83" s="160">
        <f t="shared" si="158"/>
        <v>9</v>
      </c>
      <c r="BE83" s="45" t="str">
        <f t="shared" si="138"/>
        <v>N/A</v>
      </c>
      <c r="BF83" s="163"/>
      <c r="BG83" s="160">
        <f t="shared" si="159"/>
        <v>9</v>
      </c>
      <c r="BH83" s="45" t="str">
        <f t="shared" si="140"/>
        <v>N/A</v>
      </c>
      <c r="BI83" s="163"/>
      <c r="BJ83" s="160">
        <f t="shared" si="160"/>
        <v>9</v>
      </c>
      <c r="BK83" s="45" t="str">
        <f t="shared" si="141"/>
        <v>N/A</v>
      </c>
      <c r="BL83" s="163"/>
      <c r="BO83" s="43"/>
      <c r="BP83" s="43"/>
      <c r="BQ83" s="43" t="str">
        <f t="shared" si="156"/>
        <v/>
      </c>
      <c r="BR83" s="43">
        <f t="shared" si="54"/>
        <v>9</v>
      </c>
      <c r="BS83" s="43">
        <f t="shared" si="55"/>
        <v>9</v>
      </c>
      <c r="BT83" s="43">
        <f t="shared" si="56"/>
        <v>9</v>
      </c>
      <c r="BW83" s="43" t="str">
        <f>D83</f>
        <v>Ene 05</v>
      </c>
      <c r="BX83" s="43" t="str">
        <f>IFERROR(VLOOKUP($E83,'Pre-Assessment Estimator'!$E$11:$AB$228,'Pre-Assessment Estimator'!AB$2,FALSE),"")</f>
        <v>No</v>
      </c>
      <c r="BY83" s="61" t="str">
        <f>IFERROR(VLOOKUP($E83,'Pre-Assessment Estimator'!$E$11:$AI$228,'Pre-Assessment Estimator'!AI$2,FALSE),"")</f>
        <v>Ja</v>
      </c>
      <c r="BZ83" s="43">
        <f>IFERROR(VLOOKUP($BX83,$E$294:$H$327,F$292,FALSE),"")</f>
        <v>1</v>
      </c>
      <c r="CA83" s="514" t="s">
        <v>410</v>
      </c>
      <c r="CB83" s="43"/>
      <c r="CC83" t="str">
        <f>IFERROR(VLOOKUP($BX83,$E$294:$H$327,I$292,FALSE),"")</f>
        <v/>
      </c>
      <c r="CD83" t="s">
        <v>383</v>
      </c>
      <c r="CE83" s="43">
        <f>VLOOKUP(CA83,$CA$4:$CB$5,2,FALSE)</f>
        <v>1</v>
      </c>
      <c r="CG83" s="62">
        <f>IF($BX$5=ais_nei,CE83,IF(AND(CA83=$CA$4,BX83=$CC$4),0,BZ83))</f>
        <v>1</v>
      </c>
    </row>
    <row r="84" spans="1:85" x14ac:dyDescent="0.25">
      <c r="A84">
        <v>76</v>
      </c>
      <c r="B84" t="str">
        <f t="shared" ref="B84:B85" si="170">$D$83&amp;D84</f>
        <v>Ene 05a</v>
      </c>
      <c r="D84" s="144" t="s">
        <v>673</v>
      </c>
      <c r="E84" s="840" t="s">
        <v>610</v>
      </c>
      <c r="F84" s="582">
        <v>1</v>
      </c>
      <c r="G84" s="582">
        <v>1</v>
      </c>
      <c r="H84" s="759">
        <v>0</v>
      </c>
      <c r="I84" s="582">
        <v>1</v>
      </c>
      <c r="J84" s="582">
        <v>1</v>
      </c>
      <c r="K84" s="582">
        <v>1</v>
      </c>
      <c r="L84" s="582">
        <v>1</v>
      </c>
      <c r="M84" s="582">
        <v>1</v>
      </c>
      <c r="N84" s="582">
        <v>1</v>
      </c>
      <c r="O84" s="582">
        <v>1</v>
      </c>
      <c r="P84" s="582">
        <v>1</v>
      </c>
      <c r="Q84" s="582">
        <v>1</v>
      </c>
      <c r="R84" s="582">
        <v>1</v>
      </c>
      <c r="T84" s="148">
        <f t="shared" si="164"/>
        <v>1</v>
      </c>
      <c r="U84" s="191">
        <f>IF(AD_refrig=AD_no,T84,0)</f>
        <v>0</v>
      </c>
      <c r="V84" s="43"/>
      <c r="W84" s="43"/>
      <c r="X84" s="43"/>
      <c r="Y84" s="148">
        <f>IF($Y$4=$Y$6,T84,0)</f>
        <v>0</v>
      </c>
      <c r="Z84" s="147">
        <f>VLOOKUP(B84,'Manuell filtrering og justering'!$A$7:$H$107,'Manuell filtrering og justering'!$H$1,FALSE)</f>
        <v>0</v>
      </c>
      <c r="AA84" s="148">
        <f t="shared" si="166"/>
        <v>0</v>
      </c>
      <c r="AB84" s="149">
        <f>IF($AC$5='Manuell filtrering og justering'!$J$2,Z84,(T84-AA84))</f>
        <v>1</v>
      </c>
      <c r="AD84" s="150">
        <f t="shared" si="135"/>
        <v>5.1851851851851859E-3</v>
      </c>
      <c r="AE84" s="150">
        <f t="shared" si="143"/>
        <v>0</v>
      </c>
      <c r="AF84" s="150">
        <f t="shared" si="144"/>
        <v>0</v>
      </c>
      <c r="AG84" s="150">
        <f t="shared" si="145"/>
        <v>0</v>
      </c>
      <c r="AI84" s="151">
        <f>IF(VLOOKUP(E84,'Pre-Assessment Estimator'!$E$11:$Z$228,'Pre-Assessment Estimator'!$G$2,FALSE)&gt;AB84,AB84,VLOOKUP(E84,'Pre-Assessment Estimator'!$E$11:$Z$228,'Pre-Assessment Estimator'!$G$2,FALSE))</f>
        <v>0</v>
      </c>
      <c r="AJ84" s="151">
        <f>IF(VLOOKUP(E84,'Pre-Assessment Estimator'!$E$11:$Z$228,'Pre-Assessment Estimator'!$N$2,FALSE)&gt;AB84,AB84,VLOOKUP(E84,'Pre-Assessment Estimator'!$E$11:$Z$228,'Pre-Assessment Estimator'!$N$2,FALSE))</f>
        <v>0</v>
      </c>
      <c r="AK84" s="151">
        <f>IF(VLOOKUP(E84,'Pre-Assessment Estimator'!$E$11:$Z$228,'Pre-Assessment Estimator'!$U$2,FALSE)&gt;AB84,AB84,VLOOKUP(E84,'Pre-Assessment Estimator'!$E$11:$Z$228,'Pre-Assessment Estimator'!$U$2,FALSE))</f>
        <v>0</v>
      </c>
      <c r="AM84" s="251"/>
      <c r="AN84" s="252"/>
      <c r="AO84" s="252"/>
      <c r="AP84" s="252"/>
      <c r="AQ84" s="253"/>
      <c r="AS84" s="251"/>
      <c r="AT84" s="252"/>
      <c r="AU84" s="252"/>
      <c r="AV84" s="252"/>
      <c r="AW84" s="253"/>
      <c r="AY84" s="146"/>
      <c r="AZ84" s="43"/>
      <c r="BA84" s="43"/>
      <c r="BB84" s="43"/>
      <c r="BC84" s="147"/>
      <c r="BD84" s="160">
        <f t="shared" si="158"/>
        <v>9</v>
      </c>
      <c r="BE84" s="45" t="str">
        <f t="shared" si="138"/>
        <v>N/A</v>
      </c>
      <c r="BF84" s="163"/>
      <c r="BG84" s="160">
        <f t="shared" si="159"/>
        <v>9</v>
      </c>
      <c r="BH84" s="45" t="str">
        <f t="shared" si="140"/>
        <v>N/A</v>
      </c>
      <c r="BI84" s="163"/>
      <c r="BJ84" s="160">
        <f t="shared" si="160"/>
        <v>9</v>
      </c>
      <c r="BK84" s="45" t="str">
        <f t="shared" si="141"/>
        <v>N/A</v>
      </c>
      <c r="BL84" s="163"/>
      <c r="BO84" s="43"/>
      <c r="BP84" s="43"/>
      <c r="BQ84" s="43" t="str">
        <f t="shared" si="156"/>
        <v/>
      </c>
      <c r="BR84" s="43">
        <f t="shared" si="54"/>
        <v>9</v>
      </c>
      <c r="BS84" s="43">
        <f t="shared" si="55"/>
        <v>9</v>
      </c>
      <c r="BT84" s="43">
        <f t="shared" si="56"/>
        <v>9</v>
      </c>
      <c r="BW84" s="43"/>
      <c r="BX84" s="43"/>
      <c r="BY84" s="61"/>
      <c r="BZ84" s="43"/>
      <c r="CA84" s="514"/>
      <c r="CB84" s="43"/>
      <c r="CG84" s="62"/>
    </row>
    <row r="85" spans="1:85" x14ac:dyDescent="0.25">
      <c r="A85">
        <v>77</v>
      </c>
      <c r="B85" t="str">
        <f t="shared" si="170"/>
        <v>Ene 05b</v>
      </c>
      <c r="D85" s="144" t="s">
        <v>676</v>
      </c>
      <c r="E85" s="840" t="s">
        <v>611</v>
      </c>
      <c r="F85" s="582">
        <v>1</v>
      </c>
      <c r="G85" s="582">
        <v>1</v>
      </c>
      <c r="H85" s="759">
        <v>0</v>
      </c>
      <c r="I85" s="582">
        <v>1</v>
      </c>
      <c r="J85" s="582">
        <v>1</v>
      </c>
      <c r="K85" s="582">
        <v>1</v>
      </c>
      <c r="L85" s="582">
        <v>1</v>
      </c>
      <c r="M85" s="582">
        <v>1</v>
      </c>
      <c r="N85" s="582">
        <v>1</v>
      </c>
      <c r="O85" s="582">
        <v>1</v>
      </c>
      <c r="P85" s="582">
        <v>1</v>
      </c>
      <c r="Q85" s="582">
        <v>1</v>
      </c>
      <c r="R85" s="582">
        <v>1</v>
      </c>
      <c r="T85" s="148">
        <f t="shared" si="164"/>
        <v>1</v>
      </c>
      <c r="U85" s="191">
        <f>IF(AD_refrig=AD_no,T85,0)</f>
        <v>0</v>
      </c>
      <c r="V85" s="43"/>
      <c r="W85" s="43"/>
      <c r="X85" s="43"/>
      <c r="Y85" s="148">
        <f>IF($Y$4=$Y$6,T85,0)</f>
        <v>0</v>
      </c>
      <c r="Z85" s="147">
        <f>VLOOKUP(B85,'Manuell filtrering og justering'!$A$7:$H$107,'Manuell filtrering og justering'!$H$1,FALSE)</f>
        <v>0</v>
      </c>
      <c r="AA85" s="148">
        <f t="shared" si="166"/>
        <v>0</v>
      </c>
      <c r="AB85" s="149">
        <f>IF($AC$5='Manuell filtrering og justering'!$J$2,Z85,(T85-AA85))</f>
        <v>1</v>
      </c>
      <c r="AD85" s="150">
        <f t="shared" si="135"/>
        <v>5.1851851851851859E-3</v>
      </c>
      <c r="AE85" s="150">
        <f t="shared" si="143"/>
        <v>0</v>
      </c>
      <c r="AF85" s="150">
        <f t="shared" si="144"/>
        <v>0</v>
      </c>
      <c r="AG85" s="150">
        <f t="shared" si="145"/>
        <v>0</v>
      </c>
      <c r="AI85" s="151">
        <f>IF(VLOOKUP(E85,'Pre-Assessment Estimator'!$E$11:$Z$228,'Pre-Assessment Estimator'!$G$2,FALSE)&gt;AB85,AB85,VLOOKUP(E85,'Pre-Assessment Estimator'!$E$11:$Z$228,'Pre-Assessment Estimator'!$G$2,FALSE))</f>
        <v>0</v>
      </c>
      <c r="AJ85" s="151">
        <f>IF(VLOOKUP(E85,'Pre-Assessment Estimator'!$E$11:$Z$228,'Pre-Assessment Estimator'!$N$2,FALSE)&gt;AB85,AB85,VLOOKUP(E85,'Pre-Assessment Estimator'!$E$11:$Z$228,'Pre-Assessment Estimator'!$N$2,FALSE))</f>
        <v>0</v>
      </c>
      <c r="AK85" s="151">
        <f>IF(VLOOKUP(E85,'Pre-Assessment Estimator'!$E$11:$Z$228,'Pre-Assessment Estimator'!$U$2,FALSE)&gt;AB85,AB85,VLOOKUP(E85,'Pre-Assessment Estimator'!$E$11:$Z$228,'Pre-Assessment Estimator'!$U$2,FALSE))</f>
        <v>0</v>
      </c>
      <c r="AM85" s="251"/>
      <c r="AN85" s="252"/>
      <c r="AO85" s="252"/>
      <c r="AP85" s="252"/>
      <c r="AQ85" s="253"/>
      <c r="AS85" s="251"/>
      <c r="AT85" s="252"/>
      <c r="AU85" s="252"/>
      <c r="AV85" s="252"/>
      <c r="AW85" s="253"/>
      <c r="AY85" s="146"/>
      <c r="AZ85" s="43"/>
      <c r="BA85" s="43"/>
      <c r="BB85" s="43"/>
      <c r="BC85" s="147"/>
      <c r="BD85" s="160">
        <f t="shared" si="158"/>
        <v>9</v>
      </c>
      <c r="BE85" s="45" t="str">
        <f t="shared" si="138"/>
        <v>N/A</v>
      </c>
      <c r="BF85" s="163"/>
      <c r="BG85" s="160">
        <f t="shared" si="159"/>
        <v>9</v>
      </c>
      <c r="BH85" s="45" t="str">
        <f t="shared" si="140"/>
        <v>N/A</v>
      </c>
      <c r="BI85" s="163"/>
      <c r="BJ85" s="160">
        <f t="shared" si="160"/>
        <v>9</v>
      </c>
      <c r="BK85" s="45" t="str">
        <f t="shared" si="141"/>
        <v>N/A</v>
      </c>
      <c r="BL85" s="163"/>
      <c r="BO85" s="43"/>
      <c r="BP85" s="43"/>
      <c r="BQ85" s="43" t="str">
        <f t="shared" si="156"/>
        <v/>
      </c>
      <c r="BR85" s="43">
        <f t="shared" si="54"/>
        <v>9</v>
      </c>
      <c r="BS85" s="43">
        <f t="shared" si="55"/>
        <v>9</v>
      </c>
      <c r="BT85" s="43">
        <f t="shared" si="56"/>
        <v>9</v>
      </c>
      <c r="BW85" s="43"/>
      <c r="BX85" s="43"/>
      <c r="BY85" s="61"/>
      <c r="BZ85" s="43"/>
      <c r="CA85" s="514"/>
      <c r="CB85" s="43"/>
      <c r="CG85" s="62"/>
    </row>
    <row r="86" spans="1:85" x14ac:dyDescent="0.25">
      <c r="A86">
        <v>78</v>
      </c>
      <c r="B86" s="121" t="str">
        <f>D86</f>
        <v>Ene 06</v>
      </c>
      <c r="C86" s="121"/>
      <c r="D86" s="638" t="s">
        <v>134</v>
      </c>
      <c r="E86" s="636" t="s">
        <v>125</v>
      </c>
      <c r="F86" s="699">
        <f t="shared" ref="F86:R86" si="171">SUM(F87:F89)</f>
        <v>3</v>
      </c>
      <c r="G86" s="699">
        <f t="shared" si="171"/>
        <v>3</v>
      </c>
      <c r="H86" s="699">
        <f t="shared" si="171"/>
        <v>3</v>
      </c>
      <c r="I86" s="699">
        <f t="shared" si="171"/>
        <v>3</v>
      </c>
      <c r="J86" s="699">
        <f t="shared" si="171"/>
        <v>3</v>
      </c>
      <c r="K86" s="699">
        <f t="shared" si="171"/>
        <v>3</v>
      </c>
      <c r="L86" s="699">
        <f t="shared" si="171"/>
        <v>3</v>
      </c>
      <c r="M86" s="699">
        <f t="shared" si="171"/>
        <v>3</v>
      </c>
      <c r="N86" s="699">
        <f t="shared" si="171"/>
        <v>3</v>
      </c>
      <c r="O86" s="699">
        <f t="shared" si="171"/>
        <v>3</v>
      </c>
      <c r="P86" s="699">
        <f t="shared" si="171"/>
        <v>3</v>
      </c>
      <c r="Q86" s="699">
        <f t="shared" ref="Q86" si="172">SUM(Q87:Q89)</f>
        <v>3</v>
      </c>
      <c r="R86" s="699">
        <f t="shared" si="171"/>
        <v>3</v>
      </c>
      <c r="T86" s="719">
        <f t="shared" si="164"/>
        <v>3</v>
      </c>
      <c r="U86" s="61">
        <f>U87+U88+U89</f>
        <v>0</v>
      </c>
      <c r="V86" s="61"/>
      <c r="W86" s="61"/>
      <c r="X86" s="61">
        <f>'Manuell filtrering og justering'!E34</f>
        <v>0</v>
      </c>
      <c r="Y86" s="61"/>
      <c r="Z86" s="714">
        <f t="shared" ref="Z86" si="173">SUM(Z87:Z89)</f>
        <v>2</v>
      </c>
      <c r="AA86" s="719">
        <f t="shared" si="166"/>
        <v>0</v>
      </c>
      <c r="AB86" s="793">
        <f>SUM(AB87:AB89)</f>
        <v>3</v>
      </c>
      <c r="AD86" s="150">
        <f t="shared" si="135"/>
        <v>1.5555555555555559E-2</v>
      </c>
      <c r="AE86" s="687">
        <f>SUM(AE87:AE89)</f>
        <v>0</v>
      </c>
      <c r="AF86" s="687">
        <f t="shared" ref="AF86:AG86" si="174">SUM(AF87:AF89)</f>
        <v>0</v>
      </c>
      <c r="AG86" s="687">
        <f t="shared" si="174"/>
        <v>0</v>
      </c>
      <c r="AI86" s="714">
        <f t="shared" ref="AI86:AK86" si="175">SUM(AI87:AI89)</f>
        <v>0</v>
      </c>
      <c r="AJ86" s="714">
        <f t="shared" si="175"/>
        <v>0</v>
      </c>
      <c r="AK86" s="714">
        <f t="shared" si="175"/>
        <v>0</v>
      </c>
      <c r="AM86" s="251"/>
      <c r="AN86" s="252"/>
      <c r="AO86" s="252"/>
      <c r="AP86" s="252"/>
      <c r="AQ86" s="253"/>
      <c r="AS86" s="251"/>
      <c r="AT86" s="252"/>
      <c r="AU86" s="252"/>
      <c r="AV86" s="252"/>
      <c r="AW86" s="253"/>
      <c r="AY86" s="146"/>
      <c r="AZ86" s="43"/>
      <c r="BA86" s="43"/>
      <c r="BB86" s="43"/>
      <c r="BC86" s="147"/>
      <c r="BD86" s="160">
        <f t="shared" si="158"/>
        <v>9</v>
      </c>
      <c r="BE86" s="45" t="str">
        <f t="shared" si="138"/>
        <v>N/A</v>
      </c>
      <c r="BF86" s="163"/>
      <c r="BG86" s="160">
        <f t="shared" si="159"/>
        <v>9</v>
      </c>
      <c r="BH86" s="45" t="str">
        <f t="shared" si="140"/>
        <v>N/A</v>
      </c>
      <c r="BI86" s="163"/>
      <c r="BJ86" s="160">
        <f t="shared" si="160"/>
        <v>9</v>
      </c>
      <c r="BK86" s="45" t="str">
        <f t="shared" si="141"/>
        <v>N/A</v>
      </c>
      <c r="BL86" s="163"/>
      <c r="BO86" s="43"/>
      <c r="BP86" s="43"/>
      <c r="BQ86" s="43" t="str">
        <f t="shared" si="156"/>
        <v/>
      </c>
      <c r="BR86" s="43">
        <f t="shared" si="54"/>
        <v>9</v>
      </c>
      <c r="BS86" s="43">
        <f t="shared" si="55"/>
        <v>9</v>
      </c>
      <c r="BT86" s="43">
        <f t="shared" si="56"/>
        <v>9</v>
      </c>
      <c r="BW86" s="43" t="str">
        <f>D86</f>
        <v>Ene 06</v>
      </c>
      <c r="BX86" s="43" t="str">
        <f>IFERROR(VLOOKUP($E86,'Pre-Assessment Estimator'!$E$11:$AB$228,'Pre-Assessment Estimator'!AB$2,FALSE),"")</f>
        <v>No</v>
      </c>
      <c r="BY86" s="43">
        <f>IFERROR(VLOOKUP($E86,'Pre-Assessment Estimator'!$E$11:$AI$228,'Pre-Assessment Estimator'!AI$2,FALSE),"")</f>
        <v>0</v>
      </c>
      <c r="BZ86" s="43">
        <f>IFERROR(VLOOKUP($BX86,$E$294:$H$327,F$292,FALSE),"")</f>
        <v>1</v>
      </c>
      <c r="CA86" s="43">
        <f>IFERROR(VLOOKUP($BX86,$E$294:$H$327,G$292,FALSE),"")</f>
        <v>0</v>
      </c>
      <c r="CB86" s="43"/>
      <c r="CC86" t="str">
        <f>IFERROR(VLOOKUP($BX86,$E$294:$H$327,I$292,FALSE),"")</f>
        <v/>
      </c>
    </row>
    <row r="87" spans="1:85" x14ac:dyDescent="0.25">
      <c r="A87">
        <v>79</v>
      </c>
      <c r="B87" t="str">
        <f t="shared" ref="B87:B89" si="176">$D$86&amp;D87</f>
        <v>Ene 06a</v>
      </c>
      <c r="D87" s="144" t="s">
        <v>673</v>
      </c>
      <c r="E87" s="840" t="s">
        <v>870</v>
      </c>
      <c r="F87" s="582">
        <v>1</v>
      </c>
      <c r="G87" s="582">
        <v>1</v>
      </c>
      <c r="H87" s="582">
        <v>1</v>
      </c>
      <c r="I87" s="582">
        <v>1</v>
      </c>
      <c r="J87" s="582">
        <v>1</v>
      </c>
      <c r="K87" s="582">
        <v>1</v>
      </c>
      <c r="L87" s="582">
        <v>1</v>
      </c>
      <c r="M87" s="582">
        <v>1</v>
      </c>
      <c r="N87" s="582">
        <v>1</v>
      </c>
      <c r="O87" s="582">
        <v>1</v>
      </c>
      <c r="P87" s="582">
        <v>1</v>
      </c>
      <c r="Q87" s="582">
        <v>1</v>
      </c>
      <c r="R87" s="582">
        <v>1</v>
      </c>
      <c r="T87" s="148">
        <f t="shared" si="164"/>
        <v>1</v>
      </c>
      <c r="U87" s="191">
        <f>IF(AD_Trans=AD_no,Poeng!T87,0)</f>
        <v>0</v>
      </c>
      <c r="V87" s="43"/>
      <c r="W87" s="43"/>
      <c r="X87" s="43"/>
      <c r="Y87" s="147"/>
      <c r="Z87" s="147">
        <f>VLOOKUP(B87,'Manuell filtrering og justering'!$A$7:$H$107,'Manuell filtrering og justering'!$H$1,FALSE)</f>
        <v>1</v>
      </c>
      <c r="AA87" s="148">
        <f t="shared" si="166"/>
        <v>0</v>
      </c>
      <c r="AB87" s="149">
        <f>IF($AC$5='Manuell filtrering og justering'!$J$2,Z87,(T87-AA87))</f>
        <v>1</v>
      </c>
      <c r="AD87" s="150">
        <f t="shared" si="135"/>
        <v>5.1851851851851859E-3</v>
      </c>
      <c r="AE87" s="150">
        <f t="shared" si="143"/>
        <v>0</v>
      </c>
      <c r="AF87" s="150">
        <f t="shared" si="144"/>
        <v>0</v>
      </c>
      <c r="AG87" s="150">
        <f t="shared" si="145"/>
        <v>0</v>
      </c>
      <c r="AI87" s="151">
        <f>IF(VLOOKUP(E87,'Pre-Assessment Estimator'!$E$11:$Z$228,'Pre-Assessment Estimator'!$G$2,FALSE)&gt;AB87,AB87,VLOOKUP(E87,'Pre-Assessment Estimator'!$E$11:$Z$228,'Pre-Assessment Estimator'!$G$2,FALSE))</f>
        <v>0</v>
      </c>
      <c r="AJ87" s="151">
        <f>IF(VLOOKUP(E87,'Pre-Assessment Estimator'!$E$11:$Z$228,'Pre-Assessment Estimator'!$N$2,FALSE)&gt;AB87,AB87,VLOOKUP(E87,'Pre-Assessment Estimator'!$E$11:$Z$228,'Pre-Assessment Estimator'!$N$2,FALSE))</f>
        <v>0</v>
      </c>
      <c r="AK87" s="151">
        <f>IF(VLOOKUP(E87,'Pre-Assessment Estimator'!$E$11:$Z$228,'Pre-Assessment Estimator'!$U$2,FALSE)&gt;AB87,AB87,VLOOKUP(E87,'Pre-Assessment Estimator'!$E$11:$Z$228,'Pre-Assessment Estimator'!$U$2,FALSE))</f>
        <v>0</v>
      </c>
      <c r="AM87" s="251"/>
      <c r="AN87" s="252"/>
      <c r="AO87" s="252"/>
      <c r="AP87" s="252"/>
      <c r="AQ87" s="253"/>
      <c r="AS87" s="251"/>
      <c r="AT87" s="252"/>
      <c r="AU87" s="252"/>
      <c r="AV87" s="252"/>
      <c r="AW87" s="253"/>
      <c r="AY87" s="146"/>
      <c r="AZ87" s="43"/>
      <c r="BA87" s="43"/>
      <c r="BB87" s="43"/>
      <c r="BC87" s="147"/>
      <c r="BD87" s="160">
        <f t="shared" si="158"/>
        <v>9</v>
      </c>
      <c r="BE87" s="45" t="str">
        <f t="shared" si="138"/>
        <v>N/A</v>
      </c>
      <c r="BF87" s="163"/>
      <c r="BG87" s="160">
        <f t="shared" si="159"/>
        <v>9</v>
      </c>
      <c r="BH87" s="45" t="str">
        <f t="shared" si="140"/>
        <v>N/A</v>
      </c>
      <c r="BI87" s="163"/>
      <c r="BJ87" s="160">
        <f t="shared" si="160"/>
        <v>9</v>
      </c>
      <c r="BK87" s="45" t="str">
        <f t="shared" si="141"/>
        <v>N/A</v>
      </c>
      <c r="BL87" s="163"/>
      <c r="BO87" s="43"/>
      <c r="BP87" s="43"/>
      <c r="BQ87" s="43" t="str">
        <f t="shared" si="156"/>
        <v/>
      </c>
      <c r="BR87" s="43">
        <f t="shared" si="54"/>
        <v>9</v>
      </c>
      <c r="BS87" s="43">
        <f t="shared" si="55"/>
        <v>9</v>
      </c>
      <c r="BT87" s="43">
        <f t="shared" si="56"/>
        <v>9</v>
      </c>
      <c r="BW87" s="43"/>
      <c r="BX87" s="43"/>
      <c r="BY87" s="43"/>
      <c r="BZ87" s="43"/>
      <c r="CA87" s="43"/>
      <c r="CB87" s="43"/>
    </row>
    <row r="88" spans="1:85" x14ac:dyDescent="0.25">
      <c r="A88">
        <v>80</v>
      </c>
      <c r="B88" t="str">
        <f t="shared" si="176"/>
        <v>Ene 06b</v>
      </c>
      <c r="D88" s="144" t="s">
        <v>676</v>
      </c>
      <c r="E88" s="840" t="s">
        <v>971</v>
      </c>
      <c r="F88" s="582">
        <v>1</v>
      </c>
      <c r="G88" s="582">
        <v>1</v>
      </c>
      <c r="H88" s="582">
        <v>1</v>
      </c>
      <c r="I88" s="582">
        <v>1</v>
      </c>
      <c r="J88" s="582">
        <v>1</v>
      </c>
      <c r="K88" s="582">
        <v>1</v>
      </c>
      <c r="L88" s="582">
        <v>1</v>
      </c>
      <c r="M88" s="582">
        <v>1</v>
      </c>
      <c r="N88" s="582">
        <v>1</v>
      </c>
      <c r="O88" s="582">
        <v>1</v>
      </c>
      <c r="P88" s="582">
        <v>1</v>
      </c>
      <c r="Q88" s="582">
        <v>1</v>
      </c>
      <c r="R88" s="582">
        <v>1</v>
      </c>
      <c r="T88" s="148">
        <f t="shared" si="164"/>
        <v>1</v>
      </c>
      <c r="U88" s="191">
        <f>IF(OR(AD_Trans='Assessment Details'!R57,AD_Trans='Assessment Details'!Q57),Poeng!T88,0)</f>
        <v>0</v>
      </c>
      <c r="V88" s="43"/>
      <c r="W88" s="43"/>
      <c r="X88" s="43"/>
      <c r="Y88" s="147"/>
      <c r="Z88" s="147">
        <f>VLOOKUP(B88,'Manuell filtrering og justering'!$A$7:$H$107,'Manuell filtrering og justering'!$H$1,FALSE)</f>
        <v>1</v>
      </c>
      <c r="AA88" s="148">
        <f t="shared" si="166"/>
        <v>0</v>
      </c>
      <c r="AB88" s="149">
        <f>IF($AC$5='Manuell filtrering og justering'!$J$2,Z88,(T88-AA88))</f>
        <v>1</v>
      </c>
      <c r="AD88" s="150">
        <f t="shared" ref="AD88" si="177">(Ene_Weight/Ene_Credits)*AB88</f>
        <v>5.1851851851851859E-3</v>
      </c>
      <c r="AE88" s="150">
        <f t="shared" ref="AE88" si="178">IF(AB88=0,0,(AD88/AB88)*AI88)</f>
        <v>0</v>
      </c>
      <c r="AF88" s="150">
        <f t="shared" ref="AF88" si="179">IF(AB88=0,0,(AD88/AB88)*AJ88)</f>
        <v>0</v>
      </c>
      <c r="AG88" s="150">
        <f t="shared" ref="AG88" si="180">IF(AB88=0,0,(AD88/AB88)*AK88)</f>
        <v>0</v>
      </c>
      <c r="AI88" s="151">
        <f>IF(VLOOKUP(E88,'Pre-Assessment Estimator'!$E$11:$Z$228,'Pre-Assessment Estimator'!$G$2,FALSE)&gt;AB88,AB88,VLOOKUP(E88,'Pre-Assessment Estimator'!$E$11:$Z$228,'Pre-Assessment Estimator'!$G$2,FALSE))</f>
        <v>0</v>
      </c>
      <c r="AJ88" s="151">
        <f>IF(VLOOKUP(E88,'Pre-Assessment Estimator'!$E$11:$Z$228,'Pre-Assessment Estimator'!$N$2,FALSE)&gt;AB88,AB88,VLOOKUP(E88,'Pre-Assessment Estimator'!$E$11:$Z$228,'Pre-Assessment Estimator'!$N$2,FALSE))</f>
        <v>0</v>
      </c>
      <c r="AK88" s="151">
        <f>IF(VLOOKUP(E88,'Pre-Assessment Estimator'!$E$11:$Z$228,'Pre-Assessment Estimator'!$U$2,FALSE)&gt;AB88,AB88,VLOOKUP(E88,'Pre-Assessment Estimator'!$E$11:$Z$228,'Pre-Assessment Estimator'!$U$2,FALSE))</f>
        <v>0</v>
      </c>
      <c r="AM88" s="251"/>
      <c r="AN88" s="252"/>
      <c r="AO88" s="252"/>
      <c r="AP88" s="252"/>
      <c r="AQ88" s="253"/>
      <c r="AS88" s="251"/>
      <c r="AT88" s="252"/>
      <c r="AU88" s="252"/>
      <c r="AV88" s="252"/>
      <c r="AW88" s="253"/>
      <c r="AY88" s="146"/>
      <c r="AZ88" s="43"/>
      <c r="BA88" s="43"/>
      <c r="BB88" s="43"/>
      <c r="BC88" s="147"/>
      <c r="BD88" s="160">
        <f t="shared" ref="BD88" si="181">IF(BC88=0,9,IF((AI88-CG88)&gt;=BC88,5,IF((AI88-CG88)&gt;=BB88,4,IF((AI88-CG88)&gt;=BA88,3,IF((AI88-CG88)&gt;=AZ88,2,IF((AI88-CG88)&lt;AY88,0,1))))))</f>
        <v>9</v>
      </c>
      <c r="BE88" s="45" t="str">
        <f t="shared" si="138"/>
        <v>N/A</v>
      </c>
      <c r="BF88" s="163"/>
      <c r="BG88" s="160">
        <f t="shared" ref="BG88" si="182">IF(BC88=0,9,IF((AJ88-CG88)&gt;=BC88,5,IF((AJ88-CG88)&gt;=BB88,4,IF((AJ88-CG88)&gt;=BA88,3,IF((AJ88-CG88)&gt;=AZ88,2,IF((AJ88-CG88)&lt;AY88,0,1))))))</f>
        <v>9</v>
      </c>
      <c r="BH88" s="45" t="str">
        <f t="shared" si="140"/>
        <v>N/A</v>
      </c>
      <c r="BI88" s="163"/>
      <c r="BJ88" s="160">
        <f t="shared" ref="BJ88" si="183">IF(BC88=0,9,IF((AK88-CG88)&gt;=BC88,5,IF((AK88-CG88)&gt;=BB88,4,IF((AK88-CG88)&gt;=BA88,3,IF((AK88-CG88)&gt;=AZ88,2,IF((AK88-CG88)&lt;AY88,0,1))))))</f>
        <v>9</v>
      </c>
      <c r="BK88" s="45" t="str">
        <f t="shared" si="141"/>
        <v>N/A</v>
      </c>
      <c r="BL88" s="163"/>
      <c r="BO88" s="43"/>
      <c r="BP88" s="43"/>
      <c r="BQ88" s="43" t="str">
        <f t="shared" si="156"/>
        <v/>
      </c>
      <c r="BR88" s="43">
        <f t="shared" si="54"/>
        <v>9</v>
      </c>
      <c r="BS88" s="43">
        <f t="shared" si="55"/>
        <v>9</v>
      </c>
      <c r="BT88" s="43">
        <f t="shared" si="56"/>
        <v>9</v>
      </c>
      <c r="BW88" s="43"/>
      <c r="BX88" s="43"/>
      <c r="BY88" s="43"/>
      <c r="BZ88" s="43"/>
      <c r="CA88" s="43"/>
      <c r="CB88" s="43"/>
    </row>
    <row r="89" spans="1:85" x14ac:dyDescent="0.25">
      <c r="A89">
        <v>81</v>
      </c>
      <c r="B89" t="str">
        <f t="shared" si="176"/>
        <v>Ene 06c</v>
      </c>
      <c r="D89" s="144" t="s">
        <v>677</v>
      </c>
      <c r="E89" s="840" t="s">
        <v>972</v>
      </c>
      <c r="F89" s="582">
        <v>1</v>
      </c>
      <c r="G89" s="582">
        <v>1</v>
      </c>
      <c r="H89" s="582">
        <v>1</v>
      </c>
      <c r="I89" s="582">
        <v>1</v>
      </c>
      <c r="J89" s="582">
        <v>1</v>
      </c>
      <c r="K89" s="582">
        <v>1</v>
      </c>
      <c r="L89" s="582">
        <v>1</v>
      </c>
      <c r="M89" s="582">
        <v>1</v>
      </c>
      <c r="N89" s="582">
        <v>1</v>
      </c>
      <c r="O89" s="582">
        <v>1</v>
      </c>
      <c r="P89" s="582">
        <v>1</v>
      </c>
      <c r="Q89" s="582">
        <v>1</v>
      </c>
      <c r="R89" s="582">
        <v>1</v>
      </c>
      <c r="T89" s="148">
        <f t="shared" si="164"/>
        <v>1</v>
      </c>
      <c r="U89" s="191">
        <f>IF(OR(AD_Trans='Assessment Details'!R57,AD_Trans='Assessment Details'!Q56),Poeng!T88,0)</f>
        <v>0</v>
      </c>
      <c r="V89" s="43"/>
      <c r="W89" s="43"/>
      <c r="X89" s="43"/>
      <c r="Y89" s="147"/>
      <c r="Z89" s="147">
        <f>VLOOKUP(B89,'Manuell filtrering og justering'!$A$7:$H$107,'Manuell filtrering og justering'!$H$1,FALSE)</f>
        <v>0</v>
      </c>
      <c r="AA89" s="148">
        <f t="shared" si="166"/>
        <v>0</v>
      </c>
      <c r="AB89" s="149">
        <f>IF($AC$5='Manuell filtrering og justering'!$J$2,Z89,(T89-AA89))</f>
        <v>1</v>
      </c>
      <c r="AD89" s="150">
        <f t="shared" si="135"/>
        <v>5.1851851851851859E-3</v>
      </c>
      <c r="AE89" s="150">
        <f t="shared" si="143"/>
        <v>0</v>
      </c>
      <c r="AF89" s="150">
        <f t="shared" si="144"/>
        <v>0</v>
      </c>
      <c r="AG89" s="150">
        <f t="shared" si="145"/>
        <v>0</v>
      </c>
      <c r="AI89" s="151">
        <f>IF(VLOOKUP(E89,'Pre-Assessment Estimator'!$E$11:$Z$228,'Pre-Assessment Estimator'!$G$2,FALSE)&gt;AB89,AB89,VLOOKUP(E89,'Pre-Assessment Estimator'!$E$11:$Z$228,'Pre-Assessment Estimator'!$G$2,FALSE))</f>
        <v>0</v>
      </c>
      <c r="AJ89" s="151">
        <f>IF(VLOOKUP(E89,'Pre-Assessment Estimator'!$E$11:$Z$228,'Pre-Assessment Estimator'!$N$2,FALSE)&gt;AB89,AB89,VLOOKUP(E89,'Pre-Assessment Estimator'!$E$11:$Z$228,'Pre-Assessment Estimator'!$N$2,FALSE))</f>
        <v>0</v>
      </c>
      <c r="AK89" s="151">
        <f>IF(VLOOKUP(E89,'Pre-Assessment Estimator'!$E$11:$Z$228,'Pre-Assessment Estimator'!$U$2,FALSE)&gt;AB89,AB89,VLOOKUP(E89,'Pre-Assessment Estimator'!$E$11:$Z$228,'Pre-Assessment Estimator'!$U$2,FALSE))</f>
        <v>0</v>
      </c>
      <c r="AM89" s="251"/>
      <c r="AN89" s="252"/>
      <c r="AO89" s="252"/>
      <c r="AP89" s="252"/>
      <c r="AQ89" s="253"/>
      <c r="AS89" s="251"/>
      <c r="AT89" s="252"/>
      <c r="AU89" s="252"/>
      <c r="AV89" s="252"/>
      <c r="AW89" s="253"/>
      <c r="AY89" s="146"/>
      <c r="AZ89" s="43"/>
      <c r="BA89" s="43"/>
      <c r="BB89" s="43"/>
      <c r="BC89" s="147"/>
      <c r="BD89" s="160">
        <f t="shared" si="158"/>
        <v>9</v>
      </c>
      <c r="BE89" s="45" t="str">
        <f t="shared" si="138"/>
        <v>N/A</v>
      </c>
      <c r="BF89" s="163"/>
      <c r="BG89" s="160">
        <f t="shared" si="159"/>
        <v>9</v>
      </c>
      <c r="BH89" s="45" t="str">
        <f t="shared" si="140"/>
        <v>N/A</v>
      </c>
      <c r="BI89" s="163"/>
      <c r="BJ89" s="160">
        <f t="shared" si="160"/>
        <v>9</v>
      </c>
      <c r="BK89" s="45" t="str">
        <f t="shared" si="141"/>
        <v>N/A</v>
      </c>
      <c r="BL89" s="163"/>
      <c r="BO89" s="43"/>
      <c r="BP89" s="43"/>
      <c r="BQ89" s="43" t="str">
        <f t="shared" si="156"/>
        <v/>
      </c>
      <c r="BR89" s="43">
        <f t="shared" si="54"/>
        <v>9</v>
      </c>
      <c r="BS89" s="43">
        <f t="shared" si="55"/>
        <v>9</v>
      </c>
      <c r="BT89" s="43">
        <f t="shared" si="56"/>
        <v>9</v>
      </c>
      <c r="BW89" s="43"/>
      <c r="BX89" s="43"/>
      <c r="BY89" s="43"/>
      <c r="BZ89" s="43"/>
      <c r="CA89" s="43"/>
      <c r="CB89" s="43"/>
    </row>
    <row r="90" spans="1:85" x14ac:dyDescent="0.25">
      <c r="A90">
        <v>82</v>
      </c>
      <c r="B90" s="121" t="str">
        <f>D90</f>
        <v>Ene 07</v>
      </c>
      <c r="C90" s="121"/>
      <c r="D90" s="638" t="s">
        <v>135</v>
      </c>
      <c r="E90" s="636" t="s">
        <v>126</v>
      </c>
      <c r="F90" s="699">
        <f>SUM(F91:F92)</f>
        <v>5</v>
      </c>
      <c r="G90" s="699">
        <f>SUM(G91:G92)</f>
        <v>0</v>
      </c>
      <c r="H90" s="699">
        <f t="shared" ref="H90:P90" si="184">SUM(H91:H92)</f>
        <v>0</v>
      </c>
      <c r="I90" s="699">
        <f t="shared" si="184"/>
        <v>5</v>
      </c>
      <c r="J90" s="699">
        <f t="shared" si="184"/>
        <v>5</v>
      </c>
      <c r="K90" s="699">
        <f t="shared" si="184"/>
        <v>0</v>
      </c>
      <c r="L90" s="699">
        <f t="shared" si="184"/>
        <v>0</v>
      </c>
      <c r="M90" s="699">
        <f t="shared" si="184"/>
        <v>0</v>
      </c>
      <c r="N90" s="699">
        <f t="shared" si="184"/>
        <v>0</v>
      </c>
      <c r="O90" s="699">
        <f t="shared" si="184"/>
        <v>0</v>
      </c>
      <c r="P90" s="699">
        <f t="shared" si="184"/>
        <v>0</v>
      </c>
      <c r="Q90" s="699">
        <f>SUM(Q91:Q92)</f>
        <v>5</v>
      </c>
      <c r="R90" s="699">
        <f>SUM(R91:R92)</f>
        <v>5</v>
      </c>
      <c r="T90" s="719">
        <f t="shared" si="164"/>
        <v>5</v>
      </c>
      <c r="U90" s="61">
        <f>U91+U92</f>
        <v>0</v>
      </c>
      <c r="V90" s="61">
        <f>V91+V92</f>
        <v>0</v>
      </c>
      <c r="W90" s="61"/>
      <c r="X90" s="61"/>
      <c r="Y90" s="61"/>
      <c r="Z90" s="714"/>
      <c r="AA90" s="719">
        <f t="shared" si="166"/>
        <v>0</v>
      </c>
      <c r="AB90" s="793">
        <f t="shared" ref="AB90" si="185">SUM(AB91:AB92)</f>
        <v>5</v>
      </c>
      <c r="AD90" s="150">
        <f t="shared" si="135"/>
        <v>2.5925925925925929E-2</v>
      </c>
      <c r="AE90" s="687">
        <f>SUM(AE91:AE92)</f>
        <v>0</v>
      </c>
      <c r="AF90" s="687">
        <f t="shared" ref="AF90:AG90" si="186">SUM(AF91:AF92)</f>
        <v>0</v>
      </c>
      <c r="AG90" s="687">
        <f t="shared" si="186"/>
        <v>0</v>
      </c>
      <c r="AI90" s="714">
        <f t="shared" ref="AI90:AK90" si="187">SUM(AI91:AI92)</f>
        <v>0</v>
      </c>
      <c r="AJ90" s="714">
        <f t="shared" si="187"/>
        <v>0</v>
      </c>
      <c r="AK90" s="714">
        <f t="shared" si="187"/>
        <v>0</v>
      </c>
      <c r="AM90" s="251"/>
      <c r="AN90" s="252"/>
      <c r="AO90" s="252"/>
      <c r="AP90" s="252"/>
      <c r="AQ90" s="253"/>
      <c r="AS90" s="251"/>
      <c r="AT90" s="252"/>
      <c r="AU90" s="252"/>
      <c r="AV90" s="252"/>
      <c r="AW90" s="253"/>
      <c r="AY90" s="146"/>
      <c r="AZ90" s="43"/>
      <c r="BA90" s="43"/>
      <c r="BB90" s="43"/>
      <c r="BC90" s="147"/>
      <c r="BD90" s="160">
        <f t="shared" si="158"/>
        <v>9</v>
      </c>
      <c r="BE90" s="45" t="str">
        <f t="shared" si="138"/>
        <v>N/A</v>
      </c>
      <c r="BF90" s="163"/>
      <c r="BG90" s="160">
        <f t="shared" si="159"/>
        <v>9</v>
      </c>
      <c r="BH90" s="45" t="str">
        <f t="shared" si="140"/>
        <v>N/A</v>
      </c>
      <c r="BI90" s="163"/>
      <c r="BJ90" s="160">
        <f t="shared" si="160"/>
        <v>9</v>
      </c>
      <c r="BK90" s="45" t="str">
        <f t="shared" si="141"/>
        <v>N/A</v>
      </c>
      <c r="BL90" s="163"/>
      <c r="BO90" s="730"/>
      <c r="BP90" s="43"/>
      <c r="BQ90" s="43" t="str">
        <f t="shared" si="156"/>
        <v/>
      </c>
      <c r="BR90" s="43">
        <f t="shared" si="54"/>
        <v>9</v>
      </c>
      <c r="BS90" s="43">
        <f t="shared" si="55"/>
        <v>9</v>
      </c>
      <c r="BT90" s="43">
        <f t="shared" si="56"/>
        <v>9</v>
      </c>
      <c r="BW90" s="43" t="str">
        <f>D90</f>
        <v>Ene 07</v>
      </c>
      <c r="BX90" s="43" t="str">
        <f>IFERROR(VLOOKUP($E90,'Pre-Assessment Estimator'!$E$11:$AB$228,'Pre-Assessment Estimator'!AB$2,FALSE),"")</f>
        <v>N/A</v>
      </c>
      <c r="BY90" s="43">
        <f>IFERROR(VLOOKUP($E90,'Pre-Assessment Estimator'!$E$11:$AI$228,'Pre-Assessment Estimator'!AI$2,FALSE),"")</f>
        <v>0</v>
      </c>
      <c r="BZ90" s="43">
        <f>IFERROR(VLOOKUP($BX90,$E$294:$H$327,F$292,FALSE),"")</f>
        <v>1</v>
      </c>
      <c r="CA90" s="43">
        <f>IFERROR(VLOOKUP($BX90,$E$294:$H$327,G$292,FALSE),"")</f>
        <v>0</v>
      </c>
      <c r="CB90" s="43"/>
      <c r="CC90" t="str">
        <f>IFERROR(VLOOKUP($BX90,$E$294:$H$327,I$292,FALSE),"")</f>
        <v/>
      </c>
    </row>
    <row r="91" spans="1:85" x14ac:dyDescent="0.25">
      <c r="A91">
        <v>83</v>
      </c>
      <c r="B91" t="str">
        <f t="shared" ref="B91:B92" si="188">$D$90&amp;D91</f>
        <v>Ene 07a</v>
      </c>
      <c r="D91" s="144" t="s">
        <v>673</v>
      </c>
      <c r="E91" s="840" t="s">
        <v>614</v>
      </c>
      <c r="F91" s="582">
        <v>1</v>
      </c>
      <c r="G91" s="759">
        <v>0</v>
      </c>
      <c r="H91" s="759">
        <v>0</v>
      </c>
      <c r="I91" s="582">
        <v>1</v>
      </c>
      <c r="J91" s="582">
        <v>1</v>
      </c>
      <c r="K91" s="759">
        <v>0</v>
      </c>
      <c r="L91" s="759">
        <v>0</v>
      </c>
      <c r="M91" s="759">
        <v>0</v>
      </c>
      <c r="N91" s="759">
        <v>0</v>
      </c>
      <c r="O91" s="759">
        <v>0</v>
      </c>
      <c r="P91" s="759">
        <v>0</v>
      </c>
      <c r="Q91" s="582">
        <v>1</v>
      </c>
      <c r="R91" s="582">
        <v>1</v>
      </c>
      <c r="T91" s="148">
        <f t="shared" si="164"/>
        <v>1</v>
      </c>
      <c r="U91" s="61">
        <f>IF(AND('Assessment Details'!H21=1,AD_Labsize=AD_Labsize03),Poeng!T91,0)</f>
        <v>0</v>
      </c>
      <c r="V91" s="43">
        <f>IF(AND(ADBT0=ADBT8,OR('Assessment Details'!F6='Assessment Details'!U6,'Assessment Details'!F6='Assessment Details'!U7,'Assessment Details'!F6='Assessment Details'!U8,'Assessment Details'!F6='Assessment Details'!U9)),T91,0)</f>
        <v>0</v>
      </c>
      <c r="W91" s="43"/>
      <c r="X91" s="43"/>
      <c r="Y91" s="148">
        <f>IF(OR($Y$4=$Y$6,Y4=Y5),T91,0)</f>
        <v>0</v>
      </c>
      <c r="Z91" s="147">
        <f>VLOOKUP(B91,'Manuell filtrering og justering'!$A$7:$H$107,'Manuell filtrering og justering'!$H$1,FALSE)</f>
        <v>0</v>
      </c>
      <c r="AA91" s="148">
        <f t="shared" si="166"/>
        <v>0</v>
      </c>
      <c r="AB91" s="149">
        <f>IF($AC$5='Manuell filtrering og justering'!$J$2,Z91,(T91-AA91))</f>
        <v>1</v>
      </c>
      <c r="AD91" s="150">
        <f t="shared" si="135"/>
        <v>5.1851851851851859E-3</v>
      </c>
      <c r="AE91" s="150">
        <f t="shared" si="143"/>
        <v>0</v>
      </c>
      <c r="AF91" s="150">
        <f t="shared" si="144"/>
        <v>0</v>
      </c>
      <c r="AG91" s="150">
        <f t="shared" si="145"/>
        <v>0</v>
      </c>
      <c r="AI91" s="151">
        <f>IF(VLOOKUP(E91,'Pre-Assessment Estimator'!$E$11:$Z$228,'Pre-Assessment Estimator'!$G$2,FALSE)&gt;AB91,AB91,VLOOKUP(E91,'Pre-Assessment Estimator'!$E$11:$Z$228,'Pre-Assessment Estimator'!$G$2,FALSE))</f>
        <v>0</v>
      </c>
      <c r="AJ91" s="151">
        <f>IF(VLOOKUP(E91,'Pre-Assessment Estimator'!$E$11:$Z$228,'Pre-Assessment Estimator'!$N$2,FALSE)&gt;AB91,AB91,VLOOKUP(E91,'Pre-Assessment Estimator'!$E$11:$Z$228,'Pre-Assessment Estimator'!$N$2,FALSE))</f>
        <v>0</v>
      </c>
      <c r="AK91" s="151">
        <f>IF(VLOOKUP(E91,'Pre-Assessment Estimator'!$E$11:$Z$228,'Pre-Assessment Estimator'!$U$2,FALSE)&gt;AB91,AB91,VLOOKUP(E91,'Pre-Assessment Estimator'!$E$11:$Z$228,'Pre-Assessment Estimator'!$U$2,FALSE))</f>
        <v>0</v>
      </c>
      <c r="AM91" s="896">
        <f>IF(AB91=0,0,IF(AND($Y$4&lt;&gt;$Y$3,Y91&gt;0),0,1))</f>
        <v>1</v>
      </c>
      <c r="AN91" s="893">
        <f>AM91</f>
        <v>1</v>
      </c>
      <c r="AO91" s="893">
        <f>AM91</f>
        <v>1</v>
      </c>
      <c r="AP91" s="893">
        <f>AM91</f>
        <v>1</v>
      </c>
      <c r="AQ91" s="894">
        <f>AM91</f>
        <v>1</v>
      </c>
      <c r="AS91" s="251"/>
      <c r="AT91" s="252"/>
      <c r="AU91" s="252"/>
      <c r="AV91" s="252"/>
      <c r="AW91" s="253"/>
      <c r="AY91" s="161">
        <f>IF($AB91=0,0,IF($E$6=$H$9,AS91,AM91))</f>
        <v>1</v>
      </c>
      <c r="AZ91" s="161">
        <f>IF($AB91=0,0,IF($E$6=$H$9,AT91,AN91))</f>
        <v>1</v>
      </c>
      <c r="BA91" s="161">
        <f>IF($AB91=0,0,IF($E$6=$H$9,AU91,AO91))</f>
        <v>1</v>
      </c>
      <c r="BB91" s="161">
        <f>IF($AB91=0,0,IF($E$6=$H$9,AV91,AP91))</f>
        <v>1</v>
      </c>
      <c r="BC91" s="161">
        <f>IF($AB91=0,0,IF($E$6=$H$9,AW91,AQ91))</f>
        <v>1</v>
      </c>
      <c r="BD91" s="160">
        <f t="shared" si="158"/>
        <v>0</v>
      </c>
      <c r="BE91" s="45" t="str">
        <f t="shared" si="138"/>
        <v>Unclassified</v>
      </c>
      <c r="BF91" s="163"/>
      <c r="BG91" s="160">
        <f t="shared" si="159"/>
        <v>0</v>
      </c>
      <c r="BH91" s="45" t="str">
        <f t="shared" si="140"/>
        <v>Unclassified</v>
      </c>
      <c r="BI91" s="163"/>
      <c r="BJ91" s="160">
        <f t="shared" si="160"/>
        <v>0</v>
      </c>
      <c r="BK91" s="45" t="str">
        <f t="shared" si="141"/>
        <v>Unclassified</v>
      </c>
      <c r="BL91" s="163"/>
      <c r="BO91" s="730"/>
      <c r="BP91" s="43"/>
      <c r="BQ91" s="43" t="str">
        <f t="shared" si="156"/>
        <v/>
      </c>
      <c r="BR91" s="43">
        <f t="shared" si="54"/>
        <v>9</v>
      </c>
      <c r="BS91" s="43">
        <f t="shared" si="55"/>
        <v>9</v>
      </c>
      <c r="BT91" s="43">
        <f t="shared" si="56"/>
        <v>9</v>
      </c>
      <c r="BW91" s="43"/>
      <c r="BX91" s="43"/>
      <c r="BY91" s="43"/>
      <c r="BZ91" s="43"/>
      <c r="CB91" s="43"/>
    </row>
    <row r="92" spans="1:85" x14ac:dyDescent="0.25">
      <c r="A92">
        <v>84</v>
      </c>
      <c r="B92" t="str">
        <f t="shared" si="188"/>
        <v>Ene 07b</v>
      </c>
      <c r="D92" s="144" t="s">
        <v>676</v>
      </c>
      <c r="E92" s="840" t="s">
        <v>615</v>
      </c>
      <c r="F92" s="582">
        <v>4</v>
      </c>
      <c r="G92" s="759">
        <v>0</v>
      </c>
      <c r="H92" s="759">
        <v>0</v>
      </c>
      <c r="I92" s="582">
        <v>4</v>
      </c>
      <c r="J92" s="582">
        <v>4</v>
      </c>
      <c r="K92" s="759">
        <v>0</v>
      </c>
      <c r="L92" s="759">
        <v>0</v>
      </c>
      <c r="M92" s="759">
        <v>0</v>
      </c>
      <c r="N92" s="759">
        <v>0</v>
      </c>
      <c r="O92" s="759">
        <v>0</v>
      </c>
      <c r="P92" s="759">
        <v>0</v>
      </c>
      <c r="Q92" s="582">
        <v>4</v>
      </c>
      <c r="R92" s="582">
        <v>4</v>
      </c>
      <c r="T92" s="148">
        <f t="shared" si="164"/>
        <v>4</v>
      </c>
      <c r="U92" s="61">
        <f>IF(AD_Labsize=AD_Labsize03,Poeng!T92,IF(AD_Labsize=AD_labsize04,4,IF(AD_Labsize=AD_Labsize01,2,0)))</f>
        <v>0</v>
      </c>
      <c r="V92" s="43">
        <f>IF(AND(ADBT0=ADBT8,OR('Assessment Details'!F6='Assessment Details'!U6,'Assessment Details'!F6='Assessment Details'!U7,'Assessment Details'!F6='Assessment Details'!U8,'Assessment Details'!F6='Assessment Details'!U9)),T92,0)</f>
        <v>0</v>
      </c>
      <c r="W92" s="43"/>
      <c r="X92" s="43"/>
      <c r="Y92" s="148">
        <f>IF(OR($Y$4=$Y$6,Y4=Y5),T92,0)</f>
        <v>0</v>
      </c>
      <c r="Z92" s="147">
        <f>VLOOKUP(B92,'Manuell filtrering og justering'!$A$7:$H$107,'Manuell filtrering og justering'!$H$1,FALSE)</f>
        <v>0</v>
      </c>
      <c r="AA92" s="148">
        <f t="shared" si="166"/>
        <v>0</v>
      </c>
      <c r="AB92" s="149">
        <f>IF($AC$5='Manuell filtrering og justering'!$J$2,Z92,(T92-AA92))</f>
        <v>4</v>
      </c>
      <c r="AD92" s="150">
        <f t="shared" si="135"/>
        <v>2.0740740740740744E-2</v>
      </c>
      <c r="AE92" s="150">
        <f t="shared" si="143"/>
        <v>0</v>
      </c>
      <c r="AF92" s="150">
        <f t="shared" si="144"/>
        <v>0</v>
      </c>
      <c r="AG92" s="150">
        <f t="shared" si="145"/>
        <v>0</v>
      </c>
      <c r="AI92" s="151">
        <f>IF(VLOOKUP(E92,'Pre-Assessment Estimator'!$E$11:$Z$228,'Pre-Assessment Estimator'!$G$2,FALSE)&gt;AB92,AB92,VLOOKUP(E92,'Pre-Assessment Estimator'!$E$11:$Z$228,'Pre-Assessment Estimator'!$G$2,FALSE))</f>
        <v>0</v>
      </c>
      <c r="AJ92" s="151">
        <f>IF(VLOOKUP(E92,'Pre-Assessment Estimator'!$E$11:$Z$228,'Pre-Assessment Estimator'!$N$2,FALSE)&gt;AB92,AB92,VLOOKUP(E92,'Pre-Assessment Estimator'!$E$11:$Z$228,'Pre-Assessment Estimator'!$N$2,FALSE))</f>
        <v>0</v>
      </c>
      <c r="AK92" s="151">
        <f>IF(VLOOKUP(E92,'Pre-Assessment Estimator'!$E$11:$Z$228,'Pre-Assessment Estimator'!$U$2,FALSE)&gt;AB92,AB92,VLOOKUP(E92,'Pre-Assessment Estimator'!$E$11:$Z$228,'Pre-Assessment Estimator'!$U$2,FALSE))</f>
        <v>0</v>
      </c>
      <c r="AM92" s="251"/>
      <c r="AN92" s="252"/>
      <c r="AO92" s="252"/>
      <c r="AP92" s="252"/>
      <c r="AQ92" s="253"/>
      <c r="AS92" s="251"/>
      <c r="AT92" s="252"/>
      <c r="AU92" s="252"/>
      <c r="AV92" s="252"/>
      <c r="AW92" s="253"/>
      <c r="AY92" s="146"/>
      <c r="AZ92" s="43"/>
      <c r="BA92" s="43"/>
      <c r="BB92" s="43"/>
      <c r="BC92" s="147"/>
      <c r="BD92" s="160">
        <f t="shared" si="158"/>
        <v>9</v>
      </c>
      <c r="BE92" s="45" t="str">
        <f t="shared" si="138"/>
        <v>N/A</v>
      </c>
      <c r="BF92" s="163"/>
      <c r="BG92" s="160">
        <f t="shared" si="159"/>
        <v>9</v>
      </c>
      <c r="BH92" s="45" t="str">
        <f t="shared" si="140"/>
        <v>N/A</v>
      </c>
      <c r="BI92" s="163"/>
      <c r="BJ92" s="160">
        <f t="shared" si="160"/>
        <v>9</v>
      </c>
      <c r="BK92" s="45" t="str">
        <f t="shared" si="141"/>
        <v>N/A</v>
      </c>
      <c r="BL92" s="163"/>
      <c r="BO92" s="730"/>
      <c r="BP92" s="43"/>
      <c r="BQ92" s="43" t="str">
        <f t="shared" si="156"/>
        <v/>
      </c>
      <c r="BR92" s="43">
        <f t="shared" si="54"/>
        <v>9</v>
      </c>
      <c r="BS92" s="43">
        <f t="shared" si="55"/>
        <v>9</v>
      </c>
      <c r="BT92" s="43">
        <f t="shared" si="56"/>
        <v>9</v>
      </c>
      <c r="BW92" s="43"/>
      <c r="BX92" s="43"/>
      <c r="BY92" s="43"/>
      <c r="BZ92" s="43"/>
      <c r="CB92" s="43"/>
    </row>
    <row r="93" spans="1:85" x14ac:dyDescent="0.25">
      <c r="A93">
        <v>85</v>
      </c>
      <c r="B93" s="121" t="str">
        <f>D93</f>
        <v>Ene 08</v>
      </c>
      <c r="C93" s="121"/>
      <c r="D93" s="638" t="s">
        <v>136</v>
      </c>
      <c r="E93" s="636" t="s">
        <v>127</v>
      </c>
      <c r="F93" s="699">
        <f>SUM(F94)</f>
        <v>2</v>
      </c>
      <c r="G93" s="699">
        <f t="shared" ref="G93:R93" si="189">SUM(G94)</f>
        <v>2</v>
      </c>
      <c r="H93" s="699">
        <f t="shared" si="189"/>
        <v>2</v>
      </c>
      <c r="I93" s="699">
        <f t="shared" si="189"/>
        <v>2</v>
      </c>
      <c r="J93" s="699">
        <f t="shared" si="189"/>
        <v>2</v>
      </c>
      <c r="K93" s="699">
        <f t="shared" si="189"/>
        <v>2</v>
      </c>
      <c r="L93" s="699">
        <f t="shared" si="189"/>
        <v>2</v>
      </c>
      <c r="M93" s="699">
        <f t="shared" si="189"/>
        <v>2</v>
      </c>
      <c r="N93" s="699">
        <f t="shared" si="189"/>
        <v>2</v>
      </c>
      <c r="O93" s="699">
        <f t="shared" si="189"/>
        <v>2</v>
      </c>
      <c r="P93" s="699">
        <f t="shared" si="189"/>
        <v>2</v>
      </c>
      <c r="Q93" s="699">
        <f t="shared" si="189"/>
        <v>2</v>
      </c>
      <c r="R93" s="699">
        <f t="shared" si="189"/>
        <v>2</v>
      </c>
      <c r="T93" s="719">
        <f t="shared" si="164"/>
        <v>2</v>
      </c>
      <c r="U93" s="191">
        <f>U94</f>
        <v>0</v>
      </c>
      <c r="V93" s="61"/>
      <c r="W93" s="61"/>
      <c r="X93" s="61">
        <f>'Manuell filtrering og justering'!E36</f>
        <v>0</v>
      </c>
      <c r="Y93" s="61"/>
      <c r="Z93" s="714">
        <f t="shared" ref="Z93" si="190">SUM(Z94)</f>
        <v>2</v>
      </c>
      <c r="AA93" s="719">
        <f t="shared" si="166"/>
        <v>0</v>
      </c>
      <c r="AB93" s="793">
        <f>SUM(AB94)</f>
        <v>2</v>
      </c>
      <c r="AD93" s="150">
        <f t="shared" si="135"/>
        <v>1.0370370370370372E-2</v>
      </c>
      <c r="AE93" s="687">
        <f>SUM(AE94)</f>
        <v>0</v>
      </c>
      <c r="AF93" s="687">
        <f t="shared" ref="AF93:AG93" si="191">SUM(AF94)</f>
        <v>0</v>
      </c>
      <c r="AG93" s="687">
        <f t="shared" si="191"/>
        <v>0</v>
      </c>
      <c r="AI93" s="714">
        <f t="shared" ref="AI93" si="192">SUM(AI94)</f>
        <v>0</v>
      </c>
      <c r="AJ93" s="714">
        <f t="shared" ref="AJ93" si="193">SUM(AJ94)</f>
        <v>0</v>
      </c>
      <c r="AK93" s="714">
        <f t="shared" ref="AK93" si="194">SUM(AK94)</f>
        <v>0</v>
      </c>
      <c r="AL93" t="s">
        <v>405</v>
      </c>
      <c r="AM93" s="251"/>
      <c r="AN93" s="252"/>
      <c r="AO93" s="252"/>
      <c r="AP93" s="252"/>
      <c r="AQ93" s="253"/>
      <c r="AS93" s="251"/>
      <c r="AT93" s="252"/>
      <c r="AU93" s="252"/>
      <c r="AV93" s="252"/>
      <c r="AW93" s="253"/>
      <c r="AY93" s="146"/>
      <c r="AZ93" s="43"/>
      <c r="BA93" s="43"/>
      <c r="BB93" s="43"/>
      <c r="BC93" s="147"/>
      <c r="BD93" s="160">
        <f t="shared" si="158"/>
        <v>9</v>
      </c>
      <c r="BE93" s="45" t="str">
        <f t="shared" si="138"/>
        <v>N/A</v>
      </c>
      <c r="BF93" s="163"/>
      <c r="BG93" s="160">
        <f t="shared" si="159"/>
        <v>9</v>
      </c>
      <c r="BH93" s="45" t="str">
        <f t="shared" si="140"/>
        <v>N/A</v>
      </c>
      <c r="BI93" s="163"/>
      <c r="BJ93" s="160">
        <f t="shared" si="160"/>
        <v>9</v>
      </c>
      <c r="BK93" s="45" t="str">
        <f t="shared" si="141"/>
        <v>N/A</v>
      </c>
      <c r="BL93" s="163"/>
      <c r="BO93" s="43"/>
      <c r="BP93" s="43"/>
      <c r="BQ93" s="43" t="str">
        <f t="shared" si="156"/>
        <v/>
      </c>
      <c r="BR93" s="43">
        <f t="shared" si="54"/>
        <v>9</v>
      </c>
      <c r="BS93" s="43">
        <f t="shared" si="55"/>
        <v>9</v>
      </c>
      <c r="BT93" s="43">
        <f t="shared" si="56"/>
        <v>9</v>
      </c>
      <c r="BW93" s="43" t="str">
        <f>D93</f>
        <v>Ene 08</v>
      </c>
      <c r="BX93" s="43" t="str">
        <f>IFERROR(VLOOKUP($E93,'Pre-Assessment Estimator'!$E$11:$AB$228,'Pre-Assessment Estimator'!AB$2,FALSE),"")</f>
        <v>No</v>
      </c>
      <c r="BY93" s="61" t="str">
        <f>IFERROR(VLOOKUP($E93,'Pre-Assessment Estimator'!$E$11:$AI$228,'Pre-Assessment Estimator'!AI$2,FALSE),"")</f>
        <v>Ja</v>
      </c>
      <c r="BZ93" s="43">
        <f>IFERROR(VLOOKUP($BX93,$E$294:$H$327,F$292,FALSE),"")</f>
        <v>1</v>
      </c>
      <c r="CA93" s="514" t="s">
        <v>410</v>
      </c>
      <c r="CB93" s="43"/>
      <c r="CC93" t="str">
        <f>IFERROR(VLOOKUP($BX93,$E$294:$H$327,I$292,FALSE),"")</f>
        <v/>
      </c>
      <c r="CD93" t="s">
        <v>416</v>
      </c>
      <c r="CE93" s="43">
        <f t="shared" ref="CE93:CE95" si="195">VLOOKUP(CA93,$CA$4:$CB$5,2,FALSE)</f>
        <v>1</v>
      </c>
      <c r="CG93" s="62">
        <f>IF($BX$5=ais_nei,CE93,IF(AND(CA93=$CA$4,BX93=$CC$4),0,BZ93))</f>
        <v>1</v>
      </c>
    </row>
    <row r="94" spans="1:85" x14ac:dyDescent="0.25">
      <c r="A94">
        <v>86</v>
      </c>
      <c r="B94" t="str">
        <f>$D$93&amp;D94</f>
        <v>Ene 08a</v>
      </c>
      <c r="D94" s="146" t="s">
        <v>673</v>
      </c>
      <c r="E94" s="840" t="s">
        <v>616</v>
      </c>
      <c r="F94" s="582">
        <v>2</v>
      </c>
      <c r="G94" s="582">
        <v>2</v>
      </c>
      <c r="H94" s="582">
        <v>2</v>
      </c>
      <c r="I94" s="582">
        <v>2</v>
      </c>
      <c r="J94" s="582">
        <v>2</v>
      </c>
      <c r="K94" s="582">
        <v>2</v>
      </c>
      <c r="L94" s="582">
        <v>2</v>
      </c>
      <c r="M94" s="582">
        <v>2</v>
      </c>
      <c r="N94" s="582">
        <v>2</v>
      </c>
      <c r="O94" s="582">
        <v>2</v>
      </c>
      <c r="P94" s="582">
        <v>2</v>
      </c>
      <c r="Q94" s="582">
        <v>2</v>
      </c>
      <c r="R94" s="582">
        <v>2</v>
      </c>
      <c r="T94" s="148">
        <f t="shared" si="164"/>
        <v>2</v>
      </c>
      <c r="U94" s="191">
        <f>IF(AD_Energyload=AD_no,Poeng!T94,0)</f>
        <v>0</v>
      </c>
      <c r="V94" s="43"/>
      <c r="W94" s="43"/>
      <c r="X94" s="43"/>
      <c r="Y94" s="148">
        <f>IF(OR($Y$4=$Y$6,Y4=Y5),T94,0)</f>
        <v>0</v>
      </c>
      <c r="Z94" s="147">
        <f>VLOOKUP(B94,'Manuell filtrering og justering'!$A$7:$H$107,'Manuell filtrering og justering'!$H$1,FALSE)</f>
        <v>2</v>
      </c>
      <c r="AA94" s="148">
        <f t="shared" si="166"/>
        <v>0</v>
      </c>
      <c r="AB94" s="149">
        <f>IF($AC$5='Manuell filtrering og justering'!$J$2,Z94,(T94-AA94))</f>
        <v>2</v>
      </c>
      <c r="AD94" s="150">
        <f t="shared" si="135"/>
        <v>1.0370370370370372E-2</v>
      </c>
      <c r="AE94" s="150">
        <f t="shared" si="143"/>
        <v>0</v>
      </c>
      <c r="AF94" s="150">
        <f t="shared" si="144"/>
        <v>0</v>
      </c>
      <c r="AG94" s="150">
        <f t="shared" si="145"/>
        <v>0</v>
      </c>
      <c r="AI94" s="151">
        <f>IF(VLOOKUP(E94,'Pre-Assessment Estimator'!$E$11:$Z$228,'Pre-Assessment Estimator'!$G$2,FALSE)&gt;AB94,AB94,VLOOKUP(E94,'Pre-Assessment Estimator'!$E$11:$Z$228,'Pre-Assessment Estimator'!$G$2,FALSE))</f>
        <v>0</v>
      </c>
      <c r="AJ94" s="151">
        <f>IF(VLOOKUP(E94,'Pre-Assessment Estimator'!$E$11:$Z$228,'Pre-Assessment Estimator'!$N$2,FALSE)&gt;AB94,AB94,VLOOKUP(E94,'Pre-Assessment Estimator'!$E$11:$Z$228,'Pre-Assessment Estimator'!$N$2,FALSE))</f>
        <v>0</v>
      </c>
      <c r="AK94" s="151">
        <f>IF(VLOOKUP(E94,'Pre-Assessment Estimator'!$E$11:$Z$228,'Pre-Assessment Estimator'!$U$2,FALSE)&gt;AB94,AB94,VLOOKUP(E94,'Pre-Assessment Estimator'!$E$11:$Z$228,'Pre-Assessment Estimator'!$U$2,FALSE))</f>
        <v>0</v>
      </c>
      <c r="AM94" s="251"/>
      <c r="AN94" s="252"/>
      <c r="AO94" s="252"/>
      <c r="AP94" s="252"/>
      <c r="AQ94" s="253"/>
      <c r="AS94" s="251"/>
      <c r="AT94" s="252"/>
      <c r="AU94" s="252"/>
      <c r="AV94" s="252"/>
      <c r="AW94" s="253"/>
      <c r="AY94" s="146"/>
      <c r="AZ94" s="43"/>
      <c r="BA94" s="43"/>
      <c r="BB94" s="43"/>
      <c r="BC94" s="147"/>
      <c r="BD94" s="160">
        <f t="shared" si="158"/>
        <v>9</v>
      </c>
      <c r="BE94" s="45" t="str">
        <f t="shared" si="138"/>
        <v>N/A</v>
      </c>
      <c r="BF94" s="163"/>
      <c r="BG94" s="160">
        <f t="shared" si="159"/>
        <v>9</v>
      </c>
      <c r="BH94" s="45" t="str">
        <f t="shared" si="140"/>
        <v>N/A</v>
      </c>
      <c r="BI94" s="163"/>
      <c r="BJ94" s="160">
        <f t="shared" si="160"/>
        <v>9</v>
      </c>
      <c r="BK94" s="45" t="str">
        <f t="shared" si="141"/>
        <v>N/A</v>
      </c>
      <c r="BL94" s="163"/>
      <c r="BO94" s="43"/>
      <c r="BP94" s="43"/>
      <c r="BQ94" s="43" t="str">
        <f t="shared" si="156"/>
        <v/>
      </c>
      <c r="BR94" s="43">
        <f t="shared" si="54"/>
        <v>9</v>
      </c>
      <c r="BS94" s="43">
        <f t="shared" si="55"/>
        <v>9</v>
      </c>
      <c r="BT94" s="43">
        <f t="shared" si="56"/>
        <v>9</v>
      </c>
      <c r="BW94" s="43"/>
      <c r="BX94" s="43"/>
      <c r="BY94" s="61"/>
      <c r="BZ94" s="43"/>
      <c r="CA94" s="514"/>
      <c r="CB94" s="43"/>
      <c r="CE94" s="43"/>
      <c r="CG94" s="62"/>
    </row>
    <row r="95" spans="1:85" x14ac:dyDescent="0.25">
      <c r="A95">
        <v>87</v>
      </c>
      <c r="D95" s="523" t="s">
        <v>137</v>
      </c>
      <c r="E95" s="522"/>
      <c r="F95" s="700"/>
      <c r="G95" s="700"/>
      <c r="H95" s="700"/>
      <c r="I95" s="700"/>
      <c r="J95" s="700"/>
      <c r="K95" s="700"/>
      <c r="L95" s="700"/>
      <c r="M95" s="700"/>
      <c r="N95" s="700"/>
      <c r="O95" s="700"/>
      <c r="P95" s="700"/>
      <c r="Q95" s="700"/>
      <c r="R95" s="700"/>
      <c r="T95" s="712"/>
      <c r="U95" s="523"/>
      <c r="V95" s="522"/>
      <c r="W95" s="522"/>
      <c r="X95" s="522"/>
      <c r="Y95" s="711"/>
      <c r="Z95" s="711"/>
      <c r="AA95" s="712"/>
      <c r="AB95" s="713"/>
      <c r="AD95" s="150">
        <f t="shared" si="135"/>
        <v>0</v>
      </c>
      <c r="AE95" s="716">
        <f t="shared" si="143"/>
        <v>0</v>
      </c>
      <c r="AF95" s="716">
        <f t="shared" si="144"/>
        <v>0</v>
      </c>
      <c r="AG95" s="716">
        <f t="shared" si="145"/>
        <v>0</v>
      </c>
      <c r="AI95" s="537"/>
      <c r="AJ95" s="537"/>
      <c r="AK95" s="537"/>
      <c r="AL95" t="s">
        <v>405</v>
      </c>
      <c r="AM95" s="251"/>
      <c r="AN95" s="252"/>
      <c r="AO95" s="252"/>
      <c r="AP95" s="252"/>
      <c r="AQ95" s="253"/>
      <c r="AR95" s="123"/>
      <c r="AS95" s="251"/>
      <c r="AT95" s="252"/>
      <c r="AU95" s="252"/>
      <c r="AV95" s="252"/>
      <c r="AW95" s="253"/>
      <c r="AY95" s="146"/>
      <c r="AZ95" s="43"/>
      <c r="BA95" s="43"/>
      <c r="BB95" s="43"/>
      <c r="BC95" s="147"/>
      <c r="BD95" s="160">
        <f t="shared" si="158"/>
        <v>9</v>
      </c>
      <c r="BE95" s="45" t="str">
        <f t="shared" si="138"/>
        <v>N/A</v>
      </c>
      <c r="BF95" s="163"/>
      <c r="BG95" s="160">
        <f t="shared" si="159"/>
        <v>9</v>
      </c>
      <c r="BH95" s="45" t="str">
        <f t="shared" si="140"/>
        <v>N/A</v>
      </c>
      <c r="BI95" s="163"/>
      <c r="BJ95" s="160">
        <f t="shared" si="160"/>
        <v>9</v>
      </c>
      <c r="BK95" s="45" t="str">
        <f t="shared" si="141"/>
        <v>N/A</v>
      </c>
      <c r="BL95" s="163"/>
      <c r="BO95" s="43"/>
      <c r="BP95" s="43"/>
      <c r="BQ95" s="43" t="str">
        <f t="shared" si="156"/>
        <v/>
      </c>
      <c r="BR95" s="43">
        <f t="shared" ref="BR95:BR158" si="196">IF(BQ95="",9,(IF(AI95&gt;=BQ95,5,0)))</f>
        <v>9</v>
      </c>
      <c r="BS95" s="43">
        <f t="shared" ref="BS95:BS158" si="197">IF(BQ95="",9,(IF(AJ95&gt;=BQ95,5,0)))</f>
        <v>9</v>
      </c>
      <c r="BT95" s="43">
        <f t="shared" ref="BT95:BT158" si="198">IF(BQ95="",9,(IF(AK95&gt;=BQ95,5,0)))</f>
        <v>9</v>
      </c>
      <c r="BW95" s="43" t="str">
        <f>D95</f>
        <v>Ene 09</v>
      </c>
      <c r="BX95" s="43" t="str">
        <f>IFERROR(VLOOKUP($E95,'Pre-Assessment Estimator'!$E$11:$AB$228,'Pre-Assessment Estimator'!AB$2,FALSE),"")</f>
        <v/>
      </c>
      <c r="BY95" s="61" t="str">
        <f>IFERROR(VLOOKUP($E95,'Pre-Assessment Estimator'!$E$11:$AI$228,'Pre-Assessment Estimator'!AI$2,FALSE),"")</f>
        <v/>
      </c>
      <c r="BZ95" s="43" t="str">
        <f t="shared" ref="BZ95:BZ100" si="199">IFERROR(VLOOKUP($BX95,$E$294:$H$327,F$292,FALSE),"")</f>
        <v/>
      </c>
      <c r="CA95" s="514" t="s">
        <v>410</v>
      </c>
      <c r="CB95" s="43"/>
      <c r="CC95" t="str">
        <f t="shared" ref="CC95:CC100" si="200">IFERROR(VLOOKUP($BX95,$E$294:$H$327,I$292,FALSE),"")</f>
        <v/>
      </c>
      <c r="CD95" s="62" t="s">
        <v>384</v>
      </c>
      <c r="CE95" s="43">
        <f t="shared" si="195"/>
        <v>1</v>
      </c>
      <c r="CG95" s="62">
        <f>IF($BX$5=ais_nei,CE95,IF(CD95=$BY$5,IF(AND(CA95=$CA$4,BX95=$CC$4),0,BZ95),CE95))</f>
        <v>1</v>
      </c>
    </row>
    <row r="96" spans="1:85" ht="15.75" thickBot="1" x14ac:dyDescent="0.3">
      <c r="A96">
        <v>88</v>
      </c>
      <c r="D96" s="523" t="s">
        <v>138</v>
      </c>
      <c r="E96" s="522"/>
      <c r="F96" s="700"/>
      <c r="G96" s="700"/>
      <c r="H96" s="700"/>
      <c r="I96" s="700"/>
      <c r="J96" s="700"/>
      <c r="K96" s="700"/>
      <c r="L96" s="700"/>
      <c r="M96" s="700"/>
      <c r="N96" s="700"/>
      <c r="O96" s="700"/>
      <c r="P96" s="700"/>
      <c r="Q96" s="700"/>
      <c r="R96" s="700"/>
      <c r="T96" s="712"/>
      <c r="U96" s="523"/>
      <c r="V96" s="522"/>
      <c r="W96" s="522"/>
      <c r="X96" s="522"/>
      <c r="Y96" s="711"/>
      <c r="Z96" s="711"/>
      <c r="AA96" s="712"/>
      <c r="AB96" s="713"/>
      <c r="AD96" s="150">
        <f t="shared" si="135"/>
        <v>0</v>
      </c>
      <c r="AE96" s="716">
        <f t="shared" si="143"/>
        <v>0</v>
      </c>
      <c r="AF96" s="716">
        <f t="shared" si="144"/>
        <v>0</v>
      </c>
      <c r="AG96" s="716">
        <f t="shared" si="145"/>
        <v>0</v>
      </c>
      <c r="AI96" s="537"/>
      <c r="AJ96" s="537"/>
      <c r="AK96" s="537"/>
      <c r="AM96" s="260"/>
      <c r="AN96" s="261"/>
      <c r="AO96" s="261"/>
      <c r="AP96" s="261"/>
      <c r="AQ96" s="262"/>
      <c r="AR96" s="123"/>
      <c r="AS96" s="260"/>
      <c r="AT96" s="261"/>
      <c r="AU96" s="261"/>
      <c r="AV96" s="261"/>
      <c r="AW96" s="262"/>
      <c r="AY96" s="172"/>
      <c r="AZ96" s="193"/>
      <c r="BA96" s="193"/>
      <c r="BB96" s="193"/>
      <c r="BC96" s="194"/>
      <c r="BD96" s="172">
        <f t="shared" si="59"/>
        <v>9</v>
      </c>
      <c r="BE96" s="45" t="str">
        <f t="shared" si="138"/>
        <v>N/A</v>
      </c>
      <c r="BF96" s="173"/>
      <c r="BG96" s="172">
        <f t="shared" si="139"/>
        <v>9</v>
      </c>
      <c r="BH96" s="45" t="str">
        <f t="shared" si="140"/>
        <v>N/A</v>
      </c>
      <c r="BI96" s="173"/>
      <c r="BJ96" s="172">
        <f t="shared" si="27"/>
        <v>9</v>
      </c>
      <c r="BK96" s="45" t="str">
        <f t="shared" si="141"/>
        <v>N/A</v>
      </c>
      <c r="BL96" s="173"/>
      <c r="BO96" s="43"/>
      <c r="BP96" s="43"/>
      <c r="BQ96" s="43" t="str">
        <f t="shared" si="156"/>
        <v/>
      </c>
      <c r="BR96" s="43">
        <f t="shared" si="196"/>
        <v>9</v>
      </c>
      <c r="BS96" s="43">
        <f t="shared" si="197"/>
        <v>9</v>
      </c>
      <c r="BT96" s="43">
        <f t="shared" si="198"/>
        <v>9</v>
      </c>
      <c r="BW96" s="43" t="str">
        <f>D96</f>
        <v>Ene 23</v>
      </c>
      <c r="BX96" s="43" t="str">
        <f>IFERROR(VLOOKUP($E96,'Pre-Assessment Estimator'!$E$11:$AB$228,'Pre-Assessment Estimator'!AB$2,FALSE),"")</f>
        <v/>
      </c>
      <c r="BY96" s="43" t="str">
        <f>IFERROR(VLOOKUP($E96,'Pre-Assessment Estimator'!$E$11:$AI$228,'Pre-Assessment Estimator'!AI$2,FALSE),"")</f>
        <v/>
      </c>
      <c r="BZ96" s="43" t="str">
        <f t="shared" si="199"/>
        <v/>
      </c>
      <c r="CA96" s="43" t="str">
        <f>IFERROR(VLOOKUP($BX96,$E$294:$H$327,G$292,FALSE),"")</f>
        <v/>
      </c>
      <c r="CB96" s="43"/>
      <c r="CC96" t="str">
        <f t="shared" si="200"/>
        <v/>
      </c>
    </row>
    <row r="97" spans="1:81" ht="15.75" thickBot="1" x14ac:dyDescent="0.3">
      <c r="A97">
        <v>89</v>
      </c>
      <c r="B97" t="s">
        <v>862</v>
      </c>
      <c r="D97" s="174"/>
      <c r="E97" s="50" t="s">
        <v>204</v>
      </c>
      <c r="F97" s="586">
        <f>F69+F75+F79+F83+F86+F90+F93</f>
        <v>27</v>
      </c>
      <c r="G97" s="586">
        <f t="shared" ref="G97:R97" si="201">G69+G75+G79+G83+G86+G90+G93</f>
        <v>22</v>
      </c>
      <c r="H97" s="586">
        <f t="shared" si="201"/>
        <v>20</v>
      </c>
      <c r="I97" s="586">
        <f t="shared" si="201"/>
        <v>27</v>
      </c>
      <c r="J97" s="586">
        <f t="shared" si="201"/>
        <v>27</v>
      </c>
      <c r="K97" s="586">
        <f t="shared" si="201"/>
        <v>22</v>
      </c>
      <c r="L97" s="586">
        <f t="shared" si="201"/>
        <v>22</v>
      </c>
      <c r="M97" s="586">
        <f t="shared" si="201"/>
        <v>22</v>
      </c>
      <c r="N97" s="586">
        <f t="shared" si="201"/>
        <v>22</v>
      </c>
      <c r="O97" s="586">
        <f t="shared" si="201"/>
        <v>22</v>
      </c>
      <c r="P97" s="586">
        <f t="shared" si="201"/>
        <v>22</v>
      </c>
      <c r="Q97" s="586">
        <f t="shared" ref="Q97" si="202">Q69+Q75+Q79+Q83+Q86+Q90+Q93</f>
        <v>27</v>
      </c>
      <c r="R97" s="586">
        <f t="shared" si="201"/>
        <v>27</v>
      </c>
      <c r="T97" s="195">
        <f>HLOOKUP($E$6,$F$9:$R$231,$A97,FALSE)</f>
        <v>27</v>
      </c>
      <c r="U97" s="176"/>
      <c r="V97" s="177"/>
      <c r="W97" s="177"/>
      <c r="X97" s="177"/>
      <c r="Y97" s="178"/>
      <c r="Z97" s="178"/>
      <c r="AA97" s="586">
        <f t="shared" ref="AA97:AG97" si="203">AA69+AA75+AA79+AA83+AA86+AA90+AA93</f>
        <v>0</v>
      </c>
      <c r="AB97" s="586">
        <f t="shared" si="203"/>
        <v>27</v>
      </c>
      <c r="AD97" s="180">
        <f t="shared" si="203"/>
        <v>0.14000000000000001</v>
      </c>
      <c r="AE97" s="180">
        <f t="shared" si="203"/>
        <v>0</v>
      </c>
      <c r="AF97" s="180">
        <f t="shared" si="203"/>
        <v>0</v>
      </c>
      <c r="AG97" s="180">
        <f t="shared" si="203"/>
        <v>0</v>
      </c>
      <c r="AI97" s="72">
        <f t="shared" ref="AI97:AK97" si="204">AI69+AI75+AI79+AI83+AI86+AI90+AI93</f>
        <v>0</v>
      </c>
      <c r="AJ97" s="72">
        <f t="shared" si="204"/>
        <v>0</v>
      </c>
      <c r="AK97" s="72">
        <f t="shared" si="204"/>
        <v>0</v>
      </c>
      <c r="AM97" s="123"/>
      <c r="AN97" s="123"/>
      <c r="AO97" s="123"/>
      <c r="AP97" s="123"/>
      <c r="AQ97" s="123"/>
      <c r="AR97" s="123"/>
      <c r="AS97" s="123"/>
      <c r="AT97" s="123"/>
      <c r="AU97" s="123"/>
      <c r="AV97" s="123"/>
      <c r="AW97" s="123"/>
      <c r="AZ97" s="181"/>
      <c r="BW97" s="50"/>
      <c r="BX97" s="50" t="str">
        <f>IFERROR(VLOOKUP($E97,'Pre-Assessment Estimator'!$E$11:$AB$228,'Pre-Assessment Estimator'!AB$2,FALSE),"")</f>
        <v/>
      </c>
      <c r="BY97" s="50" t="str">
        <f>IFERROR(VLOOKUP($E97,'Pre-Assessment Estimator'!$E$11:$AI$228,'Pre-Assessment Estimator'!AI$2,FALSE),"")</f>
        <v/>
      </c>
      <c r="BZ97" s="50" t="str">
        <f t="shared" si="199"/>
        <v/>
      </c>
      <c r="CA97" s="50" t="str">
        <f>IFERROR(VLOOKUP($BX97,$E$294:$H$327,G$292,FALSE),"")</f>
        <v/>
      </c>
      <c r="CB97" s="50"/>
      <c r="CC97" t="str">
        <f t="shared" si="200"/>
        <v/>
      </c>
    </row>
    <row r="98" spans="1:81" ht="15.75" thickBot="1" x14ac:dyDescent="0.3">
      <c r="A98">
        <v>90</v>
      </c>
      <c r="AI98" s="1"/>
      <c r="AJ98" s="1"/>
      <c r="AK98" s="1"/>
      <c r="AM98" s="123"/>
      <c r="AN98" s="123"/>
      <c r="AO98" s="123"/>
      <c r="AP98" s="123"/>
      <c r="AQ98" s="123"/>
      <c r="AR98" s="123"/>
      <c r="AS98" s="123"/>
      <c r="AT98" s="123"/>
      <c r="AU98" s="123"/>
      <c r="AV98" s="123"/>
      <c r="AW98" s="123"/>
      <c r="BX98" t="str">
        <f>IFERROR(VLOOKUP($E98,'Pre-Assessment Estimator'!$E$11:$AB$228,'Pre-Assessment Estimator'!AB$2,FALSE),"")</f>
        <v/>
      </c>
      <c r="BY98" t="str">
        <f>IFERROR(VLOOKUP($E98,'Pre-Assessment Estimator'!$E$11:$AI$228,'Pre-Assessment Estimator'!AI$2,FALSE),"")</f>
        <v/>
      </c>
      <c r="BZ98" t="str">
        <f t="shared" si="199"/>
        <v/>
      </c>
      <c r="CA98" t="str">
        <f>IFERROR(VLOOKUP($BX98,$E$294:$H$327,G$292,FALSE),"")</f>
        <v/>
      </c>
      <c r="CC98" t="str">
        <f t="shared" si="200"/>
        <v/>
      </c>
    </row>
    <row r="99" spans="1:81" ht="60.75" thickBot="1" x14ac:dyDescent="0.3">
      <c r="A99">
        <v>91</v>
      </c>
      <c r="D99" s="127"/>
      <c r="E99" s="47" t="s">
        <v>62</v>
      </c>
      <c r="F99" s="1364" t="str">
        <f>$F$9</f>
        <v>Office</v>
      </c>
      <c r="G99" s="1364" t="str">
        <f>$G$9</f>
        <v>Retail</v>
      </c>
      <c r="H99" s="1365" t="str">
        <f>$H$9</f>
        <v>Residential</v>
      </c>
      <c r="I99" s="1364" t="str">
        <f>$I$9</f>
        <v>Industrial</v>
      </c>
      <c r="J99" s="1366" t="str">
        <f>$J$9</f>
        <v>Healthcare</v>
      </c>
      <c r="K99" s="1366" t="str">
        <f>$K$9</f>
        <v>Prison</v>
      </c>
      <c r="L99" s="1366" t="str">
        <f>$L$9</f>
        <v>Law Court</v>
      </c>
      <c r="M99" s="1367" t="str">
        <f>$M$9</f>
        <v>Residential institution (long term stay)</v>
      </c>
      <c r="N99" s="684" t="str">
        <f>$N$9</f>
        <v>Residential institution (short term stay)</v>
      </c>
      <c r="O99" s="684" t="str">
        <f>$O$9</f>
        <v>Non-residential institution</v>
      </c>
      <c r="P99" s="684" t="str">
        <f>$P$9</f>
        <v>Assembly and leisure</v>
      </c>
      <c r="Q99" s="1366" t="str">
        <f>$Q$9</f>
        <v>Education</v>
      </c>
      <c r="R99" s="659" t="str">
        <f>$R$9</f>
        <v>Other</v>
      </c>
      <c r="T99" s="122" t="str">
        <f>$E$6</f>
        <v>Office</v>
      </c>
      <c r="U99" s="182"/>
      <c r="V99" s="183"/>
      <c r="W99" s="183"/>
      <c r="X99" s="183"/>
      <c r="Y99" s="871" t="s">
        <v>391</v>
      </c>
      <c r="Z99" s="302" t="s">
        <v>317</v>
      </c>
      <c r="AA99" s="131" t="s">
        <v>204</v>
      </c>
      <c r="AB99" s="53" t="s">
        <v>15</v>
      </c>
      <c r="AI99" s="36"/>
      <c r="AJ99" s="54"/>
      <c r="AK99" s="54"/>
      <c r="AM99" s="123"/>
      <c r="AN99" s="123"/>
      <c r="AO99" s="123"/>
      <c r="AP99" s="123"/>
      <c r="AQ99" s="123"/>
      <c r="AR99" s="123"/>
      <c r="AS99" s="123"/>
      <c r="AT99" s="123"/>
      <c r="AU99" s="123"/>
      <c r="AV99" s="123"/>
      <c r="AW99" s="123"/>
      <c r="BO99" s="54"/>
      <c r="BP99" s="54"/>
      <c r="BQ99" s="54"/>
      <c r="BR99" s="54"/>
      <c r="BS99" s="54"/>
      <c r="BT99" s="54"/>
      <c r="BW99" s="47"/>
      <c r="BX99" s="47" t="str">
        <f>E99</f>
        <v>Transport</v>
      </c>
      <c r="BY99" s="47">
        <f>IFERROR(VLOOKUP($E99,'Pre-Assessment Estimator'!$E$11:$AI$228,'Pre-Assessment Estimator'!AI$2,FALSE),"")</f>
        <v>0</v>
      </c>
      <c r="BZ99" s="47" t="str">
        <f t="shared" si="199"/>
        <v/>
      </c>
      <c r="CA99" s="47" t="str">
        <f>IFERROR(VLOOKUP($BX99,$E$294:$H$327,G$292,FALSE),"")</f>
        <v/>
      </c>
      <c r="CB99" s="47"/>
      <c r="CC99" t="str">
        <f t="shared" si="200"/>
        <v/>
      </c>
    </row>
    <row r="100" spans="1:81" x14ac:dyDescent="0.25">
      <c r="A100">
        <v>92</v>
      </c>
      <c r="B100" s="121" t="str">
        <f>D100</f>
        <v>Tra 01</v>
      </c>
      <c r="C100" s="121"/>
      <c r="D100" s="637" t="s">
        <v>141</v>
      </c>
      <c r="E100" s="635" t="s">
        <v>440</v>
      </c>
      <c r="F100" s="699">
        <f>SUM(F101:F102)</f>
        <v>3</v>
      </c>
      <c r="G100" s="699">
        <f t="shared" ref="G100:R100" si="205">SUM(G101:G102)</f>
        <v>3</v>
      </c>
      <c r="H100" s="699">
        <f t="shared" si="205"/>
        <v>3</v>
      </c>
      <c r="I100" s="699">
        <f t="shared" si="205"/>
        <v>3</v>
      </c>
      <c r="J100" s="699">
        <f t="shared" si="205"/>
        <v>3</v>
      </c>
      <c r="K100" s="699">
        <f t="shared" si="205"/>
        <v>3</v>
      </c>
      <c r="L100" s="699">
        <f t="shared" si="205"/>
        <v>3</v>
      </c>
      <c r="M100" s="699">
        <f t="shared" si="205"/>
        <v>3</v>
      </c>
      <c r="N100" s="699">
        <f t="shared" si="205"/>
        <v>3</v>
      </c>
      <c r="O100" s="699">
        <f t="shared" si="205"/>
        <v>3</v>
      </c>
      <c r="P100" s="699">
        <f t="shared" si="205"/>
        <v>3</v>
      </c>
      <c r="Q100" s="699">
        <f t="shared" ref="Q100" si="206">SUM(Q101:Q102)</f>
        <v>3</v>
      </c>
      <c r="R100" s="699">
        <f t="shared" si="205"/>
        <v>3</v>
      </c>
      <c r="T100" s="131">
        <f t="shared" ref="T100:T105" si="207">HLOOKUP($E$6,$F$9:$R$231,$A100,FALSE)</f>
        <v>3</v>
      </c>
      <c r="U100" s="191"/>
      <c r="V100" s="61"/>
      <c r="W100" s="61"/>
      <c r="X100" s="61">
        <f>'Manuell filtrering og justering'!E43</f>
        <v>0</v>
      </c>
      <c r="Y100" s="61"/>
      <c r="Z100" s="714">
        <f t="shared" ref="Z100" si="208">SUM(Z101:Z102)</f>
        <v>3</v>
      </c>
      <c r="AA100" s="719">
        <f t="shared" ref="AA100:AA105" si="209">IF(SUM(U100:Y100)&gt;T100,T100,SUM(U100:Y100))</f>
        <v>0</v>
      </c>
      <c r="AB100" s="793">
        <f t="shared" ref="AB100" si="210">SUM(AB101:AB102)</f>
        <v>3</v>
      </c>
      <c r="AD100" s="150">
        <f t="shared" ref="AD100:AD109" si="211">(Tra_Weight/Tra_Credits)*AB100</f>
        <v>2.3076923076923078E-2</v>
      </c>
      <c r="AE100" s="687">
        <f>SUM(AE101:AE102)</f>
        <v>0</v>
      </c>
      <c r="AF100" s="687">
        <f t="shared" ref="AF100" si="212">SUM(AF101:AF102)</f>
        <v>0</v>
      </c>
      <c r="AG100" s="687">
        <f t="shared" ref="AG100" si="213">SUM(AG101:AG102)</f>
        <v>0</v>
      </c>
      <c r="AI100" s="714">
        <f t="shared" ref="AI100" si="214">SUM(AI101:AI102)</f>
        <v>0</v>
      </c>
      <c r="AJ100" s="714">
        <f t="shared" ref="AJ100" si="215">SUM(AJ101:AJ102)</f>
        <v>0</v>
      </c>
      <c r="AK100" s="714">
        <f t="shared" ref="AK100" si="216">SUM(AK101:AK102)</f>
        <v>0</v>
      </c>
      <c r="AM100" s="257"/>
      <c r="AN100" s="258"/>
      <c r="AO100" s="258"/>
      <c r="AP100" s="258"/>
      <c r="AQ100" s="259"/>
      <c r="AR100" s="123"/>
      <c r="AS100" s="257"/>
      <c r="AT100" s="258"/>
      <c r="AU100" s="258"/>
      <c r="AV100" s="258"/>
      <c r="AW100" s="259"/>
      <c r="AY100" s="189"/>
      <c r="AZ100" s="156"/>
      <c r="BA100" s="156"/>
      <c r="BB100" s="156"/>
      <c r="BC100" s="190"/>
      <c r="BD100" s="153">
        <f t="shared" si="59"/>
        <v>9</v>
      </c>
      <c r="BE100" s="45" t="str">
        <f t="shared" ref="BE100:BE109" si="217">VLOOKUP(BD100,$BO$285:$BT$291,6,FALSE)</f>
        <v>N/A</v>
      </c>
      <c r="BF100" s="157"/>
      <c r="BG100" s="153">
        <f t="shared" ref="BG100:BG109" si="218">IF(BC100=0,9,IF(AJ100&gt;=BC100,5,IF(AJ100&gt;=BB100,4,IF(AJ100&gt;=BA100,3,IF(AJ100&gt;=AZ100,2,IF(AJ100&lt;AY100,0,1))))))</f>
        <v>9</v>
      </c>
      <c r="BH100" s="45" t="str">
        <f t="shared" ref="BH100:BH109" si="219">VLOOKUP(BG100,$BO$285:$BT$291,6,FALSE)</f>
        <v>N/A</v>
      </c>
      <c r="BI100" s="157"/>
      <c r="BJ100" s="153">
        <f t="shared" si="27"/>
        <v>9</v>
      </c>
      <c r="BK100" s="45" t="str">
        <f t="shared" ref="BK100:BK109" si="220">VLOOKUP(BJ100,$BO$285:$BT$291,6,FALSE)</f>
        <v>N/A</v>
      </c>
      <c r="BL100" s="157"/>
      <c r="BO100" s="43"/>
      <c r="BP100" s="43"/>
      <c r="BQ100" s="43" t="str">
        <f t="shared" si="156"/>
        <v/>
      </c>
      <c r="BR100" s="43">
        <f t="shared" si="196"/>
        <v>9</v>
      </c>
      <c r="BS100" s="43">
        <f t="shared" si="197"/>
        <v>9</v>
      </c>
      <c r="BT100" s="43">
        <f t="shared" si="198"/>
        <v>9</v>
      </c>
      <c r="BW100" s="45" t="str">
        <f>D100</f>
        <v>Tra 01</v>
      </c>
      <c r="BX100" s="45" t="str">
        <f>IFERROR(VLOOKUP($E100,'Pre-Assessment Estimator'!$E$11:$AB$228,'Pre-Assessment Estimator'!AB$2,FALSE),"")</f>
        <v>N/A</v>
      </c>
      <c r="BY100" s="45">
        <f>IFERROR(VLOOKUP($E100,'Pre-Assessment Estimator'!$E$11:$AI$228,'Pre-Assessment Estimator'!AI$2,FALSE),"")</f>
        <v>0</v>
      </c>
      <c r="BZ100" s="45">
        <f t="shared" si="199"/>
        <v>1</v>
      </c>
      <c r="CA100" s="45">
        <f>IFERROR(VLOOKUP($BX100,$E$294:$H$327,G$292,FALSE),"")</f>
        <v>0</v>
      </c>
      <c r="CB100" s="45"/>
      <c r="CC100" t="str">
        <f t="shared" si="200"/>
        <v/>
      </c>
    </row>
    <row r="101" spans="1:81" x14ac:dyDescent="0.25">
      <c r="A101">
        <v>93</v>
      </c>
      <c r="B101" t="str">
        <f t="shared" ref="B101:B102" si="221">$D$100&amp;D101</f>
        <v>Tra 01a</v>
      </c>
      <c r="D101" s="144" t="s">
        <v>673</v>
      </c>
      <c r="E101" s="840" t="s">
        <v>617</v>
      </c>
      <c r="F101" s="704">
        <v>2</v>
      </c>
      <c r="G101" s="704">
        <v>2</v>
      </c>
      <c r="H101" s="704">
        <v>2</v>
      </c>
      <c r="I101" s="704">
        <v>2</v>
      </c>
      <c r="J101" s="704">
        <v>2</v>
      </c>
      <c r="K101" s="704">
        <v>2</v>
      </c>
      <c r="L101" s="704">
        <v>2</v>
      </c>
      <c r="M101" s="704">
        <v>2</v>
      </c>
      <c r="N101" s="704">
        <v>2</v>
      </c>
      <c r="O101" s="704">
        <v>2</v>
      </c>
      <c r="P101" s="704">
        <v>2</v>
      </c>
      <c r="Q101" s="704">
        <v>2</v>
      </c>
      <c r="R101" s="704">
        <v>2</v>
      </c>
      <c r="T101" s="148">
        <f t="shared" si="207"/>
        <v>2</v>
      </c>
      <c r="U101" s="761">
        <f>IF(AND(ADBT0=ADBT8,'Assessment Details'!F6='Assessment Details'!U7),T101,0)*0</f>
        <v>0</v>
      </c>
      <c r="V101" s="43"/>
      <c r="W101" s="43"/>
      <c r="X101" s="43"/>
      <c r="Y101" s="147"/>
      <c r="Z101" s="147">
        <f>VLOOKUP(B101,'Manuell filtrering og justering'!$A$7:$H$107,'Manuell filtrering og justering'!$H$1,FALSE)</f>
        <v>2</v>
      </c>
      <c r="AA101" s="148">
        <f t="shared" si="209"/>
        <v>0</v>
      </c>
      <c r="AB101" s="149">
        <f>IF($AC$5='Manuell filtrering og justering'!$J$2,Z101,(T101-AA101))</f>
        <v>2</v>
      </c>
      <c r="AD101" s="150">
        <f t="shared" si="211"/>
        <v>1.5384615384615385E-2</v>
      </c>
      <c r="AE101" s="150">
        <f t="shared" ref="AE101:AE105" si="222">IF(AB101=0,0,(AD101/AB101)*AI101)</f>
        <v>0</v>
      </c>
      <c r="AF101" s="150">
        <f t="shared" ref="AF101:AF105" si="223">IF(AB101=0,0,(AD101/AB101)*AJ101)</f>
        <v>0</v>
      </c>
      <c r="AG101" s="150">
        <f t="shared" ref="AG101:AG105" si="224">IF(AB101=0,0,(AD101/AB101)*AK101)</f>
        <v>0</v>
      </c>
      <c r="AI101" s="151">
        <f>IF(VLOOKUP(E101,'Pre-Assessment Estimator'!$E$11:$Z$228,'Pre-Assessment Estimator'!$G$2,FALSE)&gt;AB101,AB101,VLOOKUP(E101,'Pre-Assessment Estimator'!$E$11:$Z$228,'Pre-Assessment Estimator'!$G$2,FALSE))</f>
        <v>0</v>
      </c>
      <c r="AJ101" s="151">
        <f>IF(VLOOKUP(E101,'Pre-Assessment Estimator'!$E$11:$Z$228,'Pre-Assessment Estimator'!$N$2,FALSE)&gt;AB101,AB101,VLOOKUP(E101,'Pre-Assessment Estimator'!$E$11:$Z$228,'Pre-Assessment Estimator'!$N$2,FALSE))</f>
        <v>0</v>
      </c>
      <c r="AK101" s="151">
        <f>IF(VLOOKUP(E101,'Pre-Assessment Estimator'!$E$11:$Z$228,'Pre-Assessment Estimator'!$U$2,FALSE)&gt;AB101,AB101,VLOOKUP(E101,'Pre-Assessment Estimator'!$E$11:$Z$228,'Pre-Assessment Estimator'!$U$2,FALSE))</f>
        <v>0</v>
      </c>
      <c r="AM101" s="639"/>
      <c r="AN101" s="640"/>
      <c r="AO101" s="640"/>
      <c r="AP101" s="640"/>
      <c r="AQ101" s="641"/>
      <c r="AR101" s="123"/>
      <c r="AS101" s="639"/>
      <c r="AT101" s="640"/>
      <c r="AU101" s="640"/>
      <c r="AV101" s="640"/>
      <c r="AW101" s="641"/>
      <c r="AY101" s="144"/>
      <c r="AZ101" s="45"/>
      <c r="BA101" s="45"/>
      <c r="BB101" s="45"/>
      <c r="BC101" s="642"/>
      <c r="BD101" s="160">
        <f t="shared" ref="BD101:BD105" si="225">IF(BC101=0,9,IF(AI101&gt;=BC101,5,IF(AI101&gt;=BB101,4,IF(AI101&gt;=BA101,3,IF(AI101&gt;=AZ101,2,IF(AI101&lt;AY101,0,1))))))</f>
        <v>9</v>
      </c>
      <c r="BE101" s="45" t="str">
        <f t="shared" si="217"/>
        <v>N/A</v>
      </c>
      <c r="BF101" s="163"/>
      <c r="BG101" s="160">
        <f t="shared" ref="BG101:BG105" si="226">IF(BC101=0,9,IF(AJ101&gt;=BC101,5,IF(AJ101&gt;=BB101,4,IF(AJ101&gt;=BA101,3,IF(AJ101&gt;=AZ101,2,IF(AJ101&lt;AY101,0,1))))))</f>
        <v>9</v>
      </c>
      <c r="BH101" s="45" t="str">
        <f t="shared" si="219"/>
        <v>N/A</v>
      </c>
      <c r="BI101" s="163"/>
      <c r="BJ101" s="160">
        <f t="shared" ref="BJ101:BJ105" si="227">IF(BC101=0,9,IF(AK101&gt;=BC101,5,IF(AK101&gt;=BB101,4,IF(AK101&gt;=BA101,3,IF(AK101&gt;=AZ101,2,IF(AK101&lt;AY101,0,1))))))</f>
        <v>9</v>
      </c>
      <c r="BK101" s="45" t="str">
        <f t="shared" si="220"/>
        <v>N/A</v>
      </c>
      <c r="BL101" s="634"/>
      <c r="BO101" s="43"/>
      <c r="BP101" s="43"/>
      <c r="BQ101" s="43" t="str">
        <f t="shared" si="156"/>
        <v/>
      </c>
      <c r="BR101" s="43">
        <f t="shared" si="196"/>
        <v>9</v>
      </c>
      <c r="BS101" s="43">
        <f t="shared" si="197"/>
        <v>9</v>
      </c>
      <c r="BT101" s="43">
        <f t="shared" si="198"/>
        <v>9</v>
      </c>
      <c r="BW101" s="45"/>
      <c r="BX101" s="45"/>
      <c r="BY101" s="45"/>
      <c r="BZ101" s="45"/>
      <c r="CA101" s="45"/>
      <c r="CB101" s="45"/>
    </row>
    <row r="102" spans="1:81" x14ac:dyDescent="0.25">
      <c r="A102">
        <v>94</v>
      </c>
      <c r="B102" t="str">
        <f t="shared" si="221"/>
        <v>Tra 01b</v>
      </c>
      <c r="D102" s="144" t="s">
        <v>676</v>
      </c>
      <c r="E102" s="840" t="s">
        <v>618</v>
      </c>
      <c r="F102" s="704">
        <v>1</v>
      </c>
      <c r="G102" s="704">
        <v>1</v>
      </c>
      <c r="H102" s="704">
        <v>1</v>
      </c>
      <c r="I102" s="704">
        <v>1</v>
      </c>
      <c r="J102" s="704">
        <v>1</v>
      </c>
      <c r="K102" s="704">
        <v>1</v>
      </c>
      <c r="L102" s="704">
        <v>1</v>
      </c>
      <c r="M102" s="704">
        <v>1</v>
      </c>
      <c r="N102" s="704">
        <v>1</v>
      </c>
      <c r="O102" s="704">
        <v>1</v>
      </c>
      <c r="P102" s="704">
        <v>1</v>
      </c>
      <c r="Q102" s="704">
        <v>1</v>
      </c>
      <c r="R102" s="704">
        <v>1</v>
      </c>
      <c r="T102" s="148">
        <f t="shared" si="207"/>
        <v>1</v>
      </c>
      <c r="U102" s="146"/>
      <c r="V102" s="43"/>
      <c r="W102" s="43"/>
      <c r="X102" s="43"/>
      <c r="Y102" s="147"/>
      <c r="Z102" s="147">
        <f>VLOOKUP(B102,'Manuell filtrering og justering'!$A$7:$H$107,'Manuell filtrering og justering'!$H$1,FALSE)</f>
        <v>1</v>
      </c>
      <c r="AA102" s="148">
        <f t="shared" si="209"/>
        <v>0</v>
      </c>
      <c r="AB102" s="149">
        <f>IF($AC$5='Manuell filtrering og justering'!$J$2,Z102,(T102-AA102))</f>
        <v>1</v>
      </c>
      <c r="AD102" s="150">
        <f t="shared" si="211"/>
        <v>7.6923076923076927E-3</v>
      </c>
      <c r="AE102" s="150">
        <f t="shared" si="222"/>
        <v>0</v>
      </c>
      <c r="AF102" s="150">
        <f t="shared" si="223"/>
        <v>0</v>
      </c>
      <c r="AG102" s="150">
        <f t="shared" si="224"/>
        <v>0</v>
      </c>
      <c r="AI102" s="151">
        <f>IF(VLOOKUP(E102,'Pre-Assessment Estimator'!$E$11:$Z$228,'Pre-Assessment Estimator'!$G$2,FALSE)&gt;AB102,AB102,VLOOKUP(E102,'Pre-Assessment Estimator'!$E$11:$Z$228,'Pre-Assessment Estimator'!$G$2,FALSE))</f>
        <v>0</v>
      </c>
      <c r="AJ102" s="151">
        <f>IF(VLOOKUP(E102,'Pre-Assessment Estimator'!$E$11:$Z$228,'Pre-Assessment Estimator'!$N$2,FALSE)&gt;AB102,AB102,VLOOKUP(E102,'Pre-Assessment Estimator'!$E$11:$Z$228,'Pre-Assessment Estimator'!$N$2,FALSE))</f>
        <v>0</v>
      </c>
      <c r="AK102" s="151">
        <f>IF(VLOOKUP(E102,'Pre-Assessment Estimator'!$E$11:$Z$228,'Pre-Assessment Estimator'!$U$2,FALSE)&gt;AB102,AB102,VLOOKUP(E102,'Pre-Assessment Estimator'!$E$11:$Z$228,'Pre-Assessment Estimator'!$U$2,FALSE))</f>
        <v>0</v>
      </c>
      <c r="AM102" s="639"/>
      <c r="AN102" s="640"/>
      <c r="AO102" s="640"/>
      <c r="AP102" s="640">
        <v>1</v>
      </c>
      <c r="AQ102" s="641">
        <v>1</v>
      </c>
      <c r="AR102" s="123"/>
      <c r="AS102" s="639"/>
      <c r="AT102" s="640"/>
      <c r="AU102" s="640"/>
      <c r="AV102" s="640">
        <v>1</v>
      </c>
      <c r="AW102" s="641">
        <v>1</v>
      </c>
      <c r="AY102" s="144"/>
      <c r="AZ102" s="45"/>
      <c r="BA102" s="45"/>
      <c r="BB102" s="161">
        <f>IF($AB102=0,0,IF($E$6=$H$9,AV102,AP102))</f>
        <v>1</v>
      </c>
      <c r="BC102" s="161">
        <f>IF($AB102=0,0,IF($E$6=$H$9,AW102,AQ102))</f>
        <v>1</v>
      </c>
      <c r="BD102" s="160">
        <f t="shared" si="225"/>
        <v>3</v>
      </c>
      <c r="BE102" s="45" t="str">
        <f t="shared" si="217"/>
        <v>Very Good</v>
      </c>
      <c r="BF102" s="163"/>
      <c r="BG102" s="160">
        <f t="shared" si="226"/>
        <v>3</v>
      </c>
      <c r="BH102" s="45" t="str">
        <f t="shared" si="219"/>
        <v>Very Good</v>
      </c>
      <c r="BI102" s="163"/>
      <c r="BJ102" s="160">
        <f t="shared" si="227"/>
        <v>3</v>
      </c>
      <c r="BK102" s="45" t="str">
        <f t="shared" si="220"/>
        <v>Very Good</v>
      </c>
      <c r="BL102" s="634"/>
      <c r="BO102" s="43"/>
      <c r="BP102" s="43"/>
      <c r="BQ102" s="43" t="str">
        <f t="shared" si="156"/>
        <v/>
      </c>
      <c r="BR102" s="43">
        <f t="shared" si="196"/>
        <v>9</v>
      </c>
      <c r="BS102" s="43">
        <f t="shared" si="197"/>
        <v>9</v>
      </c>
      <c r="BT102" s="43">
        <f t="shared" si="198"/>
        <v>9</v>
      </c>
      <c r="BW102" s="45"/>
      <c r="BX102" s="45"/>
      <c r="BY102" s="45"/>
      <c r="BZ102" s="45"/>
      <c r="CA102" s="45"/>
      <c r="CB102" s="45"/>
    </row>
    <row r="103" spans="1:81" x14ac:dyDescent="0.25">
      <c r="A103">
        <v>95</v>
      </c>
      <c r="B103" s="121" t="str">
        <f>D103</f>
        <v>Tra 02</v>
      </c>
      <c r="C103" s="121"/>
      <c r="D103" s="638" t="s">
        <v>142</v>
      </c>
      <c r="E103" s="636" t="s">
        <v>441</v>
      </c>
      <c r="F103" s="699">
        <f>SUM(F104:F105)</f>
        <v>10</v>
      </c>
      <c r="G103" s="699">
        <f t="shared" ref="G103:R103" si="228">SUM(G104:G105)</f>
        <v>10</v>
      </c>
      <c r="H103" s="699">
        <f t="shared" si="228"/>
        <v>10</v>
      </c>
      <c r="I103" s="699">
        <f t="shared" si="228"/>
        <v>10</v>
      </c>
      <c r="J103" s="699">
        <f t="shared" si="228"/>
        <v>10</v>
      </c>
      <c r="K103" s="699">
        <f t="shared" si="228"/>
        <v>10</v>
      </c>
      <c r="L103" s="699">
        <f t="shared" si="228"/>
        <v>10</v>
      </c>
      <c r="M103" s="699">
        <f t="shared" si="228"/>
        <v>10</v>
      </c>
      <c r="N103" s="699">
        <f t="shared" si="228"/>
        <v>10</v>
      </c>
      <c r="O103" s="699">
        <f t="shared" si="228"/>
        <v>10</v>
      </c>
      <c r="P103" s="699">
        <f t="shared" si="228"/>
        <v>10</v>
      </c>
      <c r="Q103" s="699">
        <f t="shared" ref="Q103" si="229">SUM(Q104:Q105)</f>
        <v>10</v>
      </c>
      <c r="R103" s="699">
        <f t="shared" si="228"/>
        <v>10</v>
      </c>
      <c r="T103" s="719">
        <f t="shared" si="207"/>
        <v>10</v>
      </c>
      <c r="U103" s="191"/>
      <c r="V103" s="61"/>
      <c r="W103" s="61"/>
      <c r="X103" s="61">
        <f>'Manuell filtrering og justering'!E44</f>
        <v>0</v>
      </c>
      <c r="Y103" s="61"/>
      <c r="Z103" s="714">
        <f t="shared" ref="Z103" si="230">SUM(Z104:Z105)</f>
        <v>10</v>
      </c>
      <c r="AA103" s="719">
        <f t="shared" si="209"/>
        <v>0</v>
      </c>
      <c r="AB103" s="793">
        <f t="shared" ref="AB103" si="231">SUM(AB104:AB105)</f>
        <v>10</v>
      </c>
      <c r="AD103" s="150">
        <f t="shared" si="211"/>
        <v>7.6923076923076927E-2</v>
      </c>
      <c r="AE103" s="687">
        <f>SUM(AE104:AE105)</f>
        <v>0</v>
      </c>
      <c r="AF103" s="687">
        <f t="shared" ref="AF103" si="232">SUM(AF104:AF105)</f>
        <v>0</v>
      </c>
      <c r="AG103" s="687">
        <f t="shared" ref="AG103" si="233">SUM(AG104:AG105)</f>
        <v>0</v>
      </c>
      <c r="AI103" s="714">
        <f t="shared" ref="AI103" si="234">SUM(AI104:AI105)</f>
        <v>0</v>
      </c>
      <c r="AJ103" s="714">
        <f t="shared" ref="AJ103" si="235">SUM(AJ104:AJ105)</f>
        <v>0</v>
      </c>
      <c r="AK103" s="714">
        <f t="shared" ref="AK103" si="236">SUM(AK104:AK105)</f>
        <v>0</v>
      </c>
      <c r="AM103" s="251"/>
      <c r="AN103" s="252"/>
      <c r="AO103" s="252"/>
      <c r="AP103" s="252"/>
      <c r="AQ103" s="253"/>
      <c r="AR103" s="123"/>
      <c r="AS103" s="251"/>
      <c r="AT103" s="252"/>
      <c r="AU103" s="252"/>
      <c r="AV103" s="252"/>
      <c r="AW103" s="253"/>
      <c r="AY103" s="146"/>
      <c r="AZ103" s="43"/>
      <c r="BA103" s="43"/>
      <c r="BB103" s="43"/>
      <c r="BC103" s="147"/>
      <c r="BD103" s="160">
        <f t="shared" si="225"/>
        <v>9</v>
      </c>
      <c r="BE103" s="45" t="str">
        <f t="shared" si="217"/>
        <v>N/A</v>
      </c>
      <c r="BF103" s="163"/>
      <c r="BG103" s="160">
        <f t="shared" si="226"/>
        <v>9</v>
      </c>
      <c r="BH103" s="45" t="str">
        <f t="shared" si="219"/>
        <v>N/A</v>
      </c>
      <c r="BI103" s="163"/>
      <c r="BJ103" s="160">
        <f t="shared" si="227"/>
        <v>9</v>
      </c>
      <c r="BK103" s="45" t="str">
        <f t="shared" si="220"/>
        <v>N/A</v>
      </c>
      <c r="BL103" s="163"/>
      <c r="BO103" s="43"/>
      <c r="BP103" s="43"/>
      <c r="BQ103" s="43" t="str">
        <f t="shared" si="156"/>
        <v/>
      </c>
      <c r="BR103" s="43">
        <f t="shared" si="196"/>
        <v>9</v>
      </c>
      <c r="BS103" s="43">
        <f t="shared" si="197"/>
        <v>9</v>
      </c>
      <c r="BT103" s="43">
        <f t="shared" si="198"/>
        <v>9</v>
      </c>
      <c r="BW103" s="43" t="str">
        <f>D103</f>
        <v>Tra 02</v>
      </c>
      <c r="BX103" s="43" t="str">
        <f>IFERROR(VLOOKUP($E103,'Pre-Assessment Estimator'!$E$11:$AB$228,'Pre-Assessment Estimator'!AB$2,FALSE),"")</f>
        <v>N/A</v>
      </c>
      <c r="BY103" s="43">
        <f>IFERROR(VLOOKUP($E103,'Pre-Assessment Estimator'!$E$11:$AI$228,'Pre-Assessment Estimator'!AI$2,FALSE),"")</f>
        <v>0</v>
      </c>
      <c r="BZ103" s="43">
        <f>IFERROR(VLOOKUP($BX103,$E$294:$H$327,F$292,FALSE),"")</f>
        <v>1</v>
      </c>
      <c r="CA103" s="43">
        <f>IFERROR(VLOOKUP($BX103,$E$294:$H$327,G$292,FALSE),"")</f>
        <v>0</v>
      </c>
      <c r="CB103" s="43"/>
      <c r="CC103" t="str">
        <f>IFERROR(VLOOKUP($BX103,$E$294:$H$327,I$292,FALSE),"")</f>
        <v/>
      </c>
    </row>
    <row r="104" spans="1:81" x14ac:dyDescent="0.25">
      <c r="A104">
        <v>96</v>
      </c>
      <c r="D104" s="144" t="s">
        <v>673</v>
      </c>
      <c r="E104" s="840" t="s">
        <v>965</v>
      </c>
      <c r="F104" s="582">
        <v>0</v>
      </c>
      <c r="G104" s="582">
        <v>0</v>
      </c>
      <c r="H104" s="582">
        <v>0</v>
      </c>
      <c r="I104" s="582">
        <v>0</v>
      </c>
      <c r="J104" s="582">
        <v>0</v>
      </c>
      <c r="K104" s="582">
        <v>0</v>
      </c>
      <c r="L104" s="582">
        <v>0</v>
      </c>
      <c r="M104" s="582">
        <v>0</v>
      </c>
      <c r="N104" s="582">
        <v>0</v>
      </c>
      <c r="O104" s="582">
        <v>0</v>
      </c>
      <c r="P104" s="582">
        <v>0</v>
      </c>
      <c r="Q104" s="582">
        <v>0</v>
      </c>
      <c r="R104" s="582">
        <v>0</v>
      </c>
      <c r="T104" s="148">
        <f t="shared" si="207"/>
        <v>0</v>
      </c>
      <c r="U104" s="146"/>
      <c r="V104" s="43"/>
      <c r="W104" s="43"/>
      <c r="X104" s="43"/>
      <c r="Y104" s="147"/>
      <c r="Z104" s="147"/>
      <c r="AA104" s="148">
        <f t="shared" si="209"/>
        <v>0</v>
      </c>
      <c r="AB104" s="149"/>
      <c r="AD104" s="150">
        <f t="shared" si="211"/>
        <v>0</v>
      </c>
      <c r="AE104" s="150">
        <f t="shared" si="222"/>
        <v>0</v>
      </c>
      <c r="AF104" s="150">
        <f t="shared" si="223"/>
        <v>0</v>
      </c>
      <c r="AG104" s="150">
        <f t="shared" si="224"/>
        <v>0</v>
      </c>
      <c r="AI104" s="151">
        <f>IF(VLOOKUP(E104,'Pre-Assessment Estimator'!$E$11:$Z$228,'Pre-Assessment Estimator'!$G$2,FALSE)&gt;AB104,AB104,VLOOKUP(E104,'Pre-Assessment Estimator'!$E$11:$Z$228,'Pre-Assessment Estimator'!$G$2,FALSE))</f>
        <v>0</v>
      </c>
      <c r="AJ104" s="151">
        <f>IF(VLOOKUP(E104,'Pre-Assessment Estimator'!$E$11:$Z$228,'Pre-Assessment Estimator'!$N$2,FALSE)&gt;AB104,AB104,VLOOKUP(E104,'Pre-Assessment Estimator'!$E$11:$Z$228,'Pre-Assessment Estimator'!$N$2,FALSE))</f>
        <v>0</v>
      </c>
      <c r="AK104" s="151">
        <f>IF(VLOOKUP(E104,'Pre-Assessment Estimator'!$E$11:$Z$228,'Pre-Assessment Estimator'!$U$2,FALSE)&gt;AB104,AB104,VLOOKUP(E104,'Pre-Assessment Estimator'!$E$11:$Z$228,'Pre-Assessment Estimator'!$U$2,FALSE))</f>
        <v>0</v>
      </c>
      <c r="AM104" s="251"/>
      <c r="AN104" s="252"/>
      <c r="AO104" s="252"/>
      <c r="AP104" s="252"/>
      <c r="AQ104" s="253"/>
      <c r="AR104" s="123"/>
      <c r="AS104" s="251"/>
      <c r="AT104" s="252"/>
      <c r="AU104" s="252"/>
      <c r="AV104" s="252"/>
      <c r="AW104" s="253"/>
      <c r="AY104" s="146"/>
      <c r="AZ104" s="43"/>
      <c r="BA104" s="43"/>
      <c r="BB104" s="43"/>
      <c r="BC104" s="147"/>
      <c r="BD104" s="160">
        <f t="shared" si="225"/>
        <v>9</v>
      </c>
      <c r="BE104" s="45" t="str">
        <f t="shared" si="217"/>
        <v>N/A</v>
      </c>
      <c r="BF104" s="163"/>
      <c r="BG104" s="160">
        <f t="shared" si="226"/>
        <v>9</v>
      </c>
      <c r="BH104" s="45" t="str">
        <f t="shared" si="219"/>
        <v>N/A</v>
      </c>
      <c r="BI104" s="163"/>
      <c r="BJ104" s="160">
        <f t="shared" si="227"/>
        <v>9</v>
      </c>
      <c r="BK104" s="45" t="str">
        <f t="shared" si="220"/>
        <v>N/A</v>
      </c>
      <c r="BL104" s="163"/>
      <c r="BO104" s="43"/>
      <c r="BP104" s="43"/>
      <c r="BQ104" s="43" t="str">
        <f t="shared" si="156"/>
        <v/>
      </c>
      <c r="BR104" s="43">
        <f t="shared" si="196"/>
        <v>9</v>
      </c>
      <c r="BS104" s="43">
        <f t="shared" si="197"/>
        <v>9</v>
      </c>
      <c r="BT104" s="43">
        <f t="shared" si="198"/>
        <v>9</v>
      </c>
      <c r="BW104" s="43"/>
      <c r="BX104" s="43"/>
      <c r="BY104" s="43"/>
      <c r="BZ104" s="43"/>
      <c r="CA104" s="43"/>
      <c r="CB104" s="43"/>
    </row>
    <row r="105" spans="1:81" x14ac:dyDescent="0.25">
      <c r="A105">
        <v>97</v>
      </c>
      <c r="B105" t="str">
        <f t="shared" ref="B105" si="237">$D$103&amp;D105</f>
        <v>Tra 02b</v>
      </c>
      <c r="D105" s="144" t="s">
        <v>676</v>
      </c>
      <c r="E105" s="840" t="s">
        <v>620</v>
      </c>
      <c r="F105" s="582">
        <v>10</v>
      </c>
      <c r="G105" s="582">
        <v>10</v>
      </c>
      <c r="H105" s="582">
        <v>10</v>
      </c>
      <c r="I105" s="582">
        <v>10</v>
      </c>
      <c r="J105" s="582">
        <v>10</v>
      </c>
      <c r="K105" s="582">
        <v>10</v>
      </c>
      <c r="L105" s="582">
        <v>10</v>
      </c>
      <c r="M105" s="582">
        <v>10</v>
      </c>
      <c r="N105" s="582">
        <v>10</v>
      </c>
      <c r="O105" s="582">
        <v>10</v>
      </c>
      <c r="P105" s="582">
        <v>10</v>
      </c>
      <c r="Q105" s="582">
        <v>10</v>
      </c>
      <c r="R105" s="582">
        <v>10</v>
      </c>
      <c r="T105" s="148">
        <f t="shared" si="207"/>
        <v>10</v>
      </c>
      <c r="U105" s="146"/>
      <c r="V105" s="43"/>
      <c r="W105" s="43"/>
      <c r="X105" s="43"/>
      <c r="Y105" s="147"/>
      <c r="Z105" s="147">
        <f>VLOOKUP(B105,'Manuell filtrering og justering'!$A$7:$H$107,'Manuell filtrering og justering'!$H$1,FALSE)</f>
        <v>10</v>
      </c>
      <c r="AA105" s="148">
        <f t="shared" si="209"/>
        <v>0</v>
      </c>
      <c r="AB105" s="149">
        <f>IF($AC$5='Manuell filtrering og justering'!$J$2,Z105,(T105-AA105))</f>
        <v>10</v>
      </c>
      <c r="AD105" s="150">
        <f t="shared" si="211"/>
        <v>7.6923076923076927E-2</v>
      </c>
      <c r="AE105" s="150">
        <f t="shared" si="222"/>
        <v>0</v>
      </c>
      <c r="AF105" s="150">
        <f t="shared" si="223"/>
        <v>0</v>
      </c>
      <c r="AG105" s="150">
        <f t="shared" si="224"/>
        <v>0</v>
      </c>
      <c r="AI105" s="794">
        <f>IF(AI246=AD_no,0,IF(VLOOKUP(E105,'Pre-Assessment Estimator'!$E$11:$Z$228,'Pre-Assessment Estimator'!$G$2,FALSE)&gt;AB105,AB105,VLOOKUP(E105,'Pre-Assessment Estimator'!$E$11:$Z$228,'Pre-Assessment Estimator'!$G$2,FALSE)))</f>
        <v>0</v>
      </c>
      <c r="AJ105" s="794">
        <f>IF(AJ246=AD_no,0,IF(VLOOKUP(E105,'Pre-Assessment Estimator'!$E$11:$Z$228,'Pre-Assessment Estimator'!$N$2,FALSE)&gt;AB105,AB105,VLOOKUP(E105,'Pre-Assessment Estimator'!$E$11:$Z$228,'Pre-Assessment Estimator'!$N$2,FALSE)))</f>
        <v>0</v>
      </c>
      <c r="AK105" s="794">
        <f>IF(AK246=AD_no,0,IF(VLOOKUP(E105,'Pre-Assessment Estimator'!$E$11:$Z$228,'Pre-Assessment Estimator'!$U$2,FALSE)&gt;AB105,AB105,VLOOKUP(E105,'Pre-Assessment Estimator'!$E$11:$Z$228,'Pre-Assessment Estimator'!$U$2,FALSE)))</f>
        <v>0</v>
      </c>
      <c r="AM105" s="251"/>
      <c r="AN105" s="252"/>
      <c r="AO105" s="252"/>
      <c r="AP105" s="252"/>
      <c r="AQ105" s="253"/>
      <c r="AR105" s="123"/>
      <c r="AS105" s="251"/>
      <c r="AT105" s="252"/>
      <c r="AU105" s="252"/>
      <c r="AV105" s="252"/>
      <c r="AW105" s="253"/>
      <c r="AY105" s="146"/>
      <c r="AZ105" s="43"/>
      <c r="BA105" s="43"/>
      <c r="BB105" s="43"/>
      <c r="BC105" s="147"/>
      <c r="BD105" s="160">
        <f t="shared" si="225"/>
        <v>9</v>
      </c>
      <c r="BE105" s="45" t="str">
        <f t="shared" si="217"/>
        <v>N/A</v>
      </c>
      <c r="BF105" s="163"/>
      <c r="BG105" s="160">
        <f t="shared" si="226"/>
        <v>9</v>
      </c>
      <c r="BH105" s="45" t="str">
        <f t="shared" si="219"/>
        <v>N/A</v>
      </c>
      <c r="BI105" s="163"/>
      <c r="BJ105" s="160">
        <f t="shared" si="227"/>
        <v>9</v>
      </c>
      <c r="BK105" s="45" t="str">
        <f t="shared" si="220"/>
        <v>N/A</v>
      </c>
      <c r="BL105" s="163"/>
      <c r="BO105" s="43"/>
      <c r="BP105" s="43"/>
      <c r="BQ105" s="43" t="str">
        <f t="shared" si="156"/>
        <v/>
      </c>
      <c r="BR105" s="43">
        <f t="shared" si="196"/>
        <v>9</v>
      </c>
      <c r="BS105" s="43">
        <f t="shared" si="197"/>
        <v>9</v>
      </c>
      <c r="BT105" s="43">
        <f t="shared" si="198"/>
        <v>9</v>
      </c>
      <c r="BW105" s="43"/>
      <c r="BX105" s="43"/>
      <c r="BY105" s="43"/>
      <c r="BZ105" s="43"/>
      <c r="CA105" s="43"/>
      <c r="CB105" s="43"/>
    </row>
    <row r="106" spans="1:81" x14ac:dyDescent="0.25">
      <c r="A106">
        <v>98</v>
      </c>
      <c r="D106" s="523" t="s">
        <v>143</v>
      </c>
      <c r="E106" s="522"/>
      <c r="F106" s="700"/>
      <c r="G106" s="700"/>
      <c r="H106" s="700"/>
      <c r="I106" s="700"/>
      <c r="J106" s="700"/>
      <c r="K106" s="700"/>
      <c r="L106" s="700"/>
      <c r="M106" s="700"/>
      <c r="N106" s="700"/>
      <c r="O106" s="700"/>
      <c r="P106" s="700"/>
      <c r="Q106" s="700"/>
      <c r="R106" s="700"/>
      <c r="T106" s="712"/>
      <c r="U106" s="523"/>
      <c r="V106" s="522"/>
      <c r="W106" s="522"/>
      <c r="X106" s="522"/>
      <c r="Y106" s="711"/>
      <c r="Z106" s="711"/>
      <c r="AA106" s="712"/>
      <c r="AB106" s="713"/>
      <c r="AD106" s="150">
        <f t="shared" si="211"/>
        <v>0</v>
      </c>
      <c r="AE106" s="716"/>
      <c r="AF106" s="716"/>
      <c r="AG106" s="716"/>
      <c r="AI106" s="537"/>
      <c r="AJ106" s="537"/>
      <c r="AK106" s="537"/>
      <c r="AM106" s="251"/>
      <c r="AN106" s="252"/>
      <c r="AO106" s="252"/>
      <c r="AP106" s="252"/>
      <c r="AQ106" s="253"/>
      <c r="AR106" s="123"/>
      <c r="AS106" s="251"/>
      <c r="AT106" s="252"/>
      <c r="AU106" s="252"/>
      <c r="AV106" s="252"/>
      <c r="AW106" s="253"/>
      <c r="AY106" s="146"/>
      <c r="AZ106" s="43"/>
      <c r="BA106" s="43"/>
      <c r="BB106" s="43"/>
      <c r="BC106" s="147"/>
      <c r="BD106" s="160">
        <f t="shared" si="59"/>
        <v>9</v>
      </c>
      <c r="BE106" s="45" t="str">
        <f t="shared" si="217"/>
        <v>N/A</v>
      </c>
      <c r="BF106" s="163"/>
      <c r="BG106" s="160">
        <f t="shared" si="218"/>
        <v>9</v>
      </c>
      <c r="BH106" s="45" t="str">
        <f t="shared" si="219"/>
        <v>N/A</v>
      </c>
      <c r="BI106" s="163"/>
      <c r="BJ106" s="160">
        <f t="shared" si="27"/>
        <v>9</v>
      </c>
      <c r="BK106" s="45" t="str">
        <f t="shared" si="220"/>
        <v>N/A</v>
      </c>
      <c r="BL106" s="163"/>
      <c r="BO106" s="43"/>
      <c r="BP106" s="43"/>
      <c r="BQ106" s="43" t="str">
        <f t="shared" si="156"/>
        <v/>
      </c>
      <c r="BR106" s="43">
        <f t="shared" si="196"/>
        <v>9</v>
      </c>
      <c r="BS106" s="43">
        <f t="shared" si="197"/>
        <v>9</v>
      </c>
      <c r="BT106" s="43">
        <f t="shared" si="198"/>
        <v>9</v>
      </c>
      <c r="BW106" s="43" t="str">
        <f>D106</f>
        <v>Tra 03</v>
      </c>
      <c r="BX106" s="43" t="str">
        <f>IFERROR(VLOOKUP($E106,'Pre-Assessment Estimator'!$E$11:$AB$228,'Pre-Assessment Estimator'!AB$2,FALSE),"")</f>
        <v/>
      </c>
      <c r="BY106" s="43" t="str">
        <f>IFERROR(VLOOKUP($E106,'Pre-Assessment Estimator'!$E$11:$AI$228,'Pre-Assessment Estimator'!AI$2,FALSE),"")</f>
        <v/>
      </c>
      <c r="BZ106" s="43" t="str">
        <f t="shared" ref="BZ106:CA113" si="238">IFERROR(VLOOKUP($BX106,$E$294:$H$327,F$292,FALSE),"")</f>
        <v/>
      </c>
      <c r="CA106" s="43" t="str">
        <f t="shared" si="238"/>
        <v/>
      </c>
      <c r="CB106" s="43"/>
      <c r="CC106" t="s">
        <v>409</v>
      </c>
    </row>
    <row r="107" spans="1:81" x14ac:dyDescent="0.25">
      <c r="A107">
        <v>99</v>
      </c>
      <c r="D107" s="523" t="s">
        <v>144</v>
      </c>
      <c r="E107" s="522"/>
      <c r="F107" s="700"/>
      <c r="G107" s="700"/>
      <c r="H107" s="700"/>
      <c r="I107" s="700"/>
      <c r="J107" s="700"/>
      <c r="K107" s="700"/>
      <c r="L107" s="700"/>
      <c r="M107" s="700"/>
      <c r="N107" s="700"/>
      <c r="O107" s="700"/>
      <c r="P107" s="700"/>
      <c r="Q107" s="700"/>
      <c r="R107" s="700"/>
      <c r="T107" s="712"/>
      <c r="U107" s="523"/>
      <c r="V107" s="522"/>
      <c r="W107" s="522"/>
      <c r="X107" s="522"/>
      <c r="Y107" s="711"/>
      <c r="Z107" s="711"/>
      <c r="AA107" s="712"/>
      <c r="AB107" s="713"/>
      <c r="AD107" s="150">
        <f t="shared" si="211"/>
        <v>0</v>
      </c>
      <c r="AE107" s="716"/>
      <c r="AF107" s="716"/>
      <c r="AG107" s="716"/>
      <c r="AI107" s="537"/>
      <c r="AJ107" s="537"/>
      <c r="AK107" s="537"/>
      <c r="AM107" s="251"/>
      <c r="AN107" s="252"/>
      <c r="AO107" s="252"/>
      <c r="AP107" s="252"/>
      <c r="AQ107" s="253"/>
      <c r="AR107" s="123"/>
      <c r="AS107" s="251"/>
      <c r="AT107" s="252"/>
      <c r="AU107" s="252"/>
      <c r="AV107" s="252"/>
      <c r="AW107" s="253"/>
      <c r="AY107" s="146"/>
      <c r="AZ107" s="43"/>
      <c r="BA107" s="43"/>
      <c r="BB107" s="43"/>
      <c r="BC107" s="147"/>
      <c r="BD107" s="160">
        <f t="shared" si="59"/>
        <v>9</v>
      </c>
      <c r="BE107" s="45" t="str">
        <f t="shared" si="217"/>
        <v>N/A</v>
      </c>
      <c r="BF107" s="163"/>
      <c r="BG107" s="160">
        <f t="shared" si="218"/>
        <v>9</v>
      </c>
      <c r="BH107" s="45" t="str">
        <f t="shared" si="219"/>
        <v>N/A</v>
      </c>
      <c r="BI107" s="163"/>
      <c r="BJ107" s="160">
        <f t="shared" si="27"/>
        <v>9</v>
      </c>
      <c r="BK107" s="45" t="str">
        <f t="shared" si="220"/>
        <v>N/A</v>
      </c>
      <c r="BL107" s="163"/>
      <c r="BO107" s="43"/>
      <c r="BP107" s="43"/>
      <c r="BQ107" s="43" t="str">
        <f t="shared" si="156"/>
        <v/>
      </c>
      <c r="BR107" s="43">
        <f t="shared" si="196"/>
        <v>9</v>
      </c>
      <c r="BS107" s="43">
        <f t="shared" si="197"/>
        <v>9</v>
      </c>
      <c r="BT107" s="43">
        <f t="shared" si="198"/>
        <v>9</v>
      </c>
      <c r="BW107" s="43" t="str">
        <f>D107</f>
        <v>Tra 04</v>
      </c>
      <c r="BX107" s="43" t="str">
        <f>IFERROR(VLOOKUP($E107,'Pre-Assessment Estimator'!$E$11:$AB$228,'Pre-Assessment Estimator'!AB$2,FALSE),"")</f>
        <v/>
      </c>
      <c r="BY107" s="43" t="str">
        <f>IFERROR(VLOOKUP($E107,'Pre-Assessment Estimator'!$E$11:$AI$228,'Pre-Assessment Estimator'!AI$2,FALSE),"")</f>
        <v/>
      </c>
      <c r="BZ107" s="43" t="str">
        <f t="shared" si="238"/>
        <v/>
      </c>
      <c r="CA107" s="43" t="str">
        <f t="shared" si="238"/>
        <v/>
      </c>
      <c r="CB107" s="43"/>
      <c r="CC107" t="str">
        <f t="shared" ref="CC107:CC112" si="239">IFERROR(VLOOKUP($BX107,$E$294:$H$327,I$292,FALSE),"")</f>
        <v/>
      </c>
    </row>
    <row r="108" spans="1:81" x14ac:dyDescent="0.25">
      <c r="A108">
        <v>100</v>
      </c>
      <c r="D108" s="523" t="s">
        <v>145</v>
      </c>
      <c r="E108" s="522"/>
      <c r="F108" s="700"/>
      <c r="G108" s="700"/>
      <c r="H108" s="700"/>
      <c r="I108" s="700"/>
      <c r="J108" s="700"/>
      <c r="K108" s="700"/>
      <c r="L108" s="700"/>
      <c r="M108" s="700"/>
      <c r="N108" s="700"/>
      <c r="O108" s="700"/>
      <c r="P108" s="700"/>
      <c r="Q108" s="700"/>
      <c r="R108" s="700"/>
      <c r="T108" s="712"/>
      <c r="U108" s="523"/>
      <c r="V108" s="522"/>
      <c r="W108" s="522"/>
      <c r="X108" s="522"/>
      <c r="Y108" s="711"/>
      <c r="Z108" s="711"/>
      <c r="AA108" s="712"/>
      <c r="AB108" s="713"/>
      <c r="AD108" s="150">
        <f t="shared" si="211"/>
        <v>0</v>
      </c>
      <c r="AE108" s="716"/>
      <c r="AF108" s="716"/>
      <c r="AG108" s="716"/>
      <c r="AI108" s="537"/>
      <c r="AJ108" s="537"/>
      <c r="AK108" s="537"/>
      <c r="AM108" s="251"/>
      <c r="AN108" s="252"/>
      <c r="AO108" s="252"/>
      <c r="AP108" s="252"/>
      <c r="AQ108" s="253"/>
      <c r="AR108" s="123"/>
      <c r="AS108" s="251"/>
      <c r="AT108" s="252"/>
      <c r="AU108" s="252"/>
      <c r="AV108" s="252"/>
      <c r="AW108" s="253"/>
      <c r="AY108" s="146"/>
      <c r="AZ108" s="43"/>
      <c r="BA108" s="43"/>
      <c r="BB108" s="43"/>
      <c r="BC108" s="147"/>
      <c r="BD108" s="160">
        <f t="shared" si="59"/>
        <v>9</v>
      </c>
      <c r="BE108" s="45" t="str">
        <f t="shared" si="217"/>
        <v>N/A</v>
      </c>
      <c r="BF108" s="163"/>
      <c r="BG108" s="160">
        <f t="shared" si="218"/>
        <v>9</v>
      </c>
      <c r="BH108" s="45" t="str">
        <f t="shared" si="219"/>
        <v>N/A</v>
      </c>
      <c r="BI108" s="163"/>
      <c r="BJ108" s="160">
        <f t="shared" si="27"/>
        <v>9</v>
      </c>
      <c r="BK108" s="45" t="str">
        <f t="shared" si="220"/>
        <v>N/A</v>
      </c>
      <c r="BL108" s="163"/>
      <c r="BO108" s="43"/>
      <c r="BP108" s="43"/>
      <c r="BQ108" s="43" t="str">
        <f t="shared" si="156"/>
        <v/>
      </c>
      <c r="BR108" s="43">
        <f t="shared" si="196"/>
        <v>9</v>
      </c>
      <c r="BS108" s="43">
        <f t="shared" si="197"/>
        <v>9</v>
      </c>
      <c r="BT108" s="43">
        <f t="shared" si="198"/>
        <v>9</v>
      </c>
      <c r="BW108" s="43" t="str">
        <f>D108</f>
        <v>Tra 05</v>
      </c>
      <c r="BX108" s="43" t="str">
        <f>IFERROR(VLOOKUP($E108,'Pre-Assessment Estimator'!$E$11:$AB$228,'Pre-Assessment Estimator'!AB$2,FALSE),"")</f>
        <v/>
      </c>
      <c r="BY108" s="43" t="str">
        <f>IFERROR(VLOOKUP($E108,'Pre-Assessment Estimator'!$E$11:$AI$228,'Pre-Assessment Estimator'!AI$2,FALSE),"")</f>
        <v/>
      </c>
      <c r="BZ108" s="43" t="str">
        <f t="shared" si="238"/>
        <v/>
      </c>
      <c r="CA108" s="43" t="str">
        <f t="shared" si="238"/>
        <v/>
      </c>
      <c r="CB108" s="43"/>
      <c r="CC108" t="str">
        <f t="shared" si="239"/>
        <v/>
      </c>
    </row>
    <row r="109" spans="1:81" ht="15.75" thickBot="1" x14ac:dyDescent="0.3">
      <c r="A109">
        <v>101</v>
      </c>
      <c r="D109" s="527" t="s">
        <v>297</v>
      </c>
      <c r="E109" s="528"/>
      <c r="F109" s="703"/>
      <c r="G109" s="703"/>
      <c r="H109" s="703"/>
      <c r="I109" s="703"/>
      <c r="J109" s="703"/>
      <c r="K109" s="703"/>
      <c r="L109" s="703"/>
      <c r="M109" s="703"/>
      <c r="N109" s="703"/>
      <c r="O109" s="703"/>
      <c r="P109" s="703"/>
      <c r="Q109" s="703"/>
      <c r="R109" s="703"/>
      <c r="T109" s="712"/>
      <c r="U109" s="525"/>
      <c r="V109" s="526"/>
      <c r="W109" s="526"/>
      <c r="X109" s="522"/>
      <c r="Y109" s="711"/>
      <c r="Z109" s="711"/>
      <c r="AA109" s="712"/>
      <c r="AB109" s="713"/>
      <c r="AD109" s="150">
        <f t="shared" si="211"/>
        <v>0</v>
      </c>
      <c r="AE109" s="716"/>
      <c r="AF109" s="716"/>
      <c r="AG109" s="716"/>
      <c r="AI109" s="537"/>
      <c r="AJ109" s="537"/>
      <c r="AK109" s="537"/>
      <c r="AM109" s="254"/>
      <c r="AN109" s="255"/>
      <c r="AO109" s="255"/>
      <c r="AP109" s="255"/>
      <c r="AQ109" s="256"/>
      <c r="AR109" s="123"/>
      <c r="AS109" s="254"/>
      <c r="AT109" s="255"/>
      <c r="AU109" s="255"/>
      <c r="AV109" s="255"/>
      <c r="AW109" s="256"/>
      <c r="AY109" s="168"/>
      <c r="AZ109" s="170"/>
      <c r="BA109" s="170"/>
      <c r="BB109" s="170"/>
      <c r="BC109" s="171"/>
      <c r="BD109" s="172">
        <f t="shared" ref="BD109" si="240">IF(BC109=0,9,IF(AI109&gt;=BC109,5,IF(AI109&gt;=BB109,4,IF(AI109&gt;=BA109,3,IF(AI109&gt;=AZ109,2,IF(AI109&lt;AY109,0,1))))))</f>
        <v>9</v>
      </c>
      <c r="BE109" s="45" t="str">
        <f t="shared" si="217"/>
        <v>N/A</v>
      </c>
      <c r="BF109" s="173"/>
      <c r="BG109" s="172">
        <f t="shared" si="218"/>
        <v>9</v>
      </c>
      <c r="BH109" s="45" t="str">
        <f t="shared" si="219"/>
        <v>N/A</v>
      </c>
      <c r="BI109" s="173"/>
      <c r="BJ109" s="172">
        <f t="shared" si="27"/>
        <v>9</v>
      </c>
      <c r="BK109" s="45" t="str">
        <f t="shared" si="220"/>
        <v>N/A</v>
      </c>
      <c r="BL109" s="173"/>
      <c r="BO109" s="43"/>
      <c r="BP109" s="43"/>
      <c r="BQ109" s="43" t="str">
        <f t="shared" si="156"/>
        <v/>
      </c>
      <c r="BR109" s="43">
        <f t="shared" si="196"/>
        <v>9</v>
      </c>
      <c r="BS109" s="43">
        <f t="shared" si="197"/>
        <v>9</v>
      </c>
      <c r="BT109" s="43">
        <f t="shared" si="198"/>
        <v>9</v>
      </c>
      <c r="BW109" s="63" t="str">
        <f>D109</f>
        <v>Tra 06</v>
      </c>
      <c r="BX109" s="63" t="str">
        <f>IFERROR(VLOOKUP($E109,'Pre-Assessment Estimator'!$E$11:$AB$228,'Pre-Assessment Estimator'!AB$2,FALSE),"")</f>
        <v/>
      </c>
      <c r="BY109" s="63" t="str">
        <f>IFERROR(VLOOKUP($E109,'Pre-Assessment Estimator'!$E$11:$AI$228,'Pre-Assessment Estimator'!AI$2,FALSE),"")</f>
        <v/>
      </c>
      <c r="BZ109" s="63" t="str">
        <f t="shared" si="238"/>
        <v/>
      </c>
      <c r="CA109" s="63" t="str">
        <f t="shared" si="238"/>
        <v/>
      </c>
      <c r="CB109" s="63"/>
      <c r="CC109" t="str">
        <f t="shared" si="239"/>
        <v/>
      </c>
    </row>
    <row r="110" spans="1:81" ht="15.75" thickBot="1" x14ac:dyDescent="0.3">
      <c r="A110">
        <v>102</v>
      </c>
      <c r="B110" t="s">
        <v>863</v>
      </c>
      <c r="D110" s="174"/>
      <c r="E110" s="50" t="s">
        <v>204</v>
      </c>
      <c r="F110" s="586">
        <f>F100+F103</f>
        <v>13</v>
      </c>
      <c r="G110" s="586">
        <f t="shared" ref="G110:R110" si="241">G100+G103</f>
        <v>13</v>
      </c>
      <c r="H110" s="586">
        <f t="shared" si="241"/>
        <v>13</v>
      </c>
      <c r="I110" s="586">
        <f t="shared" si="241"/>
        <v>13</v>
      </c>
      <c r="J110" s="586">
        <f t="shared" si="241"/>
        <v>13</v>
      </c>
      <c r="K110" s="586">
        <f t="shared" si="241"/>
        <v>13</v>
      </c>
      <c r="L110" s="586">
        <f t="shared" si="241"/>
        <v>13</v>
      </c>
      <c r="M110" s="586">
        <f t="shared" si="241"/>
        <v>13</v>
      </c>
      <c r="N110" s="586">
        <f t="shared" si="241"/>
        <v>13</v>
      </c>
      <c r="O110" s="586">
        <f t="shared" si="241"/>
        <v>13</v>
      </c>
      <c r="P110" s="586">
        <f t="shared" si="241"/>
        <v>13</v>
      </c>
      <c r="Q110" s="586">
        <f t="shared" ref="Q110" si="242">Q100+Q103</f>
        <v>13</v>
      </c>
      <c r="R110" s="586">
        <f t="shared" si="241"/>
        <v>13</v>
      </c>
      <c r="T110" s="195">
        <f>HLOOKUP($E$6,$F$9:$R$231,$A110,FALSE)</f>
        <v>13</v>
      </c>
      <c r="U110" s="176"/>
      <c r="V110" s="177"/>
      <c r="W110" s="177"/>
      <c r="X110" s="177"/>
      <c r="Y110" s="178"/>
      <c r="Z110" s="178"/>
      <c r="AA110" s="586">
        <f t="shared" ref="AA110:AG110" si="243">AA100+AA103</f>
        <v>0</v>
      </c>
      <c r="AB110" s="586">
        <f t="shared" si="243"/>
        <v>13</v>
      </c>
      <c r="AD110" s="180">
        <f t="shared" si="243"/>
        <v>0.1</v>
      </c>
      <c r="AE110" s="180">
        <f t="shared" si="243"/>
        <v>0</v>
      </c>
      <c r="AF110" s="180">
        <f t="shared" si="243"/>
        <v>0</v>
      </c>
      <c r="AG110" s="180">
        <f t="shared" si="243"/>
        <v>0</v>
      </c>
      <c r="AI110" s="72">
        <f t="shared" ref="AI110:AK110" si="244">AI100+AI103</f>
        <v>0</v>
      </c>
      <c r="AJ110" s="72">
        <f t="shared" si="244"/>
        <v>0</v>
      </c>
      <c r="AK110" s="72">
        <f t="shared" si="244"/>
        <v>0</v>
      </c>
      <c r="AM110" s="123"/>
      <c r="AN110" s="123"/>
      <c r="AO110" s="123"/>
      <c r="AP110" s="123"/>
      <c r="AQ110" s="123"/>
      <c r="AR110" s="123"/>
      <c r="AS110" s="123"/>
      <c r="AT110" s="123"/>
      <c r="AU110" s="123"/>
      <c r="AV110" s="123"/>
      <c r="AW110" s="123"/>
      <c r="AZ110" s="181"/>
      <c r="BW110" s="50"/>
      <c r="BX110" s="50" t="str">
        <f>IFERROR(VLOOKUP($E110,'Pre-Assessment Estimator'!$E$11:$AB$228,'Pre-Assessment Estimator'!AB$2,FALSE),"")</f>
        <v/>
      </c>
      <c r="BY110" s="50" t="str">
        <f>IFERROR(VLOOKUP($E110,'Pre-Assessment Estimator'!$E$11:$AI$228,'Pre-Assessment Estimator'!AI$2,FALSE),"")</f>
        <v/>
      </c>
      <c r="BZ110" s="50" t="str">
        <f t="shared" si="238"/>
        <v/>
      </c>
      <c r="CA110" s="50" t="str">
        <f t="shared" si="238"/>
        <v/>
      </c>
      <c r="CB110" s="50"/>
      <c r="CC110" t="str">
        <f t="shared" si="239"/>
        <v/>
      </c>
    </row>
    <row r="111" spans="1:81" ht="15.75" thickBot="1" x14ac:dyDescent="0.3">
      <c r="A111">
        <v>103</v>
      </c>
      <c r="AI111" s="1"/>
      <c r="AJ111" s="1"/>
      <c r="AK111" s="1"/>
      <c r="AM111" s="123"/>
      <c r="AN111" s="123"/>
      <c r="AO111" s="123"/>
      <c r="AP111" s="123"/>
      <c r="AQ111" s="123"/>
      <c r="AR111" s="123"/>
      <c r="AS111" s="123"/>
      <c r="AT111" s="123"/>
      <c r="AU111" s="123"/>
      <c r="AV111" s="123"/>
      <c r="AW111" s="123"/>
      <c r="BX111" t="str">
        <f>IFERROR(VLOOKUP($E111,'Pre-Assessment Estimator'!$E$11:$AB$228,'Pre-Assessment Estimator'!AB$2,FALSE),"")</f>
        <v/>
      </c>
      <c r="BY111" t="str">
        <f>IFERROR(VLOOKUP($E111,'Pre-Assessment Estimator'!$E$11:$AI$228,'Pre-Assessment Estimator'!AI$2,FALSE),"")</f>
        <v/>
      </c>
      <c r="BZ111" t="str">
        <f t="shared" si="238"/>
        <v/>
      </c>
      <c r="CA111" t="str">
        <f t="shared" si="238"/>
        <v/>
      </c>
      <c r="CC111" t="str">
        <f t="shared" si="239"/>
        <v/>
      </c>
    </row>
    <row r="112" spans="1:81" ht="60.75" thickBot="1" x14ac:dyDescent="0.3">
      <c r="A112">
        <v>104</v>
      </c>
      <c r="D112" s="127"/>
      <c r="E112" s="47" t="s">
        <v>54</v>
      </c>
      <c r="F112" s="1364" t="str">
        <f>$F$9</f>
        <v>Office</v>
      </c>
      <c r="G112" s="1364" t="str">
        <f>$G$9</f>
        <v>Retail</v>
      </c>
      <c r="H112" s="1365" t="str">
        <f>$H$9</f>
        <v>Residential</v>
      </c>
      <c r="I112" s="1364" t="str">
        <f>$I$9</f>
        <v>Industrial</v>
      </c>
      <c r="J112" s="1366" t="str">
        <f>$J$9</f>
        <v>Healthcare</v>
      </c>
      <c r="K112" s="1366" t="str">
        <f>$K$9</f>
        <v>Prison</v>
      </c>
      <c r="L112" s="1366" t="str">
        <f>$L$9</f>
        <v>Law Court</v>
      </c>
      <c r="M112" s="1367" t="str">
        <f>$M$9</f>
        <v>Residential institution (long term stay)</v>
      </c>
      <c r="N112" s="684" t="str">
        <f>$N$9</f>
        <v>Residential institution (short term stay)</v>
      </c>
      <c r="O112" s="684" t="str">
        <f>$O$9</f>
        <v>Non-residential institution</v>
      </c>
      <c r="P112" s="684" t="str">
        <f>$P$9</f>
        <v>Assembly and leisure</v>
      </c>
      <c r="Q112" s="1366" t="str">
        <f>$Q$9</f>
        <v>Education</v>
      </c>
      <c r="R112" s="659" t="str">
        <f>$R$9</f>
        <v>Other</v>
      </c>
      <c r="T112" s="122" t="str">
        <f>$E$6</f>
        <v>Office</v>
      </c>
      <c r="U112" s="182"/>
      <c r="V112" s="183"/>
      <c r="W112" s="183"/>
      <c r="X112" s="183"/>
      <c r="Y112" s="871" t="s">
        <v>391</v>
      </c>
      <c r="Z112" s="302" t="s">
        <v>317</v>
      </c>
      <c r="AA112" s="131" t="s">
        <v>204</v>
      </c>
      <c r="AB112" s="53" t="s">
        <v>15</v>
      </c>
      <c r="AI112" s="36"/>
      <c r="AJ112" s="54"/>
      <c r="AK112" s="54"/>
      <c r="AM112" s="123"/>
      <c r="AN112" s="123"/>
      <c r="AO112" s="123"/>
      <c r="AP112" s="123"/>
      <c r="AQ112" s="123"/>
      <c r="AR112" s="123"/>
      <c r="AS112" s="123"/>
      <c r="AT112" s="123"/>
      <c r="AU112" s="123"/>
      <c r="AV112" s="123"/>
      <c r="AW112" s="123"/>
      <c r="BO112" s="54"/>
      <c r="BP112" s="54"/>
      <c r="BQ112" s="54"/>
      <c r="BR112" s="54"/>
      <c r="BS112" s="54"/>
      <c r="BT112" s="54"/>
      <c r="BW112" s="47"/>
      <c r="BX112" s="47" t="str">
        <f>E112</f>
        <v>Water</v>
      </c>
      <c r="BY112" s="47">
        <f>IFERROR(VLOOKUP($E112,'Pre-Assessment Estimator'!$E$11:$AI$228,'Pre-Assessment Estimator'!AI$2,FALSE),"")</f>
        <v>0</v>
      </c>
      <c r="BZ112" s="47" t="str">
        <f t="shared" si="238"/>
        <v/>
      </c>
      <c r="CA112" s="47" t="str">
        <f t="shared" si="238"/>
        <v/>
      </c>
      <c r="CB112" s="47"/>
      <c r="CC112" t="str">
        <f t="shared" si="239"/>
        <v/>
      </c>
    </row>
    <row r="113" spans="1:85" x14ac:dyDescent="0.25">
      <c r="A113">
        <v>105</v>
      </c>
      <c r="B113" s="121" t="str">
        <f>D113</f>
        <v>Wat 01</v>
      </c>
      <c r="C113" s="121"/>
      <c r="D113" s="637" t="s">
        <v>163</v>
      </c>
      <c r="E113" s="635" t="s">
        <v>146</v>
      </c>
      <c r="F113" s="699">
        <f>SUM(F114)</f>
        <v>5</v>
      </c>
      <c r="G113" s="699">
        <f t="shared" ref="G113:R113" si="245">SUM(G114)</f>
        <v>5</v>
      </c>
      <c r="H113" s="699">
        <f t="shared" si="245"/>
        <v>5</v>
      </c>
      <c r="I113" s="699">
        <f t="shared" si="245"/>
        <v>5</v>
      </c>
      <c r="J113" s="699">
        <f t="shared" si="245"/>
        <v>5</v>
      </c>
      <c r="K113" s="699">
        <f t="shared" si="245"/>
        <v>5</v>
      </c>
      <c r="L113" s="699">
        <f t="shared" si="245"/>
        <v>5</v>
      </c>
      <c r="M113" s="699">
        <f t="shared" si="245"/>
        <v>5</v>
      </c>
      <c r="N113" s="699">
        <f t="shared" si="245"/>
        <v>5</v>
      </c>
      <c r="O113" s="699">
        <f t="shared" si="245"/>
        <v>5</v>
      </c>
      <c r="P113" s="699">
        <f t="shared" si="245"/>
        <v>5</v>
      </c>
      <c r="Q113" s="699">
        <f t="shared" si="245"/>
        <v>5</v>
      </c>
      <c r="R113" s="699">
        <f t="shared" si="245"/>
        <v>5</v>
      </c>
      <c r="T113" s="717">
        <f t="shared" ref="T113:T123" si="246">HLOOKUP($E$6,$F$9:$R$231,$A113,FALSE)</f>
        <v>5</v>
      </c>
      <c r="U113" s="191"/>
      <c r="V113" s="61"/>
      <c r="W113" s="61"/>
      <c r="X113" s="61">
        <f>'Manuell filtrering og justering'!E52</f>
        <v>0</v>
      </c>
      <c r="Y113" s="61"/>
      <c r="Z113" s="714">
        <f t="shared" ref="Z113" si="247">SUM(Z114)</f>
        <v>1</v>
      </c>
      <c r="AA113" s="719">
        <f t="shared" ref="AA113:AA122" si="248">IF(SUM(U113:Y113)&gt;T113,T113,SUM(U113:Y113))</f>
        <v>0</v>
      </c>
      <c r="AB113" s="686">
        <f>AB114</f>
        <v>5</v>
      </c>
      <c r="AD113" s="150">
        <f t="shared" ref="AD113:AD122" si="249">(Wat_Weight/Wat__Credits)*AB113</f>
        <v>2.2222222222222223E-2</v>
      </c>
      <c r="AE113" s="687">
        <f>SUM(AE114)</f>
        <v>0</v>
      </c>
      <c r="AF113" s="687">
        <f t="shared" ref="AF113:AG113" si="250">SUM(AF114)</f>
        <v>0</v>
      </c>
      <c r="AG113" s="687">
        <f t="shared" si="250"/>
        <v>0</v>
      </c>
      <c r="AI113" s="714">
        <f t="shared" ref="AI113" si="251">SUM(AI114)</f>
        <v>0</v>
      </c>
      <c r="AJ113" s="714">
        <f t="shared" ref="AJ113" si="252">SUM(AJ114)</f>
        <v>0</v>
      </c>
      <c r="AK113" s="714">
        <f t="shared" ref="AK113" si="253">SUM(AK114)</f>
        <v>0</v>
      </c>
      <c r="AM113" s="257"/>
      <c r="AN113" s="258"/>
      <c r="AO113" s="267"/>
      <c r="AP113" s="258"/>
      <c r="AQ113" s="259"/>
      <c r="AR113" s="123"/>
      <c r="AS113" s="257"/>
      <c r="AT113" s="258"/>
      <c r="AU113" s="258"/>
      <c r="AV113" s="258"/>
      <c r="AW113" s="259"/>
      <c r="AY113" s="189"/>
      <c r="AZ113" s="156"/>
      <c r="BA113" s="156"/>
      <c r="BB113" s="156"/>
      <c r="BC113" s="190"/>
      <c r="BD113" s="153">
        <f t="shared" si="59"/>
        <v>9</v>
      </c>
      <c r="BE113" s="45" t="str">
        <f t="shared" ref="BE113:BE122" si="254">VLOOKUP(BD113,$BO$285:$BT$291,6,FALSE)</f>
        <v>N/A</v>
      </c>
      <c r="BF113" s="157"/>
      <c r="BG113" s="153">
        <f>IF(BC113=0,9,IF(AJ113&gt;=BC113,5,IF(AJ113&gt;=BB113,4,IF(AJ113&gt;=BA113,3,IF(AJ113&gt;=AZ113,2,IF(AJ113&lt;AY113,0,1))))))</f>
        <v>9</v>
      </c>
      <c r="BH113" s="45" t="str">
        <f t="shared" ref="BH113:BH122" si="255">VLOOKUP(BG113,$BO$285:$BT$291,6,FALSE)</f>
        <v>N/A</v>
      </c>
      <c r="BI113" s="157"/>
      <c r="BJ113" s="153">
        <f t="shared" si="27"/>
        <v>9</v>
      </c>
      <c r="BK113" s="45" t="str">
        <f t="shared" ref="BK113:BK122" si="256">VLOOKUP(BJ113,$BO$285:$BT$291,6,FALSE)</f>
        <v>N/A</v>
      </c>
      <c r="BL113" s="157"/>
      <c r="BO113" s="43"/>
      <c r="BP113" s="43"/>
      <c r="BQ113" s="43" t="str">
        <f t="shared" si="156"/>
        <v/>
      </c>
      <c r="BR113" s="43">
        <f t="shared" si="196"/>
        <v>9</v>
      </c>
      <c r="BS113" s="43">
        <f t="shared" si="197"/>
        <v>9</v>
      </c>
      <c r="BT113" s="43">
        <f t="shared" si="198"/>
        <v>9</v>
      </c>
      <c r="BW113" s="45" t="str">
        <f>D113</f>
        <v>Wat 01</v>
      </c>
      <c r="BX113" s="45" t="str">
        <f>IFERROR(VLOOKUP($E113,'Pre-Assessment Estimator'!$E$11:$AB$228,'Pre-Assessment Estimator'!AB$2,FALSE),"")</f>
        <v>No</v>
      </c>
      <c r="BY113" s="45">
        <f>IFERROR(VLOOKUP($E113,'Pre-Assessment Estimator'!$E$11:$AI$228,'Pre-Assessment Estimator'!AI$2,FALSE),"")</f>
        <v>0</v>
      </c>
      <c r="BZ113" s="45">
        <f t="shared" si="238"/>
        <v>1</v>
      </c>
      <c r="CA113" s="45">
        <f t="shared" si="238"/>
        <v>0</v>
      </c>
      <c r="CB113" s="45"/>
      <c r="CC113" t="s">
        <v>409</v>
      </c>
    </row>
    <row r="114" spans="1:85" x14ac:dyDescent="0.25">
      <c r="A114">
        <v>106</v>
      </c>
      <c r="B114" t="str">
        <f t="shared" ref="B114" si="257">$D$113&amp;D114</f>
        <v>Wat 01a</v>
      </c>
      <c r="D114" s="144" t="s">
        <v>673</v>
      </c>
      <c r="E114" s="840" t="s">
        <v>621</v>
      </c>
      <c r="F114" s="704">
        <v>5</v>
      </c>
      <c r="G114" s="704">
        <v>5</v>
      </c>
      <c r="H114" s="704">
        <v>5</v>
      </c>
      <c r="I114" s="704">
        <v>5</v>
      </c>
      <c r="J114" s="704">
        <v>5</v>
      </c>
      <c r="K114" s="704">
        <v>5</v>
      </c>
      <c r="L114" s="704">
        <v>5</v>
      </c>
      <c r="M114" s="704">
        <v>5</v>
      </c>
      <c r="N114" s="704">
        <v>5</v>
      </c>
      <c r="O114" s="704">
        <v>5</v>
      </c>
      <c r="P114" s="704">
        <v>5</v>
      </c>
      <c r="Q114" s="704">
        <v>5</v>
      </c>
      <c r="R114" s="704">
        <v>5</v>
      </c>
      <c r="T114" s="148">
        <f t="shared" si="246"/>
        <v>5</v>
      </c>
      <c r="U114" s="146"/>
      <c r="V114" s="43"/>
      <c r="W114" s="43"/>
      <c r="X114" s="43"/>
      <c r="Y114" s="148">
        <f>IF($Y$4=$Y$6,T114,0)</f>
        <v>0</v>
      </c>
      <c r="Z114" s="147">
        <f>VLOOKUP(B114,'Manuell filtrering og justering'!$A$7:$H$253,'Manuell filtrering og justering'!$H$1,FALSE)</f>
        <v>1</v>
      </c>
      <c r="AA114" s="148">
        <f t="shared" si="248"/>
        <v>0</v>
      </c>
      <c r="AB114" s="149">
        <f>IF($AC$5='Manuell filtrering og justering'!$J$2,Z114,(T114-AA114))</f>
        <v>5</v>
      </c>
      <c r="AD114" s="150">
        <f t="shared" si="249"/>
        <v>2.2222222222222223E-2</v>
      </c>
      <c r="AE114" s="150">
        <f t="shared" ref="AE114:AE122" si="258">IF(AB114=0,0,(AD114/AB114)*AI114)</f>
        <v>0</v>
      </c>
      <c r="AF114" s="150">
        <f t="shared" ref="AF114:AF122" si="259">IF(AB114=0,0,(AD114/AB114)*AJ114)</f>
        <v>0</v>
      </c>
      <c r="AG114" s="150">
        <f t="shared" ref="AG114:AG122" si="260">IF(AB114=0,0,(AD114/AB114)*AK114)</f>
        <v>0</v>
      </c>
      <c r="AI114" s="151">
        <f>IF(VLOOKUP(E114,'Pre-Assessment Estimator'!$E$11:$Z$228,'Pre-Assessment Estimator'!$G$2,FALSE)&gt;AB114,AB114,VLOOKUP(E114,'Pre-Assessment Estimator'!$E$11:$Z$228,'Pre-Assessment Estimator'!$G$2,FALSE))</f>
        <v>0</v>
      </c>
      <c r="AJ114" s="151">
        <f>IF(VLOOKUP(E114,'Pre-Assessment Estimator'!$E$11:$Z$228,'Pre-Assessment Estimator'!$N$2,FALSE)&gt;AB114,AB114,VLOOKUP(E114,'Pre-Assessment Estimator'!$E$11:$Z$228,'Pre-Assessment Estimator'!$N$2,FALSE))</f>
        <v>0</v>
      </c>
      <c r="AK114" s="151">
        <f>IF(VLOOKUP(E114,'Pre-Assessment Estimator'!$E$11:$Z$228,'Pre-Assessment Estimator'!$U$2,FALSE)&gt;AB114,AB114,VLOOKUP(E114,'Pre-Assessment Estimator'!$E$11:$Z$228,'Pre-Assessment Estimator'!$U$2,FALSE))</f>
        <v>0</v>
      </c>
      <c r="AM114" s="639"/>
      <c r="AN114" s="640"/>
      <c r="AO114" s="652"/>
      <c r="AP114" s="893">
        <f>IF(AND($Y$4&lt;&gt;$Y$3,Y114&gt;0),0,2)</f>
        <v>2</v>
      </c>
      <c r="AQ114" s="895">
        <f>IF(AND($Y$4&lt;&gt;$Y$3,Y114&gt;0),0,2)</f>
        <v>2</v>
      </c>
      <c r="AR114" s="123"/>
      <c r="AS114" s="639"/>
      <c r="AT114" s="640"/>
      <c r="AU114" s="640"/>
      <c r="AV114" s="640">
        <v>2</v>
      </c>
      <c r="AW114" s="641">
        <v>2</v>
      </c>
      <c r="AY114" s="144"/>
      <c r="AZ114" s="45"/>
      <c r="BA114" s="45"/>
      <c r="BB114" s="161">
        <f>IF($AB114=0,0,IF($E$6=$H$9,AV114,AP114))</f>
        <v>2</v>
      </c>
      <c r="BC114" s="161">
        <f>IF($AB114=0,0,IF($E$6=$H$9,AW114,AQ114))</f>
        <v>2</v>
      </c>
      <c r="BD114" s="160">
        <f t="shared" ref="BD114" si="261">IF(BC114=0,9,IF(AI114&gt;=BC114,5,IF(AI114&gt;=BB114,4,IF(AI114&gt;=BA114,3,IF(AI114&gt;=AZ114,2,IF(AI114&lt;AY114,0,1))))))</f>
        <v>3</v>
      </c>
      <c r="BE114" s="45" t="str">
        <f t="shared" si="254"/>
        <v>Very Good</v>
      </c>
      <c r="BF114" s="163"/>
      <c r="BG114" s="160">
        <f>IF(BC114=0,9,IF(AJ114&gt;=BC114,5,IF(AJ114&gt;=BB114,4,IF(AJ114&gt;=BA114,3,IF(AJ114&gt;=AZ114,2,IF(AJ114&lt;AY114,0,1))))))</f>
        <v>3</v>
      </c>
      <c r="BH114" s="45" t="str">
        <f t="shared" si="255"/>
        <v>Very Good</v>
      </c>
      <c r="BI114" s="163"/>
      <c r="BJ114" s="160">
        <f t="shared" ref="BJ114" si="262">IF(BC114=0,9,IF(AK114&gt;=BC114,5,IF(AK114&gt;=BB114,4,IF(AK114&gt;=BA114,3,IF(AK114&gt;=AZ114,2,IF(AK114&lt;AY114,0,1))))))</f>
        <v>3</v>
      </c>
      <c r="BK114" s="45" t="str">
        <f t="shared" si="256"/>
        <v>Very Good</v>
      </c>
      <c r="BL114" s="634"/>
      <c r="BO114" s="43"/>
      <c r="BP114" s="887">
        <f>2*0</f>
        <v>0</v>
      </c>
      <c r="BQ114" s="43">
        <f t="shared" si="156"/>
        <v>0</v>
      </c>
      <c r="BR114" s="43">
        <f t="shared" si="196"/>
        <v>5</v>
      </c>
      <c r="BS114" s="43">
        <f t="shared" si="197"/>
        <v>5</v>
      </c>
      <c r="BT114" s="43">
        <f t="shared" si="198"/>
        <v>5</v>
      </c>
      <c r="BW114" s="45"/>
      <c r="BX114" s="45"/>
      <c r="BY114" s="45"/>
      <c r="BZ114" s="45"/>
      <c r="CB114" s="45"/>
    </row>
    <row r="115" spans="1:85" x14ac:dyDescent="0.25">
      <c r="A115">
        <v>107</v>
      </c>
      <c r="B115" s="121" t="str">
        <f>D115</f>
        <v>Wat 02</v>
      </c>
      <c r="C115" s="121"/>
      <c r="D115" s="638" t="s">
        <v>164</v>
      </c>
      <c r="E115" s="636" t="s">
        <v>147</v>
      </c>
      <c r="F115" s="699">
        <f>SUM(F116)</f>
        <v>1</v>
      </c>
      <c r="G115" s="699">
        <f t="shared" ref="G115:R115" si="263">SUM(G116)</f>
        <v>1</v>
      </c>
      <c r="H115" s="699">
        <f t="shared" si="263"/>
        <v>1</v>
      </c>
      <c r="I115" s="699">
        <f t="shared" si="263"/>
        <v>1</v>
      </c>
      <c r="J115" s="699">
        <f t="shared" si="263"/>
        <v>1</v>
      </c>
      <c r="K115" s="699">
        <f t="shared" si="263"/>
        <v>1</v>
      </c>
      <c r="L115" s="699">
        <f t="shared" si="263"/>
        <v>1</v>
      </c>
      <c r="M115" s="699">
        <f t="shared" si="263"/>
        <v>1</v>
      </c>
      <c r="N115" s="699">
        <f t="shared" si="263"/>
        <v>1</v>
      </c>
      <c r="O115" s="699">
        <f t="shared" si="263"/>
        <v>1</v>
      </c>
      <c r="P115" s="699">
        <f t="shared" si="263"/>
        <v>1</v>
      </c>
      <c r="Q115" s="699">
        <f t="shared" si="263"/>
        <v>1</v>
      </c>
      <c r="R115" s="699">
        <f t="shared" si="263"/>
        <v>1</v>
      </c>
      <c r="T115" s="719">
        <f t="shared" si="246"/>
        <v>1</v>
      </c>
      <c r="U115" s="191"/>
      <c r="V115" s="61"/>
      <c r="W115" s="61"/>
      <c r="X115" s="61">
        <f>'Manuell filtrering og justering'!E53</f>
        <v>0</v>
      </c>
      <c r="Y115" s="61"/>
      <c r="Z115" s="714">
        <f t="shared" ref="Z115" si="264">SUM(Z116)</f>
        <v>1</v>
      </c>
      <c r="AA115" s="719">
        <f t="shared" si="248"/>
        <v>0</v>
      </c>
      <c r="AB115" s="686">
        <f>AB116</f>
        <v>1</v>
      </c>
      <c r="AD115" s="150">
        <f t="shared" si="249"/>
        <v>4.4444444444444444E-3</v>
      </c>
      <c r="AE115" s="687">
        <f>SUM(AE116)</f>
        <v>0</v>
      </c>
      <c r="AF115" s="687">
        <f t="shared" ref="AF115:AG115" si="265">SUM(AF116)</f>
        <v>0</v>
      </c>
      <c r="AG115" s="687">
        <f t="shared" si="265"/>
        <v>0</v>
      </c>
      <c r="AI115" s="714">
        <f t="shared" ref="AI115" si="266">SUM(AI116)</f>
        <v>0</v>
      </c>
      <c r="AJ115" s="714">
        <f t="shared" ref="AJ115" si="267">SUM(AJ116)</f>
        <v>0</v>
      </c>
      <c r="AK115" s="714">
        <f t="shared" ref="AK115" si="268">SUM(AK116)</f>
        <v>0</v>
      </c>
      <c r="AL115" t="s">
        <v>405</v>
      </c>
      <c r="AM115" s="251"/>
      <c r="AN115" s="252"/>
      <c r="AO115" s="252"/>
      <c r="AP115" s="252"/>
      <c r="AQ115" s="253"/>
      <c r="AR115" s="123"/>
      <c r="AS115" s="251"/>
      <c r="AT115" s="252"/>
      <c r="AU115" s="252"/>
      <c r="AV115" s="252"/>
      <c r="AW115" s="253"/>
      <c r="AY115" s="146"/>
      <c r="AZ115" s="43"/>
      <c r="BA115" s="43"/>
      <c r="BB115" s="43"/>
      <c r="BC115" s="147"/>
      <c r="BD115" s="160">
        <f t="shared" si="59"/>
        <v>9</v>
      </c>
      <c r="BE115" s="45" t="str">
        <f t="shared" si="254"/>
        <v>N/A</v>
      </c>
      <c r="BF115" s="163"/>
      <c r="BG115" s="160">
        <f>IF(BC115=0,9,IF(AJ115&gt;=BC115,5,IF(AJ115&gt;=BB115,4,IF(AJ115&gt;=BA115,3,IF(AJ115&gt;=AZ115,2,IF(AJ115&lt;AY115,0,1))))))</f>
        <v>9</v>
      </c>
      <c r="BH115" s="45" t="str">
        <f t="shared" si="255"/>
        <v>N/A</v>
      </c>
      <c r="BI115" s="163"/>
      <c r="BJ115" s="160">
        <f t="shared" si="27"/>
        <v>9</v>
      </c>
      <c r="BK115" s="45" t="str">
        <f t="shared" si="256"/>
        <v>N/A</v>
      </c>
      <c r="BL115" s="163"/>
      <c r="BO115" s="43"/>
      <c r="BP115" s="43"/>
      <c r="BQ115" s="43" t="str">
        <f t="shared" si="156"/>
        <v/>
      </c>
      <c r="BR115" s="43">
        <f t="shared" si="196"/>
        <v>9</v>
      </c>
      <c r="BS115" s="43">
        <f t="shared" si="197"/>
        <v>9</v>
      </c>
      <c r="BT115" s="43">
        <f t="shared" si="198"/>
        <v>9</v>
      </c>
      <c r="BW115" s="43" t="str">
        <f>D115</f>
        <v>Wat 02</v>
      </c>
      <c r="BX115" s="43" t="str">
        <f>IFERROR(VLOOKUP($E115,'Pre-Assessment Estimator'!$E$11:$AB$228,'Pre-Assessment Estimator'!AB$2,FALSE),"")</f>
        <v>No</v>
      </c>
      <c r="BY115" s="61" t="str">
        <f>IFERROR(VLOOKUP($E115,'Pre-Assessment Estimator'!$E$11:$AI$228,'Pre-Assessment Estimator'!AI$2,FALSE),"")</f>
        <v>Ja</v>
      </c>
      <c r="BZ115" s="43">
        <f>IFERROR(VLOOKUP($BX115,$E$294:$H$327,F$292,FALSE),"")</f>
        <v>1</v>
      </c>
      <c r="CA115" s="514" t="s">
        <v>410</v>
      </c>
      <c r="CB115" s="43"/>
      <c r="CC115" t="str">
        <f>IFERROR(VLOOKUP($BX115,$E$294:$H$327,I$292,FALSE),"")</f>
        <v/>
      </c>
      <c r="CD115" t="s">
        <v>416</v>
      </c>
      <c r="CE115" s="43">
        <f>VLOOKUP(CA115,$CA$4:$CB$5,2,FALSE)</f>
        <v>1</v>
      </c>
      <c r="CG115" s="62">
        <f>IF($BX$5=ais_nei,CE115,IF(AND(CA115=$CA$4,BX115=$CC$4),0,BZ115))</f>
        <v>1</v>
      </c>
    </row>
    <row r="116" spans="1:85" x14ac:dyDescent="0.25">
      <c r="A116">
        <v>108</v>
      </c>
      <c r="B116" t="str">
        <f t="shared" ref="B116" si="269">$D$115&amp;D116</f>
        <v>Wat 02a</v>
      </c>
      <c r="D116" s="146" t="s">
        <v>673</v>
      </c>
      <c r="E116" s="840" t="s">
        <v>622</v>
      </c>
      <c r="F116" s="582">
        <v>1</v>
      </c>
      <c r="G116" s="582">
        <v>1</v>
      </c>
      <c r="H116" s="582">
        <v>1</v>
      </c>
      <c r="I116" s="582">
        <v>1</v>
      </c>
      <c r="J116" s="582">
        <v>1</v>
      </c>
      <c r="K116" s="582">
        <v>1</v>
      </c>
      <c r="L116" s="582">
        <v>1</v>
      </c>
      <c r="M116" s="582">
        <v>1</v>
      </c>
      <c r="N116" s="582">
        <v>1</v>
      </c>
      <c r="O116" s="582">
        <v>1</v>
      </c>
      <c r="P116" s="582">
        <v>1</v>
      </c>
      <c r="Q116" s="582">
        <v>1</v>
      </c>
      <c r="R116" s="582">
        <v>1</v>
      </c>
      <c r="T116" s="148">
        <f t="shared" si="246"/>
        <v>1</v>
      </c>
      <c r="U116" s="146"/>
      <c r="V116" s="43"/>
      <c r="W116" s="43"/>
      <c r="X116" s="43"/>
      <c r="Y116" s="147"/>
      <c r="Z116" s="147">
        <f>VLOOKUP(B116,'Manuell filtrering og justering'!$A$7:$H$253,'Manuell filtrering og justering'!$H$1,FALSE)</f>
        <v>1</v>
      </c>
      <c r="AA116" s="148">
        <f t="shared" si="248"/>
        <v>0</v>
      </c>
      <c r="AB116" s="149">
        <f>IF($AC$5='Manuell filtrering og justering'!$J$2,Z116,(T116-AA116))</f>
        <v>1</v>
      </c>
      <c r="AD116" s="150">
        <f t="shared" si="249"/>
        <v>4.4444444444444444E-3</v>
      </c>
      <c r="AE116" s="150">
        <f t="shared" si="258"/>
        <v>0</v>
      </c>
      <c r="AF116" s="150">
        <f t="shared" si="259"/>
        <v>0</v>
      </c>
      <c r="AG116" s="150">
        <f t="shared" si="260"/>
        <v>0</v>
      </c>
      <c r="AI116" s="151">
        <f>IF(VLOOKUP(E116,'Pre-Assessment Estimator'!$E$11:$Z$228,'Pre-Assessment Estimator'!$G$2,FALSE)&gt;AB116,AB116,VLOOKUP(E116,'Pre-Assessment Estimator'!$E$11:$Z$228,'Pre-Assessment Estimator'!$G$2,FALSE))</f>
        <v>0</v>
      </c>
      <c r="AJ116" s="151">
        <f>IF(VLOOKUP(E116,'Pre-Assessment Estimator'!$E$11:$Z$228,'Pre-Assessment Estimator'!$N$2,FALSE)&gt;AB116,AB116,VLOOKUP(E116,'Pre-Assessment Estimator'!$E$11:$Z$228,'Pre-Assessment Estimator'!$N$2,FALSE))</f>
        <v>0</v>
      </c>
      <c r="AK116" s="151">
        <f>IF(VLOOKUP(E116,'Pre-Assessment Estimator'!$E$11:$Z$228,'Pre-Assessment Estimator'!$U$2,FALSE)&gt;AB116,AB116,VLOOKUP(E116,'Pre-Assessment Estimator'!$E$11:$Z$228,'Pre-Assessment Estimator'!$U$2,FALSE))</f>
        <v>0</v>
      </c>
      <c r="AM116" s="251"/>
      <c r="AN116" s="252"/>
      <c r="AO116" s="252"/>
      <c r="AP116" s="252"/>
      <c r="AQ116" s="253"/>
      <c r="AR116" s="123"/>
      <c r="AS116" s="251"/>
      <c r="AT116" s="252"/>
      <c r="AU116" s="252"/>
      <c r="AV116" s="252"/>
      <c r="AW116" s="253"/>
      <c r="AY116" s="146"/>
      <c r="AZ116" s="43"/>
      <c r="BA116" s="43"/>
      <c r="BB116" s="43"/>
      <c r="BC116" s="147"/>
      <c r="BD116" s="160">
        <f t="shared" si="59"/>
        <v>9</v>
      </c>
      <c r="BE116" s="45" t="str">
        <f t="shared" si="254"/>
        <v>N/A</v>
      </c>
      <c r="BF116" s="163"/>
      <c r="BG116" s="160">
        <f t="shared" ref="BG116:BG120" si="270">IF(BC116=0,9,IF(AJ116&gt;=BC116,5,IF(AJ116&gt;=BB116,4,IF(AJ116&gt;=BA116,3,IF(AJ116&gt;=AZ116,2,IF(AJ116&lt;AY116,0,1))))))</f>
        <v>9</v>
      </c>
      <c r="BH116" s="45" t="str">
        <f t="shared" si="255"/>
        <v>N/A</v>
      </c>
      <c r="BI116" s="163"/>
      <c r="BJ116" s="160">
        <f t="shared" si="27"/>
        <v>9</v>
      </c>
      <c r="BK116" s="45" t="str">
        <f t="shared" si="256"/>
        <v>N/A</v>
      </c>
      <c r="BL116" s="163"/>
      <c r="BO116" s="43"/>
      <c r="BP116" s="43"/>
      <c r="BQ116" s="43" t="str">
        <f t="shared" si="156"/>
        <v/>
      </c>
      <c r="BR116" s="43">
        <f t="shared" si="196"/>
        <v>9</v>
      </c>
      <c r="BS116" s="43">
        <f t="shared" si="197"/>
        <v>9</v>
      </c>
      <c r="BT116" s="43">
        <f t="shared" si="198"/>
        <v>9</v>
      </c>
      <c r="BW116" s="43"/>
      <c r="BX116" s="43"/>
      <c r="BY116" s="61"/>
      <c r="BZ116" s="43"/>
      <c r="CA116" s="514"/>
      <c r="CB116" s="43"/>
      <c r="CE116" s="43"/>
      <c r="CG116" s="62"/>
    </row>
    <row r="117" spans="1:85" x14ac:dyDescent="0.25">
      <c r="A117">
        <v>109</v>
      </c>
      <c r="B117" s="121" t="str">
        <f>D117</f>
        <v>Wat 03</v>
      </c>
      <c r="C117" s="121"/>
      <c r="D117" s="638" t="s">
        <v>165</v>
      </c>
      <c r="E117" s="636" t="s">
        <v>148</v>
      </c>
      <c r="F117" s="699">
        <f>SUM(F118:F120)</f>
        <v>2</v>
      </c>
      <c r="G117" s="699">
        <f t="shared" ref="G117:R117" si="271">SUM(G118:G120)</f>
        <v>2</v>
      </c>
      <c r="H117" s="699">
        <f t="shared" si="271"/>
        <v>2</v>
      </c>
      <c r="I117" s="699">
        <f t="shared" si="271"/>
        <v>2</v>
      </c>
      <c r="J117" s="699">
        <f t="shared" si="271"/>
        <v>2</v>
      </c>
      <c r="K117" s="699">
        <f t="shared" si="271"/>
        <v>2</v>
      </c>
      <c r="L117" s="699">
        <f t="shared" si="271"/>
        <v>2</v>
      </c>
      <c r="M117" s="699">
        <f t="shared" si="271"/>
        <v>2</v>
      </c>
      <c r="N117" s="699">
        <f t="shared" si="271"/>
        <v>2</v>
      </c>
      <c r="O117" s="699">
        <f t="shared" si="271"/>
        <v>2</v>
      </c>
      <c r="P117" s="699">
        <f t="shared" si="271"/>
        <v>2</v>
      </c>
      <c r="Q117" s="699">
        <f t="shared" ref="Q117" si="272">SUM(Q118:Q120)</f>
        <v>2</v>
      </c>
      <c r="R117" s="699">
        <f t="shared" si="271"/>
        <v>2</v>
      </c>
      <c r="T117" s="719">
        <f t="shared" si="246"/>
        <v>2</v>
      </c>
      <c r="U117" s="191"/>
      <c r="V117" s="61"/>
      <c r="W117" s="61"/>
      <c r="X117" s="61">
        <f>'Manuell filtrering og justering'!E54</f>
        <v>0</v>
      </c>
      <c r="Y117" s="61"/>
      <c r="Z117" s="714">
        <f t="shared" ref="Z117" si="273">SUM(Z118:Z120)</f>
        <v>3</v>
      </c>
      <c r="AA117" s="719">
        <f t="shared" si="248"/>
        <v>0</v>
      </c>
      <c r="AB117" s="793">
        <f>SUM(AB118:AB120)</f>
        <v>2</v>
      </c>
      <c r="AD117" s="150">
        <f t="shared" si="249"/>
        <v>8.8888888888888889E-3</v>
      </c>
      <c r="AE117" s="687">
        <f>SUM(AE118:AE120)</f>
        <v>0</v>
      </c>
      <c r="AF117" s="687">
        <f t="shared" ref="AF117:AG117" si="274">SUM(AF118:AF120)</f>
        <v>0</v>
      </c>
      <c r="AG117" s="687">
        <f t="shared" si="274"/>
        <v>0</v>
      </c>
      <c r="AI117" s="714">
        <f t="shared" ref="AI117" si="275">SUM(AI118:AI120)</f>
        <v>0</v>
      </c>
      <c r="AJ117" s="714">
        <f t="shared" ref="AJ117" si="276">SUM(AJ118:AJ120)</f>
        <v>0</v>
      </c>
      <c r="AK117" s="714">
        <f t="shared" ref="AK117" si="277">SUM(AK118:AK120)</f>
        <v>0</v>
      </c>
      <c r="AL117" t="s">
        <v>405</v>
      </c>
      <c r="AM117" s="251"/>
      <c r="AN117" s="252"/>
      <c r="AO117" s="252"/>
      <c r="AP117" s="252"/>
      <c r="AQ117" s="253"/>
      <c r="AR117" s="123"/>
      <c r="AS117" s="251"/>
      <c r="AT117" s="252"/>
      <c r="AU117" s="252"/>
      <c r="AV117" s="252"/>
      <c r="AW117" s="253"/>
      <c r="AY117" s="146"/>
      <c r="AZ117" s="43"/>
      <c r="BA117" s="43"/>
      <c r="BB117" s="43"/>
      <c r="BC117" s="147"/>
      <c r="BD117" s="160">
        <f t="shared" ref="BD117:BD120" si="278">IF(BC117=0,9,IF(AI117&gt;=BC117,5,IF(AI117&gt;=BB117,4,IF(AI117&gt;=BA117,3,IF(AI117&gt;=AZ117,2,IF(AI117&lt;AY117,0,1))))))</f>
        <v>9</v>
      </c>
      <c r="BE117" s="45" t="str">
        <f t="shared" si="254"/>
        <v>N/A</v>
      </c>
      <c r="BF117" s="163"/>
      <c r="BG117" s="160">
        <f t="shared" si="270"/>
        <v>9</v>
      </c>
      <c r="BH117" s="45" t="str">
        <f t="shared" si="255"/>
        <v>N/A</v>
      </c>
      <c r="BI117" s="163"/>
      <c r="BJ117" s="160">
        <f t="shared" ref="BJ117:BJ120" si="279">IF(BC117=0,9,IF(AK117&gt;=BC117,5,IF(AK117&gt;=BB117,4,IF(AK117&gt;=BA117,3,IF(AK117&gt;=AZ117,2,IF(AK117&lt;AY117,0,1))))))</f>
        <v>9</v>
      </c>
      <c r="BK117" s="45" t="str">
        <f t="shared" si="256"/>
        <v>N/A</v>
      </c>
      <c r="BL117" s="163"/>
      <c r="BO117" s="43"/>
      <c r="BP117" s="43"/>
      <c r="BQ117" s="43" t="str">
        <f t="shared" si="156"/>
        <v/>
      </c>
      <c r="BR117" s="43">
        <f t="shared" si="196"/>
        <v>9</v>
      </c>
      <c r="BS117" s="43">
        <f t="shared" si="197"/>
        <v>9</v>
      </c>
      <c r="BT117" s="43">
        <f t="shared" si="198"/>
        <v>9</v>
      </c>
      <c r="BW117" s="43" t="str">
        <f>D117</f>
        <v>Wat 03</v>
      </c>
      <c r="BX117" s="43" t="str">
        <f>IFERROR(VLOOKUP($E117,'Pre-Assessment Estimator'!$E$11:$AB$228,'Pre-Assessment Estimator'!AB$2,FALSE),"")</f>
        <v>No</v>
      </c>
      <c r="BY117" s="61" t="str">
        <f>IFERROR(VLOOKUP($E117,'Pre-Assessment Estimator'!$E$11:$AI$228,'Pre-Assessment Estimator'!AI$2,FALSE),"")</f>
        <v>Ja</v>
      </c>
      <c r="BZ117" s="43">
        <f>IFERROR(VLOOKUP($BX117,$E$294:$H$327,F$292,FALSE),"")</f>
        <v>1</v>
      </c>
      <c r="CA117" s="509" t="s">
        <v>408</v>
      </c>
      <c r="CB117" s="43">
        <f>H313</f>
        <v>1</v>
      </c>
      <c r="CC117" t="str">
        <f>IFERROR(VLOOKUP($BX117,$E$294:$H$327,I$292,FALSE),"")</f>
        <v/>
      </c>
      <c r="CD117" t="s">
        <v>383</v>
      </c>
      <c r="CE117" s="43">
        <f>VLOOKUP(CA117,$CA$4:$CB$5,2,FALSE)</f>
        <v>0</v>
      </c>
      <c r="CG117" s="62">
        <f>IF($BX$5=ais_nei,CE117,IF(AND(CA117=$CA$4,BX117=$CC$4),0,BZ117))</f>
        <v>0</v>
      </c>
    </row>
    <row r="118" spans="1:85" x14ac:dyDescent="0.25">
      <c r="A118">
        <v>110</v>
      </c>
      <c r="B118" t="str">
        <f t="shared" ref="B118:B120" si="280">$D$117&amp;D118</f>
        <v>Wat 03a</v>
      </c>
      <c r="D118" s="144" t="s">
        <v>673</v>
      </c>
      <c r="E118" s="840" t="s">
        <v>623</v>
      </c>
      <c r="F118" s="582">
        <v>1</v>
      </c>
      <c r="G118" s="582">
        <v>1</v>
      </c>
      <c r="H118" s="582">
        <v>1</v>
      </c>
      <c r="I118" s="582">
        <v>1</v>
      </c>
      <c r="J118" s="582">
        <v>1</v>
      </c>
      <c r="K118" s="582">
        <v>1</v>
      </c>
      <c r="L118" s="582">
        <v>1</v>
      </c>
      <c r="M118" s="582">
        <v>1</v>
      </c>
      <c r="N118" s="582">
        <v>1</v>
      </c>
      <c r="O118" s="582">
        <v>1</v>
      </c>
      <c r="P118" s="582">
        <v>1</v>
      </c>
      <c r="Q118" s="582">
        <v>1</v>
      </c>
      <c r="R118" s="582">
        <v>1</v>
      </c>
      <c r="T118" s="148">
        <f t="shared" si="246"/>
        <v>1</v>
      </c>
      <c r="U118" s="191">
        <f>IF(AND(ADBT0=ADBT12,OR('Assessment Details'!F6='Assessment Details'!V6,'Assessment Details'!F6='Assessment Details'!V7)),Poeng!T118,0)</f>
        <v>0</v>
      </c>
      <c r="V118" s="43"/>
      <c r="W118" s="43"/>
      <c r="X118" s="43"/>
      <c r="Y118" s="147"/>
      <c r="Z118" s="147">
        <f>VLOOKUP(B118,'Manuell filtrering og justering'!$A$7:$H$253,'Manuell filtrering og justering'!$H$1,FALSE)</f>
        <v>1</v>
      </c>
      <c r="AA118" s="148">
        <f t="shared" si="248"/>
        <v>0</v>
      </c>
      <c r="AB118" s="149">
        <f>IF($AC$5='Manuell filtrering og justering'!$J$2,Z118,(T118-AA118))</f>
        <v>1</v>
      </c>
      <c r="AD118" s="150">
        <f t="shared" si="249"/>
        <v>4.4444444444444444E-3</v>
      </c>
      <c r="AE118" s="150">
        <f t="shared" si="258"/>
        <v>0</v>
      </c>
      <c r="AF118" s="150">
        <f t="shared" si="259"/>
        <v>0</v>
      </c>
      <c r="AG118" s="150">
        <f t="shared" si="260"/>
        <v>0</v>
      </c>
      <c r="AI118" s="151">
        <f>IF(VLOOKUP(E118,'Pre-Assessment Estimator'!$E$11:$Z$228,'Pre-Assessment Estimator'!$G$2,FALSE)&gt;AB118,AB118,VLOOKUP(E118,'Pre-Assessment Estimator'!$E$11:$Z$228,'Pre-Assessment Estimator'!$G$2,FALSE))</f>
        <v>0</v>
      </c>
      <c r="AJ118" s="151">
        <f>IF(VLOOKUP(E118,'Pre-Assessment Estimator'!$E$11:$Z$228,'Pre-Assessment Estimator'!$N$2,FALSE)&gt;AB118,AB118,VLOOKUP(E118,'Pre-Assessment Estimator'!$E$11:$Z$228,'Pre-Assessment Estimator'!$N$2,FALSE))</f>
        <v>0</v>
      </c>
      <c r="AK118" s="151">
        <f>IF(VLOOKUP(E118,'Pre-Assessment Estimator'!$E$11:$Z$228,'Pre-Assessment Estimator'!$U$2,FALSE)&gt;AB118,AB118,VLOOKUP(E118,'Pre-Assessment Estimator'!$E$11:$Z$228,'Pre-Assessment Estimator'!$U$2,FALSE))</f>
        <v>0</v>
      </c>
      <c r="AM118" s="653"/>
      <c r="AN118" s="654"/>
      <c r="AO118" s="654"/>
      <c r="AP118" s="654"/>
      <c r="AQ118" s="646"/>
      <c r="AR118" s="123"/>
      <c r="AS118" s="653"/>
      <c r="AT118" s="654"/>
      <c r="AU118" s="654"/>
      <c r="AV118" s="654"/>
      <c r="AW118" s="646"/>
      <c r="AY118" s="167"/>
      <c r="AZ118" s="48"/>
      <c r="BA118" s="48"/>
      <c r="BB118" s="48"/>
      <c r="BC118" s="655"/>
      <c r="BD118" s="160">
        <f t="shared" si="278"/>
        <v>9</v>
      </c>
      <c r="BE118" s="45" t="str">
        <f t="shared" si="254"/>
        <v>N/A</v>
      </c>
      <c r="BF118" s="163"/>
      <c r="BG118" s="160">
        <f t="shared" si="270"/>
        <v>9</v>
      </c>
      <c r="BH118" s="45" t="str">
        <f t="shared" si="255"/>
        <v>N/A</v>
      </c>
      <c r="BI118" s="163"/>
      <c r="BJ118" s="160">
        <f t="shared" si="279"/>
        <v>9</v>
      </c>
      <c r="BK118" s="45" t="str">
        <f t="shared" si="256"/>
        <v>N/A</v>
      </c>
      <c r="BL118" s="650"/>
      <c r="BO118" s="43"/>
      <c r="BP118" s="43"/>
      <c r="BQ118" s="43" t="str">
        <f t="shared" si="156"/>
        <v/>
      </c>
      <c r="BR118" s="43">
        <f t="shared" si="196"/>
        <v>9</v>
      </c>
      <c r="BS118" s="43">
        <f t="shared" si="197"/>
        <v>9</v>
      </c>
      <c r="BT118" s="43">
        <f t="shared" si="198"/>
        <v>9</v>
      </c>
      <c r="BW118" s="43"/>
      <c r="BX118" s="43"/>
      <c r="BY118" s="61"/>
      <c r="BZ118" s="43"/>
      <c r="CA118" s="509"/>
      <c r="CB118" s="43"/>
      <c r="CG118" s="62"/>
    </row>
    <row r="119" spans="1:85" x14ac:dyDescent="0.25">
      <c r="A119">
        <v>111</v>
      </c>
      <c r="B119" t="str">
        <f t="shared" si="280"/>
        <v>Wat 03b</v>
      </c>
      <c r="D119" s="144" t="s">
        <v>676</v>
      </c>
      <c r="E119" s="840" t="s">
        <v>897</v>
      </c>
      <c r="F119" s="582">
        <v>1</v>
      </c>
      <c r="G119" s="582">
        <v>1</v>
      </c>
      <c r="H119" s="759">
        <v>0</v>
      </c>
      <c r="I119" s="582">
        <v>1</v>
      </c>
      <c r="J119" s="582">
        <v>1</v>
      </c>
      <c r="K119" s="582">
        <v>1</v>
      </c>
      <c r="L119" s="582">
        <v>1</v>
      </c>
      <c r="M119" s="582">
        <v>1</v>
      </c>
      <c r="N119" s="582">
        <v>1</v>
      </c>
      <c r="O119" s="582">
        <v>1</v>
      </c>
      <c r="P119" s="582">
        <v>1</v>
      </c>
      <c r="Q119" s="582">
        <v>1</v>
      </c>
      <c r="R119" s="582">
        <v>1</v>
      </c>
      <c r="T119" s="148">
        <f t="shared" si="246"/>
        <v>1</v>
      </c>
      <c r="U119" s="191">
        <f>IF(AND('Assessment Details'!I15=1,AD_heat='Assessment Details'!R22),Poeng!T119,0)</f>
        <v>0</v>
      </c>
      <c r="V119" s="43"/>
      <c r="W119" s="43"/>
      <c r="X119" s="43"/>
      <c r="Y119" s="148">
        <f>IF($Y$4=$Y$6,T119,0)</f>
        <v>0</v>
      </c>
      <c r="Z119" s="147">
        <f>VLOOKUP(B119,'Manuell filtrering og justering'!$A$7:$H$253,'Manuell filtrering og justering'!$H$1,FALSE)</f>
        <v>1</v>
      </c>
      <c r="AA119" s="148">
        <f t="shared" si="248"/>
        <v>0</v>
      </c>
      <c r="AB119" s="149">
        <f>IF($AC$5='Manuell filtrering og justering'!$J$2,Z119,(T119-AA119))</f>
        <v>1</v>
      </c>
      <c r="AD119" s="150">
        <f t="shared" si="249"/>
        <v>4.4444444444444444E-3</v>
      </c>
      <c r="AE119" s="150">
        <f t="shared" si="258"/>
        <v>0</v>
      </c>
      <c r="AF119" s="150">
        <f t="shared" si="259"/>
        <v>0</v>
      </c>
      <c r="AG119" s="150">
        <f t="shared" si="260"/>
        <v>0</v>
      </c>
      <c r="AI119" s="151">
        <f>IF(VLOOKUP(E119,'Pre-Assessment Estimator'!$E$11:$Z$228,'Pre-Assessment Estimator'!$G$2,FALSE)&gt;AB119,AB119,VLOOKUP(E119,'Pre-Assessment Estimator'!$E$11:$Z$228,'Pre-Assessment Estimator'!$G$2,FALSE))</f>
        <v>0</v>
      </c>
      <c r="AJ119" s="151">
        <f>IF(VLOOKUP(E119,'Pre-Assessment Estimator'!$E$11:$Z$228,'Pre-Assessment Estimator'!$N$2,FALSE)&gt;AB119,AB119,VLOOKUP(E119,'Pre-Assessment Estimator'!$E$11:$Z$228,'Pre-Assessment Estimator'!$N$2,FALSE))</f>
        <v>0</v>
      </c>
      <c r="AK119" s="151">
        <f>IF(VLOOKUP(E119,'Pre-Assessment Estimator'!$E$11:$Z$228,'Pre-Assessment Estimator'!$U$2,FALSE)&gt;AB119,AB119,VLOOKUP(E119,'Pre-Assessment Estimator'!$E$11:$Z$228,'Pre-Assessment Estimator'!$U$2,FALSE))</f>
        <v>0</v>
      </c>
      <c r="AM119" s="653"/>
      <c r="AN119" s="654"/>
      <c r="AO119" s="654"/>
      <c r="AP119" s="654"/>
      <c r="AQ119" s="646"/>
      <c r="AR119" s="123"/>
      <c r="AS119" s="653"/>
      <c r="AT119" s="654"/>
      <c r="AU119" s="654"/>
      <c r="AV119" s="654"/>
      <c r="AW119" s="646"/>
      <c r="AY119" s="167"/>
      <c r="AZ119" s="48"/>
      <c r="BA119" s="48"/>
      <c r="BB119" s="48"/>
      <c r="BC119" s="655"/>
      <c r="BD119" s="160">
        <f t="shared" si="278"/>
        <v>9</v>
      </c>
      <c r="BE119" s="45" t="str">
        <f t="shared" si="254"/>
        <v>N/A</v>
      </c>
      <c r="BF119" s="163"/>
      <c r="BG119" s="160">
        <f t="shared" si="270"/>
        <v>9</v>
      </c>
      <c r="BH119" s="45" t="str">
        <f t="shared" si="255"/>
        <v>N/A</v>
      </c>
      <c r="BI119" s="163"/>
      <c r="BJ119" s="160">
        <f t="shared" si="279"/>
        <v>9</v>
      </c>
      <c r="BK119" s="45" t="str">
        <f t="shared" si="256"/>
        <v>N/A</v>
      </c>
      <c r="BL119" s="650"/>
      <c r="BO119" s="43"/>
      <c r="BP119" s="43"/>
      <c r="BQ119" s="43" t="str">
        <f t="shared" si="156"/>
        <v/>
      </c>
      <c r="BR119" s="43">
        <f t="shared" si="196"/>
        <v>9</v>
      </c>
      <c r="BS119" s="43">
        <f t="shared" si="197"/>
        <v>9</v>
      </c>
      <c r="BT119" s="43">
        <f t="shared" si="198"/>
        <v>9</v>
      </c>
      <c r="BW119" s="43"/>
      <c r="BX119" s="43"/>
      <c r="BY119" s="61"/>
      <c r="BZ119" s="43"/>
      <c r="CA119" s="509"/>
      <c r="CB119" s="43"/>
      <c r="CG119" s="62"/>
    </row>
    <row r="120" spans="1:85" x14ac:dyDescent="0.25">
      <c r="A120">
        <v>112</v>
      </c>
      <c r="B120" t="str">
        <f t="shared" si="280"/>
        <v>Wat 03c</v>
      </c>
      <c r="D120" s="146" t="s">
        <v>677</v>
      </c>
      <c r="E120" s="840" t="s">
        <v>625</v>
      </c>
      <c r="F120" s="582">
        <v>0</v>
      </c>
      <c r="G120" s="582">
        <v>0</v>
      </c>
      <c r="H120" s="759">
        <v>1</v>
      </c>
      <c r="I120" s="582">
        <v>0</v>
      </c>
      <c r="J120" s="582">
        <v>0</v>
      </c>
      <c r="K120" s="582">
        <v>0</v>
      </c>
      <c r="L120" s="582">
        <v>0</v>
      </c>
      <c r="M120" s="582">
        <v>0</v>
      </c>
      <c r="N120" s="582">
        <v>0</v>
      </c>
      <c r="O120" s="582">
        <v>0</v>
      </c>
      <c r="P120" s="582">
        <v>0</v>
      </c>
      <c r="Q120" s="582">
        <v>0</v>
      </c>
      <c r="R120" s="582">
        <v>0</v>
      </c>
      <c r="T120" s="148">
        <f t="shared" si="246"/>
        <v>0</v>
      </c>
      <c r="U120" s="146"/>
      <c r="V120" s="43"/>
      <c r="W120" s="43"/>
      <c r="X120" s="43"/>
      <c r="Y120" s="147"/>
      <c r="Z120" s="147">
        <f>VLOOKUP(B120,'Manuell filtrering og justering'!$A$7:$H$253,'Manuell filtrering og justering'!$H$1,FALSE)</f>
        <v>1</v>
      </c>
      <c r="AA120" s="148">
        <f t="shared" si="248"/>
        <v>0</v>
      </c>
      <c r="AB120" s="149">
        <f>IF($AC$5='Manuell filtrering og justering'!$J$2,Z120,(T120-AA120))</f>
        <v>0</v>
      </c>
      <c r="AD120" s="150">
        <f t="shared" si="249"/>
        <v>0</v>
      </c>
      <c r="AE120" s="150">
        <f t="shared" si="258"/>
        <v>0</v>
      </c>
      <c r="AF120" s="150">
        <f t="shared" si="259"/>
        <v>0</v>
      </c>
      <c r="AG120" s="150">
        <f t="shared" si="260"/>
        <v>0</v>
      </c>
      <c r="AI120" s="151">
        <f>IF(VLOOKUP(E120,'Pre-Assessment Estimator'!$E$11:$Z$228,'Pre-Assessment Estimator'!$G$2,FALSE)&gt;AB120,AB120,VLOOKUP(E120,'Pre-Assessment Estimator'!$E$11:$Z$228,'Pre-Assessment Estimator'!$G$2,FALSE))</f>
        <v>0</v>
      </c>
      <c r="AJ120" s="151">
        <f>IF(VLOOKUP(E120,'Pre-Assessment Estimator'!$E$11:$Z$228,'Pre-Assessment Estimator'!$N$2,FALSE)&gt;AB120,AB120,VLOOKUP(E120,'Pre-Assessment Estimator'!$E$11:$Z$228,'Pre-Assessment Estimator'!$N$2,FALSE))</f>
        <v>0</v>
      </c>
      <c r="AK120" s="151">
        <f>IF(VLOOKUP(E120,'Pre-Assessment Estimator'!$E$11:$Z$228,'Pre-Assessment Estimator'!$U$2,FALSE)&gt;AB120,AB120,VLOOKUP(E120,'Pre-Assessment Estimator'!$E$11:$Z$228,'Pre-Assessment Estimator'!$U$2,FALSE))</f>
        <v>0</v>
      </c>
      <c r="AM120" s="653"/>
      <c r="AN120" s="654"/>
      <c r="AO120" s="654"/>
      <c r="AP120" s="654"/>
      <c r="AQ120" s="646"/>
      <c r="AR120" s="123"/>
      <c r="AS120" s="653"/>
      <c r="AT120" s="654"/>
      <c r="AU120" s="654"/>
      <c r="AV120" s="654"/>
      <c r="AW120" s="646"/>
      <c r="AY120" s="167"/>
      <c r="AZ120" s="48"/>
      <c r="BA120" s="48"/>
      <c r="BB120" s="48"/>
      <c r="BC120" s="655"/>
      <c r="BD120" s="160">
        <f t="shared" si="278"/>
        <v>9</v>
      </c>
      <c r="BE120" s="45" t="str">
        <f t="shared" si="254"/>
        <v>N/A</v>
      </c>
      <c r="BF120" s="163"/>
      <c r="BG120" s="160">
        <f t="shared" si="270"/>
        <v>9</v>
      </c>
      <c r="BH120" s="45" t="str">
        <f t="shared" si="255"/>
        <v>N/A</v>
      </c>
      <c r="BI120" s="163"/>
      <c r="BJ120" s="160">
        <f t="shared" si="279"/>
        <v>9</v>
      </c>
      <c r="BK120" s="45" t="str">
        <f t="shared" si="256"/>
        <v>N/A</v>
      </c>
      <c r="BL120" s="650"/>
      <c r="BO120" s="43"/>
      <c r="BP120" s="43"/>
      <c r="BQ120" s="43" t="str">
        <f t="shared" si="156"/>
        <v/>
      </c>
      <c r="BR120" s="43">
        <f t="shared" si="196"/>
        <v>9</v>
      </c>
      <c r="BS120" s="43">
        <f t="shared" si="197"/>
        <v>9</v>
      </c>
      <c r="BT120" s="43">
        <f t="shared" si="198"/>
        <v>9</v>
      </c>
      <c r="BW120" s="43"/>
      <c r="BX120" s="43"/>
      <c r="BY120" s="61"/>
      <c r="BZ120" s="43"/>
      <c r="CA120" s="509"/>
      <c r="CB120" s="43"/>
      <c r="CG120" s="62"/>
    </row>
    <row r="121" spans="1:85" ht="15.75" thickBot="1" x14ac:dyDescent="0.3">
      <c r="A121">
        <v>113</v>
      </c>
      <c r="B121" s="121" t="str">
        <f>D121</f>
        <v>Wat 04</v>
      </c>
      <c r="C121" s="121"/>
      <c r="D121" s="638" t="s">
        <v>166</v>
      </c>
      <c r="E121" s="636" t="s">
        <v>149</v>
      </c>
      <c r="F121" s="699">
        <f>SUM(F122)</f>
        <v>1</v>
      </c>
      <c r="G121" s="699">
        <f t="shared" ref="G121:R121" si="281">SUM(G122)</f>
        <v>1</v>
      </c>
      <c r="H121" s="699">
        <f t="shared" si="281"/>
        <v>1</v>
      </c>
      <c r="I121" s="699">
        <f t="shared" si="281"/>
        <v>1</v>
      </c>
      <c r="J121" s="699">
        <f t="shared" si="281"/>
        <v>1</v>
      </c>
      <c r="K121" s="699">
        <f t="shared" si="281"/>
        <v>1</v>
      </c>
      <c r="L121" s="699">
        <f t="shared" si="281"/>
        <v>1</v>
      </c>
      <c r="M121" s="699">
        <f t="shared" si="281"/>
        <v>1</v>
      </c>
      <c r="N121" s="699">
        <f t="shared" si="281"/>
        <v>1</v>
      </c>
      <c r="O121" s="699">
        <f t="shared" si="281"/>
        <v>1</v>
      </c>
      <c r="P121" s="699">
        <f t="shared" si="281"/>
        <v>1</v>
      </c>
      <c r="Q121" s="699">
        <f t="shared" si="281"/>
        <v>1</v>
      </c>
      <c r="R121" s="699">
        <f t="shared" si="281"/>
        <v>1</v>
      </c>
      <c r="T121" s="719">
        <f t="shared" si="246"/>
        <v>1</v>
      </c>
      <c r="U121" s="191">
        <f>U122</f>
        <v>0</v>
      </c>
      <c r="V121" s="61"/>
      <c r="W121" s="61"/>
      <c r="X121" s="61">
        <f>'Manuell filtrering og justering'!E55</f>
        <v>0</v>
      </c>
      <c r="Y121" s="61"/>
      <c r="Z121" s="714">
        <f t="shared" ref="Z121" si="282">SUM(Z122)</f>
        <v>1</v>
      </c>
      <c r="AA121" s="719">
        <f t="shared" si="248"/>
        <v>0</v>
      </c>
      <c r="AB121" s="686">
        <f>AB122</f>
        <v>1</v>
      </c>
      <c r="AD121" s="150">
        <f t="shared" si="249"/>
        <v>4.4444444444444444E-3</v>
      </c>
      <c r="AE121" s="687">
        <f>SUM(AE122)</f>
        <v>0</v>
      </c>
      <c r="AF121" s="687">
        <f t="shared" ref="AF121:AG121" si="283">SUM(AF122)</f>
        <v>0</v>
      </c>
      <c r="AG121" s="687">
        <f t="shared" si="283"/>
        <v>0</v>
      </c>
      <c r="AI121" s="714">
        <f t="shared" ref="AI121" si="284">SUM(AI122)</f>
        <v>0</v>
      </c>
      <c r="AJ121" s="714">
        <f t="shared" ref="AJ121" si="285">SUM(AJ122)</f>
        <v>0</v>
      </c>
      <c r="AK121" s="714">
        <f t="shared" ref="AK121" si="286">SUM(AK122)</f>
        <v>0</v>
      </c>
      <c r="AM121" s="254"/>
      <c r="AN121" s="255"/>
      <c r="AO121" s="255"/>
      <c r="AP121" s="255"/>
      <c r="AQ121" s="256"/>
      <c r="AR121" s="123"/>
      <c r="AS121" s="254"/>
      <c r="AT121" s="255"/>
      <c r="AU121" s="255"/>
      <c r="AV121" s="255"/>
      <c r="AW121" s="256"/>
      <c r="AY121" s="168"/>
      <c r="AZ121" s="170"/>
      <c r="BA121" s="170"/>
      <c r="BB121" s="170"/>
      <c r="BC121" s="171"/>
      <c r="BD121" s="172">
        <f t="shared" si="59"/>
        <v>9</v>
      </c>
      <c r="BE121" s="45" t="str">
        <f t="shared" si="254"/>
        <v>N/A</v>
      </c>
      <c r="BF121" s="173"/>
      <c r="BG121" s="172">
        <f>IF(BC121=0,9,IF(AJ121&gt;=BC121,5,IF(AJ121&gt;=BB121,4,IF(AJ121&gt;=BA121,3,IF(AJ121&gt;=AZ121,2,IF(AJ121&lt;AY121,0,1))))))</f>
        <v>9</v>
      </c>
      <c r="BH121" s="45" t="str">
        <f t="shared" si="255"/>
        <v>N/A</v>
      </c>
      <c r="BI121" s="173"/>
      <c r="BJ121" s="172">
        <f t="shared" si="27"/>
        <v>9</v>
      </c>
      <c r="BK121" s="45" t="str">
        <f t="shared" si="256"/>
        <v>N/A</v>
      </c>
      <c r="BL121" s="173"/>
      <c r="BO121" s="43"/>
      <c r="BP121" s="43"/>
      <c r="BQ121" s="43" t="str">
        <f t="shared" si="156"/>
        <v/>
      </c>
      <c r="BR121" s="43">
        <f t="shared" si="196"/>
        <v>9</v>
      </c>
      <c r="BS121" s="43">
        <f t="shared" si="197"/>
        <v>9</v>
      </c>
      <c r="BT121" s="43">
        <f t="shared" si="198"/>
        <v>9</v>
      </c>
      <c r="BW121" s="43" t="str">
        <f>D121</f>
        <v>Wat 04</v>
      </c>
      <c r="BX121" s="43" t="str">
        <f>IFERROR(VLOOKUP($E121,'Pre-Assessment Estimator'!$E$11:$AB$228,'Pre-Assessment Estimator'!AB$2,FALSE),"")</f>
        <v>N/A</v>
      </c>
      <c r="BY121" s="43">
        <f>IFERROR(VLOOKUP($E121,'Pre-Assessment Estimator'!$E$11:$AI$228,'Pre-Assessment Estimator'!AI$2,FALSE),"")</f>
        <v>0</v>
      </c>
      <c r="BZ121" s="43">
        <f>IFERROR(VLOOKUP($BX121,$E$294:$H$327,F$292,FALSE),"")</f>
        <v>1</v>
      </c>
      <c r="CA121" s="43">
        <f>IFERROR(VLOOKUP($BX121,$E$294:$H$327,G$292,FALSE),"")</f>
        <v>0</v>
      </c>
      <c r="CB121" s="43"/>
      <c r="CC121" t="str">
        <f>IFERROR(VLOOKUP($BX121,$E$294:$H$327,I$292,FALSE),"")</f>
        <v/>
      </c>
    </row>
    <row r="122" spans="1:85" ht="15.75" thickBot="1" x14ac:dyDescent="0.3">
      <c r="A122">
        <v>114</v>
      </c>
      <c r="B122" t="str">
        <f>$D$121&amp;D122</f>
        <v>Wat 04a</v>
      </c>
      <c r="D122" s="198" t="s">
        <v>673</v>
      </c>
      <c r="E122" s="840" t="s">
        <v>349</v>
      </c>
      <c r="F122" s="707">
        <v>1</v>
      </c>
      <c r="G122" s="707">
        <v>1</v>
      </c>
      <c r="H122" s="707">
        <v>1</v>
      </c>
      <c r="I122" s="707">
        <v>1</v>
      </c>
      <c r="J122" s="707">
        <v>1</v>
      </c>
      <c r="K122" s="707">
        <v>1</v>
      </c>
      <c r="L122" s="707">
        <v>1</v>
      </c>
      <c r="M122" s="707">
        <v>1</v>
      </c>
      <c r="N122" s="707">
        <v>1</v>
      </c>
      <c r="O122" s="707">
        <v>1</v>
      </c>
      <c r="P122" s="707">
        <v>1</v>
      </c>
      <c r="Q122" s="707">
        <v>1</v>
      </c>
      <c r="R122" s="707">
        <v>1</v>
      </c>
      <c r="T122" s="148">
        <f t="shared" si="246"/>
        <v>1</v>
      </c>
      <c r="U122" s="167">
        <f>IF('Assessment Details'!F23=AD_no,Poeng!T122,0)</f>
        <v>0</v>
      </c>
      <c r="V122" s="48"/>
      <c r="W122" s="48"/>
      <c r="X122" s="48"/>
      <c r="Y122" s="655"/>
      <c r="Z122" s="147">
        <f>VLOOKUP(B122,'Manuell filtrering og justering'!$A$7:$H$253,'Manuell filtrering og justering'!$H$1,FALSE)</f>
        <v>1</v>
      </c>
      <c r="AA122" s="148">
        <f t="shared" si="248"/>
        <v>0</v>
      </c>
      <c r="AB122" s="149">
        <f>IF($AC$5='Manuell filtrering og justering'!$J$2,Z122,(T122-AA122))</f>
        <v>1</v>
      </c>
      <c r="AD122" s="150">
        <f t="shared" si="249"/>
        <v>4.4444444444444444E-3</v>
      </c>
      <c r="AE122" s="150">
        <f t="shared" si="258"/>
        <v>0</v>
      </c>
      <c r="AF122" s="150">
        <f t="shared" si="259"/>
        <v>0</v>
      </c>
      <c r="AG122" s="150">
        <f t="shared" si="260"/>
        <v>0</v>
      </c>
      <c r="AI122" s="151">
        <f>IF(VLOOKUP(E122,'Pre-Assessment Estimator'!$E$11:$Z$228,'Pre-Assessment Estimator'!$G$2,FALSE)&gt;AB122,AB122,VLOOKUP(E122,'Pre-Assessment Estimator'!$E$11:$Z$228,'Pre-Assessment Estimator'!$G$2,FALSE))</f>
        <v>0</v>
      </c>
      <c r="AJ122" s="151">
        <f>IF(VLOOKUP(E122,'Pre-Assessment Estimator'!$E$11:$Z$228,'Pre-Assessment Estimator'!$N$2,FALSE)&gt;AB122,AB122,VLOOKUP(E122,'Pre-Assessment Estimator'!$E$11:$Z$228,'Pre-Assessment Estimator'!$N$2,FALSE))</f>
        <v>0</v>
      </c>
      <c r="AK122" s="151">
        <f>IF(VLOOKUP(E122,'Pre-Assessment Estimator'!$E$11:$Z$228,'Pre-Assessment Estimator'!$U$2,FALSE)&gt;AB122,AB122,VLOOKUP(E122,'Pre-Assessment Estimator'!$E$11:$Z$228,'Pre-Assessment Estimator'!$U$2,FALSE))</f>
        <v>0</v>
      </c>
      <c r="AM122" s="254"/>
      <c r="AN122" s="255"/>
      <c r="AO122" s="255"/>
      <c r="AP122" s="255"/>
      <c r="AQ122" s="256"/>
      <c r="AR122" s="123"/>
      <c r="AS122" s="254"/>
      <c r="AT122" s="255"/>
      <c r="AU122" s="255"/>
      <c r="AV122" s="255"/>
      <c r="AW122" s="256"/>
      <c r="AY122" s="168"/>
      <c r="AZ122" s="170"/>
      <c r="BA122" s="170"/>
      <c r="BB122" s="170"/>
      <c r="BC122" s="171"/>
      <c r="BD122" s="172">
        <f t="shared" ref="BD122" si="287">IF(BC122=0,9,IF(AI122&gt;=BC122,5,IF(AI122&gt;=BB122,4,IF(AI122&gt;=BA122,3,IF(AI122&gt;=AZ122,2,IF(AI122&lt;AY122,0,1))))))</f>
        <v>9</v>
      </c>
      <c r="BE122" s="45" t="str">
        <f t="shared" si="254"/>
        <v>N/A</v>
      </c>
      <c r="BF122" s="173"/>
      <c r="BG122" s="172">
        <f>IF(BC122=0,9,IF(AJ122&gt;=BC122,5,IF(AJ122&gt;=BB122,4,IF(AJ122&gt;=BA122,3,IF(AJ122&gt;=AZ122,2,IF(AJ122&lt;AY122,0,1))))))</f>
        <v>9</v>
      </c>
      <c r="BH122" s="45" t="str">
        <f t="shared" si="255"/>
        <v>N/A</v>
      </c>
      <c r="BI122" s="173"/>
      <c r="BJ122" s="172">
        <f t="shared" ref="BJ122" si="288">IF(BC122=0,9,IF(AK122&gt;=BC122,5,IF(AK122&gt;=BB122,4,IF(AK122&gt;=BA122,3,IF(AK122&gt;=AZ122,2,IF(AK122&lt;AY122,0,1))))))</f>
        <v>9</v>
      </c>
      <c r="BK122" s="45" t="str">
        <f t="shared" si="256"/>
        <v>N/A</v>
      </c>
      <c r="BL122" s="173"/>
      <c r="BO122" s="43"/>
      <c r="BP122" s="43"/>
      <c r="BQ122" s="43" t="str">
        <f t="shared" si="156"/>
        <v/>
      </c>
      <c r="BR122" s="43">
        <f t="shared" si="196"/>
        <v>9</v>
      </c>
      <c r="BS122" s="43">
        <f t="shared" si="197"/>
        <v>9</v>
      </c>
      <c r="BT122" s="43">
        <f t="shared" si="198"/>
        <v>9</v>
      </c>
      <c r="BW122" s="63"/>
      <c r="BX122" s="63"/>
      <c r="BY122" s="63"/>
      <c r="BZ122" s="63"/>
      <c r="CA122" s="63"/>
      <c r="CB122" s="63"/>
    </row>
    <row r="123" spans="1:85" ht="15.75" thickBot="1" x14ac:dyDescent="0.3">
      <c r="A123">
        <v>115</v>
      </c>
      <c r="B123" t="s">
        <v>864</v>
      </c>
      <c r="D123" s="174"/>
      <c r="E123" s="50" t="s">
        <v>204</v>
      </c>
      <c r="F123" s="586">
        <f>F113+F115+F117+F121</f>
        <v>9</v>
      </c>
      <c r="G123" s="586">
        <f t="shared" ref="G123:R123" si="289">G113+G115+G117+G121</f>
        <v>9</v>
      </c>
      <c r="H123" s="586">
        <f t="shared" si="289"/>
        <v>9</v>
      </c>
      <c r="I123" s="586">
        <f t="shared" si="289"/>
        <v>9</v>
      </c>
      <c r="J123" s="586">
        <f t="shared" si="289"/>
        <v>9</v>
      </c>
      <c r="K123" s="586">
        <f t="shared" si="289"/>
        <v>9</v>
      </c>
      <c r="L123" s="586">
        <f t="shared" si="289"/>
        <v>9</v>
      </c>
      <c r="M123" s="586">
        <f t="shared" si="289"/>
        <v>9</v>
      </c>
      <c r="N123" s="586">
        <f t="shared" si="289"/>
        <v>9</v>
      </c>
      <c r="O123" s="586">
        <f t="shared" si="289"/>
        <v>9</v>
      </c>
      <c r="P123" s="586">
        <f t="shared" si="289"/>
        <v>9</v>
      </c>
      <c r="Q123" s="586">
        <f t="shared" ref="Q123" si="290">Q113+Q115+Q117+Q121</f>
        <v>9</v>
      </c>
      <c r="R123" s="586">
        <f t="shared" si="289"/>
        <v>9</v>
      </c>
      <c r="T123" s="195">
        <f t="shared" si="246"/>
        <v>9</v>
      </c>
      <c r="U123" s="176"/>
      <c r="V123" s="177"/>
      <c r="W123" s="177"/>
      <c r="X123" s="177"/>
      <c r="Y123" s="178"/>
      <c r="Z123" s="178"/>
      <c r="AA123" s="586">
        <f t="shared" ref="AA123:AG123" si="291">AA113+AA115+AA117+AA121</f>
        <v>0</v>
      </c>
      <c r="AB123" s="586">
        <f t="shared" si="291"/>
        <v>9</v>
      </c>
      <c r="AD123" s="180">
        <f t="shared" si="291"/>
        <v>0.04</v>
      </c>
      <c r="AE123" s="180">
        <f t="shared" si="291"/>
        <v>0</v>
      </c>
      <c r="AF123" s="180">
        <f t="shared" si="291"/>
        <v>0</v>
      </c>
      <c r="AG123" s="180">
        <f t="shared" si="291"/>
        <v>0</v>
      </c>
      <c r="AI123" s="72">
        <f t="shared" ref="AI123:AK123" si="292">AI113+AI115+AI117+AI121</f>
        <v>0</v>
      </c>
      <c r="AJ123" s="72">
        <f t="shared" si="292"/>
        <v>0</v>
      </c>
      <c r="AK123" s="72">
        <f t="shared" si="292"/>
        <v>0</v>
      </c>
      <c r="AM123" s="123"/>
      <c r="AN123" s="123"/>
      <c r="AO123" s="123"/>
      <c r="AP123" s="123"/>
      <c r="AQ123" s="123"/>
      <c r="AR123" s="123"/>
      <c r="AS123" s="123"/>
      <c r="AT123" s="123"/>
      <c r="AU123" s="123"/>
      <c r="AV123" s="123"/>
      <c r="AW123" s="123"/>
      <c r="AZ123" s="181"/>
      <c r="BW123" s="50"/>
      <c r="BX123" s="50" t="str">
        <f>IFERROR(VLOOKUP($E123,'Pre-Assessment Estimator'!$E$11:$AB$228,'Pre-Assessment Estimator'!AB$2,FALSE),"")</f>
        <v/>
      </c>
      <c r="BY123" s="50" t="str">
        <f>IFERROR(VLOOKUP($E123,'Pre-Assessment Estimator'!$E$11:$AI$228,'Pre-Assessment Estimator'!AI$2,FALSE),"")</f>
        <v/>
      </c>
      <c r="BZ123" s="50" t="str">
        <f t="shared" ref="BZ123:CA126" si="293">IFERROR(VLOOKUP($BX123,$E$294:$H$327,F$292,FALSE),"")</f>
        <v/>
      </c>
      <c r="CA123" s="50" t="str">
        <f t="shared" si="293"/>
        <v/>
      </c>
      <c r="CB123" s="50"/>
      <c r="CC123" t="str">
        <f>IFERROR(VLOOKUP($BX123,$E$294:$H$327,I$292,FALSE),"")</f>
        <v/>
      </c>
    </row>
    <row r="124" spans="1:85" ht="15.75" thickBot="1" x14ac:dyDescent="0.3">
      <c r="A124">
        <v>116</v>
      </c>
      <c r="AI124" s="1"/>
      <c r="AJ124" s="1"/>
      <c r="AK124" s="1"/>
      <c r="AM124" s="123"/>
      <c r="AN124" s="123"/>
      <c r="AO124" s="123"/>
      <c r="AP124" s="123"/>
      <c r="AQ124" s="123"/>
      <c r="AR124" s="123"/>
      <c r="AS124" s="123"/>
      <c r="AT124" s="123"/>
      <c r="AU124" s="123"/>
      <c r="AV124" s="123"/>
      <c r="AW124" s="123"/>
      <c r="BX124" t="str">
        <f>IFERROR(VLOOKUP($E124,'Pre-Assessment Estimator'!$E$11:$AB$228,'Pre-Assessment Estimator'!AB$2,FALSE),"")</f>
        <v/>
      </c>
      <c r="BY124" t="str">
        <f>IFERROR(VLOOKUP($E124,'Pre-Assessment Estimator'!$E$11:$AI$228,'Pre-Assessment Estimator'!AI$2,FALSE),"")</f>
        <v/>
      </c>
      <c r="BZ124" t="str">
        <f t="shared" si="293"/>
        <v/>
      </c>
      <c r="CA124" t="str">
        <f t="shared" si="293"/>
        <v/>
      </c>
      <c r="CC124" t="str">
        <f>IFERROR(VLOOKUP($BX124,$E$294:$H$327,I$292,FALSE),"")</f>
        <v/>
      </c>
    </row>
    <row r="125" spans="1:85" ht="60.75" thickBot="1" x14ac:dyDescent="0.3">
      <c r="A125">
        <v>117</v>
      </c>
      <c r="D125" s="132"/>
      <c r="E125" s="133" t="s">
        <v>63</v>
      </c>
      <c r="F125" s="1364" t="str">
        <f>$F$9</f>
        <v>Office</v>
      </c>
      <c r="G125" s="1364" t="str">
        <f>$G$9</f>
        <v>Retail</v>
      </c>
      <c r="H125" s="1365" t="str">
        <f>$H$9</f>
        <v>Residential</v>
      </c>
      <c r="I125" s="1364" t="str">
        <f>$I$9</f>
        <v>Industrial</v>
      </c>
      <c r="J125" s="1366" t="str">
        <f>$J$9</f>
        <v>Healthcare</v>
      </c>
      <c r="K125" s="1366" t="str">
        <f>$K$9</f>
        <v>Prison</v>
      </c>
      <c r="L125" s="1366" t="str">
        <f>$L$9</f>
        <v>Law Court</v>
      </c>
      <c r="M125" s="1367" t="str">
        <f>$M$9</f>
        <v>Residential institution (long term stay)</v>
      </c>
      <c r="N125" s="684" t="str">
        <f>$N$9</f>
        <v>Residential institution (short term stay)</v>
      </c>
      <c r="O125" s="684" t="str">
        <f>$O$9</f>
        <v>Non-residential institution</v>
      </c>
      <c r="P125" s="684" t="str">
        <f>$P$9</f>
        <v>Assembly and leisure</v>
      </c>
      <c r="Q125" s="1366" t="str">
        <f>$Q$9</f>
        <v>Education</v>
      </c>
      <c r="R125" s="659" t="str">
        <f>$R$9</f>
        <v>Other</v>
      </c>
      <c r="T125" s="122" t="str">
        <f>$E$6</f>
        <v>Office</v>
      </c>
      <c r="U125" s="182"/>
      <c r="V125" s="183"/>
      <c r="W125" s="183"/>
      <c r="X125" s="183"/>
      <c r="Y125" s="871" t="s">
        <v>391</v>
      </c>
      <c r="Z125" s="302" t="s">
        <v>317</v>
      </c>
      <c r="AA125" s="131" t="s">
        <v>204</v>
      </c>
      <c r="AB125" s="53" t="s">
        <v>15</v>
      </c>
      <c r="AI125" s="36"/>
      <c r="AJ125" s="54"/>
      <c r="AK125" s="54"/>
      <c r="AM125" s="123"/>
      <c r="AN125" s="123"/>
      <c r="AO125" s="123"/>
      <c r="AP125" s="123"/>
      <c r="AQ125" s="123"/>
      <c r="AR125" s="123"/>
      <c r="AS125" s="123"/>
      <c r="AT125" s="123"/>
      <c r="AU125" s="123"/>
      <c r="AV125" s="123"/>
      <c r="AW125" s="123"/>
      <c r="BO125" s="54"/>
      <c r="BP125" s="54"/>
      <c r="BQ125" s="54"/>
      <c r="BR125" s="54"/>
      <c r="BS125" s="54"/>
      <c r="BT125" s="54"/>
      <c r="BW125" s="47"/>
      <c r="BX125" s="47" t="str">
        <f>E125</f>
        <v>Materials</v>
      </c>
      <c r="BY125" s="47">
        <f>IFERROR(VLOOKUP($E125,'Pre-Assessment Estimator'!$E$11:$AI$228,'Pre-Assessment Estimator'!AI$2,FALSE),"")</f>
        <v>0</v>
      </c>
      <c r="BZ125" s="47" t="str">
        <f t="shared" si="293"/>
        <v/>
      </c>
      <c r="CA125" s="47" t="str">
        <f t="shared" si="293"/>
        <v/>
      </c>
      <c r="CB125" s="47"/>
      <c r="CC125" t="str">
        <f>IFERROR(VLOOKUP($BX125,$E$294:$H$327,I$292,FALSE),"")</f>
        <v/>
      </c>
    </row>
    <row r="126" spans="1:85" x14ac:dyDescent="0.25">
      <c r="A126">
        <v>118</v>
      </c>
      <c r="B126" s="121" t="str">
        <f>D126</f>
        <v>Mat 01</v>
      </c>
      <c r="C126" s="121"/>
      <c r="D126" s="660" t="s">
        <v>167</v>
      </c>
      <c r="E126" s="661" t="s">
        <v>442</v>
      </c>
      <c r="F126" s="699">
        <f>SUM(F127:F129)</f>
        <v>5</v>
      </c>
      <c r="G126" s="699">
        <f t="shared" ref="G126:R126" si="294">SUM(G127:G129)</f>
        <v>5</v>
      </c>
      <c r="H126" s="699">
        <f t="shared" si="294"/>
        <v>5</v>
      </c>
      <c r="I126" s="699">
        <f t="shared" si="294"/>
        <v>5</v>
      </c>
      <c r="J126" s="699">
        <f t="shared" si="294"/>
        <v>5</v>
      </c>
      <c r="K126" s="699">
        <f t="shared" si="294"/>
        <v>5</v>
      </c>
      <c r="L126" s="699">
        <f t="shared" si="294"/>
        <v>5</v>
      </c>
      <c r="M126" s="699">
        <f t="shared" si="294"/>
        <v>5</v>
      </c>
      <c r="N126" s="699">
        <f t="shared" si="294"/>
        <v>5</v>
      </c>
      <c r="O126" s="699">
        <f t="shared" si="294"/>
        <v>5</v>
      </c>
      <c r="P126" s="699">
        <f t="shared" si="294"/>
        <v>5</v>
      </c>
      <c r="Q126" s="699">
        <f t="shared" ref="Q126" si="295">SUM(Q127:Q129)</f>
        <v>5</v>
      </c>
      <c r="R126" s="699">
        <f t="shared" si="294"/>
        <v>5</v>
      </c>
      <c r="T126" s="717">
        <f t="shared" ref="T126:T152" si="296">HLOOKUP($E$6,$F$9:$R$231,$A126,FALSE)</f>
        <v>5</v>
      </c>
      <c r="U126" s="191"/>
      <c r="V126" s="61"/>
      <c r="W126" s="61"/>
      <c r="X126" s="61">
        <f>'Manuell filtrering og justering'!E59</f>
        <v>0</v>
      </c>
      <c r="Y126" s="61"/>
      <c r="Z126" s="714">
        <f t="shared" ref="Z126" si="297">SUM(Z127:Z129)</f>
        <v>5</v>
      </c>
      <c r="AA126" s="719">
        <f t="shared" ref="AA126:AA151" si="298">IF(SUM(U126:Y126)&gt;T126,T126,SUM(U126:Y126))</f>
        <v>0</v>
      </c>
      <c r="AB126" s="793">
        <f>SUM(AB127:AB129)</f>
        <v>5</v>
      </c>
      <c r="AD126" s="150">
        <f t="shared" ref="AD126:AD151" si="299">(Mat_Weight/Mat_Credits)*AB126</f>
        <v>4.0476190476190485E-2</v>
      </c>
      <c r="AE126" s="687">
        <f>SUM(AE127:AE129)</f>
        <v>0</v>
      </c>
      <c r="AF126" s="687">
        <f t="shared" ref="AF126" si="300">SUM(AF127:AF129)</f>
        <v>0</v>
      </c>
      <c r="AG126" s="687">
        <f t="shared" ref="AG126" si="301">SUM(AG127:AG129)</f>
        <v>0</v>
      </c>
      <c r="AI126" s="714">
        <f t="shared" ref="AI126" si="302">SUM(AI127:AI129)</f>
        <v>0</v>
      </c>
      <c r="AJ126" s="714">
        <f t="shared" ref="AJ126" si="303">SUM(AJ127:AJ129)</f>
        <v>0</v>
      </c>
      <c r="AK126" s="714">
        <f t="shared" ref="AK126" si="304">SUM(AK127:AK129)</f>
        <v>0</v>
      </c>
      <c r="AM126" s="257"/>
      <c r="AN126" s="258"/>
      <c r="AO126" s="258"/>
      <c r="AP126" s="258"/>
      <c r="AQ126" s="259"/>
      <c r="AR126" s="123"/>
      <c r="AS126" s="257"/>
      <c r="AT126" s="258"/>
      <c r="AU126" s="258"/>
      <c r="AV126" s="258"/>
      <c r="AW126" s="259"/>
      <c r="AY126" s="189"/>
      <c r="AZ126" s="156"/>
      <c r="BA126" s="156"/>
      <c r="BB126" s="156"/>
      <c r="BC126" s="157"/>
      <c r="BD126" s="153">
        <f t="shared" ref="BD126:BD129" si="305">IF(BC126=0,9,IF(AI126&gt;=BC126,5,IF(AI126&gt;=BB126,4,IF(AI126&gt;=BA126,3,IF(AI126&gt;=AZ126,2,IF(AI126&lt;AY126,0,1))))))</f>
        <v>9</v>
      </c>
      <c r="BE126" s="45" t="str">
        <f t="shared" ref="BE126:BE151" si="306">VLOOKUP(BD126,$BO$285:$BT$291,6,FALSE)</f>
        <v>N/A</v>
      </c>
      <c r="BF126" s="157"/>
      <c r="BG126" s="153">
        <f t="shared" ref="BG126:BG133" si="307">IF(BC126=0,9,IF(AJ126&gt;=BC126,5,IF(AJ126&gt;=BB126,4,IF(AJ126&gt;=BA126,3,IF(AJ126&gt;=AZ126,2,IF(AJ126&lt;AY126,0,1))))))</f>
        <v>9</v>
      </c>
      <c r="BH126" s="45" t="str">
        <f t="shared" ref="BH126:BH151" si="308">VLOOKUP(BG126,$BO$285:$BT$291,6,FALSE)</f>
        <v>N/A</v>
      </c>
      <c r="BI126" s="157"/>
      <c r="BJ126" s="153">
        <f t="shared" si="27"/>
        <v>9</v>
      </c>
      <c r="BK126" s="45" t="str">
        <f t="shared" ref="BK126:BK151" si="309">VLOOKUP(BJ126,$BO$285:$BT$291,6,FALSE)</f>
        <v>N/A</v>
      </c>
      <c r="BL126" s="157"/>
      <c r="BO126" s="43"/>
      <c r="BP126" s="43"/>
      <c r="BQ126" s="43" t="str">
        <f t="shared" si="156"/>
        <v/>
      </c>
      <c r="BR126" s="43">
        <f t="shared" si="196"/>
        <v>9</v>
      </c>
      <c r="BS126" s="43">
        <f t="shared" si="197"/>
        <v>9</v>
      </c>
      <c r="BT126" s="43">
        <f t="shared" si="198"/>
        <v>9</v>
      </c>
      <c r="BW126" s="45" t="str">
        <f>D126</f>
        <v>Mat 01</v>
      </c>
      <c r="BX126" s="45" t="str">
        <f>IFERROR(VLOOKUP($E126,'Pre-Assessment Estimator'!$E$11:$AB$228,'Pre-Assessment Estimator'!AB$2,FALSE),"")</f>
        <v>N/A</v>
      </c>
      <c r="BY126" s="45">
        <f>IFERROR(VLOOKUP($E126,'Pre-Assessment Estimator'!$E$11:$AI$228,'Pre-Assessment Estimator'!AI$2,FALSE),"")</f>
        <v>0</v>
      </c>
      <c r="BZ126" s="45">
        <f t="shared" si="293"/>
        <v>1</v>
      </c>
      <c r="CA126" s="45">
        <f t="shared" si="293"/>
        <v>0</v>
      </c>
      <c r="CB126" s="45"/>
      <c r="CC126" t="s">
        <v>409</v>
      </c>
    </row>
    <row r="127" spans="1:85" x14ac:dyDescent="0.25">
      <c r="A127">
        <v>119</v>
      </c>
      <c r="B127" s="121"/>
      <c r="C127" s="121"/>
      <c r="D127" s="146" t="s">
        <v>673</v>
      </c>
      <c r="E127" s="705" t="s">
        <v>626</v>
      </c>
      <c r="F127" s="582"/>
      <c r="G127" s="582"/>
      <c r="H127" s="582"/>
      <c r="I127" s="582"/>
      <c r="J127" s="582"/>
      <c r="K127" s="582"/>
      <c r="L127" s="582"/>
      <c r="M127" s="582"/>
      <c r="N127" s="582"/>
      <c r="O127" s="582"/>
      <c r="P127" s="582"/>
      <c r="Q127" s="582"/>
      <c r="R127" s="582"/>
      <c r="T127" s="148">
        <f t="shared" si="296"/>
        <v>0</v>
      </c>
      <c r="U127" s="146"/>
      <c r="V127" s="43"/>
      <c r="W127" s="43"/>
      <c r="X127" s="43"/>
      <c r="Y127" s="147"/>
      <c r="Z127" s="147"/>
      <c r="AA127" s="148">
        <f t="shared" si="298"/>
        <v>0</v>
      </c>
      <c r="AB127" s="149">
        <f>IF($AC$5='Manuell filtrering og justering'!$J$2,Z127,(T127-AA127))</f>
        <v>0</v>
      </c>
      <c r="AD127" s="150">
        <f t="shared" si="299"/>
        <v>0</v>
      </c>
      <c r="AE127" s="150">
        <f t="shared" ref="AE127:AE151" si="310">IF(AB127=0,0,(AD127/AB127)*AI127)</f>
        <v>0</v>
      </c>
      <c r="AF127" s="150">
        <f t="shared" ref="AF127:AF151" si="311">IF(AB127=0,0,(AD127/AB127)*AJ127)</f>
        <v>0</v>
      </c>
      <c r="AG127" s="150">
        <f t="shared" ref="AG127:AG151" si="312">IF(AB127=0,0,(AD127/AB127)*AK127)</f>
        <v>0</v>
      </c>
      <c r="AI127" s="151">
        <f>IF(VLOOKUP(E127,'Pre-Assessment Estimator'!$E$11:$Z$228,'Pre-Assessment Estimator'!$G$2,FALSE)&gt;AB127,AB127,VLOOKUP(E127,'Pre-Assessment Estimator'!$E$11:$Z$228,'Pre-Assessment Estimator'!$G$2,FALSE))</f>
        <v>0</v>
      </c>
      <c r="AJ127" s="151">
        <f>IF(VLOOKUP(E127,'Pre-Assessment Estimator'!$E$11:$Z$228,'Pre-Assessment Estimator'!$N$2,FALSE)&gt;AB127,AB127,VLOOKUP(E127,'Pre-Assessment Estimator'!$E$11:$Z$228,'Pre-Assessment Estimator'!$N$2,FALSE))</f>
        <v>0</v>
      </c>
      <c r="AK127" s="151">
        <f>IF(VLOOKUP(E127,'Pre-Assessment Estimator'!$E$11:$Z$228,'Pre-Assessment Estimator'!$U$2,FALSE)&gt;AB127,AB127,VLOOKUP(E127,'Pre-Assessment Estimator'!$E$11:$Z$228,'Pre-Assessment Estimator'!$U$2,FALSE))</f>
        <v>0</v>
      </c>
      <c r="AM127" s="639"/>
      <c r="AN127" s="640"/>
      <c r="AO127" s="640"/>
      <c r="AP127" s="640"/>
      <c r="AQ127" s="641"/>
      <c r="AR127" s="123"/>
      <c r="AS127" s="639"/>
      <c r="AT127" s="640"/>
      <c r="AU127" s="640"/>
      <c r="AV127" s="640"/>
      <c r="AW127" s="641"/>
      <c r="AY127" s="144"/>
      <c r="AZ127" s="45"/>
      <c r="BA127" s="45"/>
      <c r="BB127" s="45"/>
      <c r="BC127" s="634"/>
      <c r="BD127" s="160">
        <f t="shared" si="305"/>
        <v>9</v>
      </c>
      <c r="BE127" s="45" t="str">
        <f t="shared" si="306"/>
        <v>N/A</v>
      </c>
      <c r="BF127" s="163"/>
      <c r="BG127" s="160">
        <f t="shared" ref="BG127:BG129" si="313">IF(BC127=0,9,IF(AJ127&gt;=BC127,5,IF(AJ127&gt;=BB127,4,IF(AJ127&gt;=BA127,3,IF(AJ127&gt;=AZ127,2,IF(AJ127&lt;AY127,0,1))))))</f>
        <v>9</v>
      </c>
      <c r="BH127" s="45" t="str">
        <f t="shared" si="308"/>
        <v>N/A</v>
      </c>
      <c r="BI127" s="163"/>
      <c r="BJ127" s="160">
        <f t="shared" si="27"/>
        <v>9</v>
      </c>
      <c r="BK127" s="45" t="str">
        <f t="shared" si="309"/>
        <v>N/A</v>
      </c>
      <c r="BL127" s="634"/>
      <c r="BO127" s="43"/>
      <c r="BP127" s="43"/>
      <c r="BQ127" s="43" t="str">
        <f t="shared" si="156"/>
        <v/>
      </c>
      <c r="BR127" s="43">
        <f t="shared" si="196"/>
        <v>9</v>
      </c>
      <c r="BS127" s="43">
        <f t="shared" si="197"/>
        <v>9</v>
      </c>
      <c r="BT127" s="43">
        <f t="shared" si="198"/>
        <v>9</v>
      </c>
      <c r="BW127" s="45"/>
      <c r="BX127" s="45"/>
      <c r="BY127" s="45"/>
      <c r="BZ127" s="45"/>
      <c r="CA127" s="45"/>
      <c r="CB127" s="45"/>
    </row>
    <row r="128" spans="1:85" x14ac:dyDescent="0.25">
      <c r="A128">
        <v>120</v>
      </c>
      <c r="B128" t="str">
        <f t="shared" ref="B128:B129" si="314">$D$126&amp;D128</f>
        <v>Mat 01b</v>
      </c>
      <c r="D128" s="146" t="s">
        <v>676</v>
      </c>
      <c r="E128" s="840" t="s">
        <v>627</v>
      </c>
      <c r="F128" s="582">
        <v>3</v>
      </c>
      <c r="G128" s="582">
        <v>3</v>
      </c>
      <c r="H128" s="582">
        <v>3</v>
      </c>
      <c r="I128" s="582">
        <v>3</v>
      </c>
      <c r="J128" s="582">
        <v>3</v>
      </c>
      <c r="K128" s="582">
        <v>3</v>
      </c>
      <c r="L128" s="582">
        <v>3</v>
      </c>
      <c r="M128" s="582">
        <v>3</v>
      </c>
      <c r="N128" s="582">
        <v>3</v>
      </c>
      <c r="O128" s="582">
        <v>3</v>
      </c>
      <c r="P128" s="582">
        <v>3</v>
      </c>
      <c r="Q128" s="582">
        <v>3</v>
      </c>
      <c r="R128" s="582">
        <v>3</v>
      </c>
      <c r="T128" s="148">
        <f t="shared" si="296"/>
        <v>3</v>
      </c>
      <c r="U128" s="146"/>
      <c r="V128" s="43"/>
      <c r="W128" s="43"/>
      <c r="X128" s="43"/>
      <c r="Y128" s="147"/>
      <c r="Z128" s="147">
        <f>VLOOKUP(B128,'Manuell filtrering og justering'!$A$7:$H$253,'Manuell filtrering og justering'!$H$1,FALSE)</f>
        <v>3</v>
      </c>
      <c r="AA128" s="148">
        <f t="shared" si="298"/>
        <v>0</v>
      </c>
      <c r="AB128" s="149">
        <f>IF($AC$5='Manuell filtrering og justering'!$J$2,Z128,(T128-AA128))</f>
        <v>3</v>
      </c>
      <c r="AD128" s="150">
        <f t="shared" si="299"/>
        <v>2.4285714285714289E-2</v>
      </c>
      <c r="AE128" s="150">
        <f t="shared" si="310"/>
        <v>0</v>
      </c>
      <c r="AF128" s="150">
        <f t="shared" si="311"/>
        <v>0</v>
      </c>
      <c r="AG128" s="150">
        <f t="shared" si="312"/>
        <v>0</v>
      </c>
      <c r="AI128" s="151">
        <f>IF(VLOOKUP(E128,'Pre-Assessment Estimator'!$E$11:$Z$228,'Pre-Assessment Estimator'!$G$2,FALSE)&gt;AB128,AB128,VLOOKUP(E128,'Pre-Assessment Estimator'!$E$11:$Z$228,'Pre-Assessment Estimator'!$G$2,FALSE))</f>
        <v>0</v>
      </c>
      <c r="AJ128" s="151">
        <f>IF(VLOOKUP(E128,'Pre-Assessment Estimator'!$E$11:$Z$228,'Pre-Assessment Estimator'!$N$2,FALSE)&gt;AB128,AB128,VLOOKUP(E128,'Pre-Assessment Estimator'!$E$11:$Z$228,'Pre-Assessment Estimator'!$N$2,FALSE))</f>
        <v>0</v>
      </c>
      <c r="AK128" s="151">
        <f>IF(VLOOKUP(E128,'Pre-Assessment Estimator'!$E$11:$Z$228,'Pre-Assessment Estimator'!$U$2,FALSE)&gt;AB128,AB128,VLOOKUP(E128,'Pre-Assessment Estimator'!$E$11:$Z$228,'Pre-Assessment Estimator'!$U$2,FALSE))</f>
        <v>0</v>
      </c>
      <c r="AM128" s="639"/>
      <c r="AN128" s="640"/>
      <c r="AO128" s="640">
        <v>1</v>
      </c>
      <c r="AP128" s="640">
        <v>1</v>
      </c>
      <c r="AQ128" s="641">
        <v>2</v>
      </c>
      <c r="AR128" s="123"/>
      <c r="AS128" s="639"/>
      <c r="AT128" s="640"/>
      <c r="AU128" s="640">
        <v>1</v>
      </c>
      <c r="AV128" s="640">
        <v>1</v>
      </c>
      <c r="AW128" s="641">
        <v>2</v>
      </c>
      <c r="AY128" s="144"/>
      <c r="AZ128" s="45"/>
      <c r="BA128" s="161">
        <f>IF($AB128=0,0,IF($E$6=$H$9,AU128,AO128))</f>
        <v>1</v>
      </c>
      <c r="BB128" s="161">
        <f>IF($AB128=0,0,IF($E$6=$H$9,AV128,AP128))</f>
        <v>1</v>
      </c>
      <c r="BC128" s="161">
        <f>IF($AB128=0,0,IF($E$6=$H$9,AW128,AQ128))</f>
        <v>2</v>
      </c>
      <c r="BD128" s="160">
        <f t="shared" si="305"/>
        <v>2</v>
      </c>
      <c r="BE128" s="45" t="str">
        <f t="shared" si="306"/>
        <v>Good</v>
      </c>
      <c r="BF128" s="163"/>
      <c r="BG128" s="160">
        <f t="shared" si="313"/>
        <v>2</v>
      </c>
      <c r="BH128" s="45" t="str">
        <f t="shared" si="308"/>
        <v>Good</v>
      </c>
      <c r="BI128" s="163"/>
      <c r="BJ128" s="160">
        <f t="shared" si="27"/>
        <v>2</v>
      </c>
      <c r="BK128" s="45" t="str">
        <f t="shared" si="309"/>
        <v>Good</v>
      </c>
      <c r="BL128" s="634"/>
      <c r="BO128" s="43"/>
      <c r="BP128" s="43"/>
      <c r="BQ128" s="43" t="str">
        <f t="shared" si="156"/>
        <v/>
      </c>
      <c r="BR128" s="43">
        <f t="shared" si="196"/>
        <v>9</v>
      </c>
      <c r="BS128" s="43">
        <f t="shared" si="197"/>
        <v>9</v>
      </c>
      <c r="BT128" s="43">
        <f t="shared" si="198"/>
        <v>9</v>
      </c>
      <c r="BW128" s="45"/>
      <c r="BX128" s="45"/>
      <c r="BY128" s="45"/>
      <c r="BZ128" s="45"/>
      <c r="CA128" s="45"/>
      <c r="CB128" s="45"/>
    </row>
    <row r="129" spans="1:85" x14ac:dyDescent="0.25">
      <c r="A129">
        <v>121</v>
      </c>
      <c r="B129" t="str">
        <f t="shared" si="314"/>
        <v>Mat 01c</v>
      </c>
      <c r="D129" s="146" t="s">
        <v>677</v>
      </c>
      <c r="E129" s="840" t="s">
        <v>628</v>
      </c>
      <c r="F129" s="582">
        <v>2</v>
      </c>
      <c r="G129" s="582">
        <v>2</v>
      </c>
      <c r="H129" s="582">
        <v>2</v>
      </c>
      <c r="I129" s="582">
        <v>2</v>
      </c>
      <c r="J129" s="582">
        <v>2</v>
      </c>
      <c r="K129" s="582">
        <v>2</v>
      </c>
      <c r="L129" s="582">
        <v>2</v>
      </c>
      <c r="M129" s="582">
        <v>2</v>
      </c>
      <c r="N129" s="582">
        <v>2</v>
      </c>
      <c r="O129" s="582">
        <v>2</v>
      </c>
      <c r="P129" s="582">
        <v>2</v>
      </c>
      <c r="Q129" s="582">
        <v>2</v>
      </c>
      <c r="R129" s="582">
        <v>2</v>
      </c>
      <c r="T129" s="148">
        <f t="shared" si="296"/>
        <v>2</v>
      </c>
      <c r="U129" s="146"/>
      <c r="V129" s="43"/>
      <c r="W129" s="43"/>
      <c r="X129" s="43"/>
      <c r="Y129" s="147"/>
      <c r="Z129" s="147">
        <f>VLOOKUP(B129,'Manuell filtrering og justering'!$A$7:$H$253,'Manuell filtrering og justering'!$H$1,FALSE)</f>
        <v>2</v>
      </c>
      <c r="AA129" s="148">
        <f t="shared" si="298"/>
        <v>0</v>
      </c>
      <c r="AB129" s="149">
        <f>IF($AC$5='Manuell filtrering og justering'!$J$2,Z129,(T129-AA129))</f>
        <v>2</v>
      </c>
      <c r="AD129" s="150">
        <f t="shared" si="299"/>
        <v>1.6190476190476193E-2</v>
      </c>
      <c r="AE129" s="150">
        <f t="shared" si="310"/>
        <v>0</v>
      </c>
      <c r="AF129" s="150">
        <f t="shared" si="311"/>
        <v>0</v>
      </c>
      <c r="AG129" s="150">
        <f t="shared" si="312"/>
        <v>0</v>
      </c>
      <c r="AI129" s="151">
        <f>IF(VLOOKUP(E129,'Pre-Assessment Estimator'!$E$11:$Z$228,'Pre-Assessment Estimator'!$G$2,FALSE)&gt;AB129,AB129,VLOOKUP(E129,'Pre-Assessment Estimator'!$E$11:$Z$228,'Pre-Assessment Estimator'!$G$2,FALSE))</f>
        <v>0</v>
      </c>
      <c r="AJ129" s="151">
        <f>IF(VLOOKUP(E129,'Pre-Assessment Estimator'!$E$11:$Z$228,'Pre-Assessment Estimator'!$N$2,FALSE)&gt;AB129,AB129,VLOOKUP(E129,'Pre-Assessment Estimator'!$E$11:$Z$228,'Pre-Assessment Estimator'!$N$2,FALSE))</f>
        <v>0</v>
      </c>
      <c r="AK129" s="151">
        <f>IF(VLOOKUP(E129,'Pre-Assessment Estimator'!$E$11:$Z$228,'Pre-Assessment Estimator'!$U$2,FALSE)&gt;AB129,AB129,VLOOKUP(E129,'Pre-Assessment Estimator'!$E$11:$Z$228,'Pre-Assessment Estimator'!$U$2,FALSE))</f>
        <v>0</v>
      </c>
      <c r="AM129" s="639"/>
      <c r="AN129" s="640"/>
      <c r="AO129" s="640"/>
      <c r="AP129" s="640"/>
      <c r="AQ129" s="641"/>
      <c r="AR129" s="123"/>
      <c r="AS129" s="639"/>
      <c r="AT129" s="640"/>
      <c r="AU129" s="640"/>
      <c r="AV129" s="640"/>
      <c r="AW129" s="641"/>
      <c r="AY129" s="144"/>
      <c r="AZ129" s="45"/>
      <c r="BA129" s="45"/>
      <c r="BB129" s="45"/>
      <c r="BC129" s="634"/>
      <c r="BD129" s="160">
        <f t="shared" si="305"/>
        <v>9</v>
      </c>
      <c r="BE129" s="45" t="str">
        <f t="shared" si="306"/>
        <v>N/A</v>
      </c>
      <c r="BF129" s="163"/>
      <c r="BG129" s="160">
        <f t="shared" si="313"/>
        <v>9</v>
      </c>
      <c r="BH129" s="45" t="str">
        <f t="shared" si="308"/>
        <v>N/A</v>
      </c>
      <c r="BI129" s="163"/>
      <c r="BJ129" s="160">
        <f t="shared" si="27"/>
        <v>9</v>
      </c>
      <c r="BK129" s="45" t="str">
        <f t="shared" si="309"/>
        <v>N/A</v>
      </c>
      <c r="BL129" s="634"/>
      <c r="BO129" s="43"/>
      <c r="BP129" s="43"/>
      <c r="BQ129" s="43" t="str">
        <f t="shared" si="156"/>
        <v/>
      </c>
      <c r="BR129" s="43">
        <f t="shared" si="196"/>
        <v>9</v>
      </c>
      <c r="BS129" s="43">
        <f t="shared" si="197"/>
        <v>9</v>
      </c>
      <c r="BT129" s="43">
        <f t="shared" si="198"/>
        <v>9</v>
      </c>
      <c r="BW129" s="45"/>
      <c r="BX129" s="45"/>
      <c r="BY129" s="45"/>
      <c r="BZ129" s="45"/>
      <c r="CA129" s="45"/>
      <c r="CB129" s="45"/>
    </row>
    <row r="130" spans="1:85" x14ac:dyDescent="0.25">
      <c r="A130">
        <v>122</v>
      </c>
      <c r="B130" s="121" t="str">
        <f>D130</f>
        <v>Mat 02</v>
      </c>
      <c r="C130" s="121"/>
      <c r="D130" s="638" t="s">
        <v>457</v>
      </c>
      <c r="E130" s="636" t="s">
        <v>933</v>
      </c>
      <c r="F130" s="699">
        <f>SUM(F131:F133)</f>
        <v>3</v>
      </c>
      <c r="G130" s="699">
        <f t="shared" ref="G130:R130" si="315">SUM(G131:G133)</f>
        <v>3</v>
      </c>
      <c r="H130" s="699">
        <f t="shared" si="315"/>
        <v>3</v>
      </c>
      <c r="I130" s="699">
        <f t="shared" si="315"/>
        <v>3</v>
      </c>
      <c r="J130" s="699">
        <f t="shared" si="315"/>
        <v>3</v>
      </c>
      <c r="K130" s="699">
        <f t="shared" si="315"/>
        <v>3</v>
      </c>
      <c r="L130" s="699">
        <f t="shared" si="315"/>
        <v>3</v>
      </c>
      <c r="M130" s="699">
        <f t="shared" si="315"/>
        <v>3</v>
      </c>
      <c r="N130" s="699">
        <f t="shared" si="315"/>
        <v>3</v>
      </c>
      <c r="O130" s="699">
        <f t="shared" si="315"/>
        <v>3</v>
      </c>
      <c r="P130" s="699">
        <f t="shared" si="315"/>
        <v>3</v>
      </c>
      <c r="Q130" s="699">
        <f t="shared" ref="Q130" si="316">SUM(Q131:Q133)</f>
        <v>3</v>
      </c>
      <c r="R130" s="699">
        <f t="shared" si="315"/>
        <v>3</v>
      </c>
      <c r="T130" s="719">
        <f t="shared" si="296"/>
        <v>3</v>
      </c>
      <c r="U130" s="191"/>
      <c r="V130" s="61"/>
      <c r="W130" s="61"/>
      <c r="X130" s="61">
        <f>'Manuell filtrering og justering'!E60</f>
        <v>0</v>
      </c>
      <c r="Y130" s="61"/>
      <c r="Z130" s="714">
        <f t="shared" ref="Z130" si="317">SUM(Z131:Z133)</f>
        <v>2</v>
      </c>
      <c r="AA130" s="719">
        <f t="shared" si="298"/>
        <v>0</v>
      </c>
      <c r="AB130" s="793">
        <f>SUM(AB131:AB133)</f>
        <v>3</v>
      </c>
      <c r="AD130" s="150">
        <f t="shared" si="299"/>
        <v>2.4285714285714289E-2</v>
      </c>
      <c r="AE130" s="687">
        <f>SUM(AE131:AE133)</f>
        <v>0</v>
      </c>
      <c r="AF130" s="687">
        <f t="shared" ref="AF130" si="318">SUM(AF131:AF133)</f>
        <v>0</v>
      </c>
      <c r="AG130" s="687">
        <f t="shared" ref="AG130" si="319">SUM(AG131:AG133)</f>
        <v>0</v>
      </c>
      <c r="AI130" s="714">
        <f t="shared" ref="AI130" si="320">SUM(AI131:AI133)</f>
        <v>0</v>
      </c>
      <c r="AJ130" s="714">
        <f t="shared" ref="AJ130" si="321">SUM(AJ131:AJ133)</f>
        <v>0</v>
      </c>
      <c r="AK130" s="714">
        <f t="shared" ref="AK130" si="322">SUM(AK131:AK133)</f>
        <v>0</v>
      </c>
      <c r="AM130" s="251"/>
      <c r="AN130" s="252"/>
      <c r="AO130" s="252"/>
      <c r="AP130" s="252"/>
      <c r="AQ130" s="253"/>
      <c r="AR130" s="123"/>
      <c r="AS130" s="251"/>
      <c r="AT130" s="252"/>
      <c r="AU130" s="252"/>
      <c r="AV130" s="252"/>
      <c r="AW130" s="253"/>
      <c r="AY130" s="144"/>
      <c r="AZ130" s="45"/>
      <c r="BA130" s="45"/>
      <c r="BB130" s="45"/>
      <c r="BC130" s="163"/>
      <c r="BD130" s="160">
        <f t="shared" ref="BD130:BD133" si="323">IF(BC130=0,9,IF(AI130&gt;=BC130,5,IF(AI130&gt;=BB130,4,IF(AI130&gt;=BA130,3,IF(AI130&gt;=AZ130,2,IF(AI130&lt;AY130,0,1))))))</f>
        <v>9</v>
      </c>
      <c r="BE130" s="45" t="str">
        <f t="shared" si="306"/>
        <v>N/A</v>
      </c>
      <c r="BF130" s="163"/>
      <c r="BG130" s="160">
        <f t="shared" si="307"/>
        <v>9</v>
      </c>
      <c r="BH130" s="45" t="str">
        <f t="shared" si="308"/>
        <v>N/A</v>
      </c>
      <c r="BI130" s="163"/>
      <c r="BJ130" s="160">
        <f t="shared" ref="BJ130:BJ133" si="324">IF(BC130=0,9,IF(AK130&gt;=BC130,5,IF(AK130&gt;=BB130,4,IF(AK130&gt;=BA130,3,IF(AK130&gt;=AZ130,2,IF(AK130&lt;AY130,0,1))))))</f>
        <v>9</v>
      </c>
      <c r="BK130" s="45" t="str">
        <f t="shared" si="309"/>
        <v>N/A</v>
      </c>
      <c r="BL130" s="163"/>
      <c r="BO130" s="43"/>
      <c r="BP130" s="43"/>
      <c r="BQ130" s="43" t="str">
        <f t="shared" si="156"/>
        <v/>
      </c>
      <c r="BR130" s="43">
        <f t="shared" si="196"/>
        <v>9</v>
      </c>
      <c r="BS130" s="43">
        <f t="shared" si="197"/>
        <v>9</v>
      </c>
      <c r="BT130" s="43">
        <f t="shared" si="198"/>
        <v>9</v>
      </c>
      <c r="BW130" s="45"/>
      <c r="BX130" s="45"/>
      <c r="BY130" s="45"/>
      <c r="BZ130" s="45"/>
      <c r="CA130" s="45"/>
      <c r="CB130" s="45"/>
    </row>
    <row r="131" spans="1:85" x14ac:dyDescent="0.25">
      <c r="A131">
        <v>123</v>
      </c>
      <c r="B131" s="121"/>
      <c r="C131" s="121"/>
      <c r="D131" s="146" t="s">
        <v>673</v>
      </c>
      <c r="E131" s="705" t="s">
        <v>1815</v>
      </c>
      <c r="F131" s="582"/>
      <c r="G131" s="582"/>
      <c r="H131" s="582"/>
      <c r="I131" s="582"/>
      <c r="J131" s="582"/>
      <c r="K131" s="582"/>
      <c r="L131" s="582"/>
      <c r="M131" s="582"/>
      <c r="N131" s="582"/>
      <c r="O131" s="582"/>
      <c r="P131" s="582"/>
      <c r="Q131" s="582"/>
      <c r="R131" s="582"/>
      <c r="T131" s="148">
        <f t="shared" si="296"/>
        <v>0</v>
      </c>
      <c r="U131" s="146"/>
      <c r="V131" s="43"/>
      <c r="W131" s="43"/>
      <c r="X131" s="43"/>
      <c r="Y131" s="147"/>
      <c r="Z131" s="147"/>
      <c r="AA131" s="148">
        <f t="shared" si="298"/>
        <v>0</v>
      </c>
      <c r="AB131" s="149">
        <f>IF($AC$5='Manuell filtrering og justering'!$J$2,Z131,(T131-AA131))</f>
        <v>0</v>
      </c>
      <c r="AD131" s="150">
        <f t="shared" si="299"/>
        <v>0</v>
      </c>
      <c r="AE131" s="150">
        <f t="shared" si="310"/>
        <v>0</v>
      </c>
      <c r="AF131" s="150">
        <f t="shared" si="311"/>
        <v>0</v>
      </c>
      <c r="AG131" s="150">
        <f t="shared" si="312"/>
        <v>0</v>
      </c>
      <c r="AI131" s="151">
        <f>IF(VLOOKUP(E131,'Pre-Assessment Estimator'!$E$11:$Z$228,'Pre-Assessment Estimator'!$G$2,FALSE)&gt;AB131,AB131,VLOOKUP(E131,'Pre-Assessment Estimator'!$E$11:$Z$228,'Pre-Assessment Estimator'!$G$2,FALSE))</f>
        <v>0</v>
      </c>
      <c r="AJ131" s="151">
        <f>IF(VLOOKUP(E131,'Pre-Assessment Estimator'!$E$11:$Z$228,'Pre-Assessment Estimator'!$N$2,FALSE)&gt;AB131,AB131,VLOOKUP(E131,'Pre-Assessment Estimator'!$E$11:$Z$228,'Pre-Assessment Estimator'!$N$2,FALSE))</f>
        <v>0</v>
      </c>
      <c r="AK131" s="151">
        <f>IF(VLOOKUP(E131,'Pre-Assessment Estimator'!$E$11:$Z$228,'Pre-Assessment Estimator'!$U$2,FALSE)&gt;AB131,AB131,VLOOKUP(E131,'Pre-Assessment Estimator'!$E$11:$Z$228,'Pre-Assessment Estimator'!$U$2,FALSE))</f>
        <v>0</v>
      </c>
      <c r="AM131" s="251"/>
      <c r="AN131" s="252"/>
      <c r="AO131" s="252"/>
      <c r="AP131" s="252"/>
      <c r="AQ131" s="253"/>
      <c r="AR131" s="123"/>
      <c r="AS131" s="251"/>
      <c r="AT131" s="252"/>
      <c r="AU131" s="252"/>
      <c r="AV131" s="252"/>
      <c r="AW131" s="253"/>
      <c r="AY131" s="144"/>
      <c r="AZ131" s="45"/>
      <c r="BA131" s="45"/>
      <c r="BB131" s="45"/>
      <c r="BC131" s="163"/>
      <c r="BD131" s="160">
        <f t="shared" si="323"/>
        <v>9</v>
      </c>
      <c r="BE131" s="45" t="str">
        <f t="shared" si="306"/>
        <v>N/A</v>
      </c>
      <c r="BF131" s="163"/>
      <c r="BG131" s="160">
        <f t="shared" si="307"/>
        <v>9</v>
      </c>
      <c r="BH131" s="45" t="str">
        <f t="shared" si="308"/>
        <v>N/A</v>
      </c>
      <c r="BI131" s="163"/>
      <c r="BJ131" s="160">
        <f t="shared" si="324"/>
        <v>9</v>
      </c>
      <c r="BK131" s="45" t="str">
        <f t="shared" si="309"/>
        <v>N/A</v>
      </c>
      <c r="BL131" s="163"/>
      <c r="BO131" s="43"/>
      <c r="BP131" s="43"/>
      <c r="BQ131" s="43" t="str">
        <f t="shared" si="156"/>
        <v/>
      </c>
      <c r="BR131" s="43">
        <f t="shared" si="196"/>
        <v>9</v>
      </c>
      <c r="BS131" s="43">
        <f t="shared" si="197"/>
        <v>9</v>
      </c>
      <c r="BT131" s="43">
        <f t="shared" si="198"/>
        <v>9</v>
      </c>
      <c r="BW131" s="45"/>
      <c r="BX131" s="45"/>
      <c r="BY131" s="45"/>
      <c r="BZ131" s="45"/>
      <c r="CA131" s="45"/>
      <c r="CB131" s="45"/>
    </row>
    <row r="132" spans="1:85" x14ac:dyDescent="0.25">
      <c r="A132">
        <v>124</v>
      </c>
      <c r="B132" t="str">
        <f t="shared" ref="B132:B133" si="325">$D$130&amp;D132</f>
        <v>Mat 02b</v>
      </c>
      <c r="D132" s="146" t="s">
        <v>676</v>
      </c>
      <c r="E132" s="840" t="s">
        <v>630</v>
      </c>
      <c r="F132" s="582">
        <v>1</v>
      </c>
      <c r="G132" s="582">
        <v>1</v>
      </c>
      <c r="H132" s="582">
        <v>1</v>
      </c>
      <c r="I132" s="582">
        <v>1</v>
      </c>
      <c r="J132" s="582">
        <v>1</v>
      </c>
      <c r="K132" s="582">
        <v>1</v>
      </c>
      <c r="L132" s="582">
        <v>1</v>
      </c>
      <c r="M132" s="582">
        <v>1</v>
      </c>
      <c r="N132" s="582">
        <v>1</v>
      </c>
      <c r="O132" s="582">
        <v>1</v>
      </c>
      <c r="P132" s="582">
        <v>1</v>
      </c>
      <c r="Q132" s="582">
        <v>1</v>
      </c>
      <c r="R132" s="582">
        <v>1</v>
      </c>
      <c r="T132" s="148">
        <f t="shared" si="296"/>
        <v>1</v>
      </c>
      <c r="U132" s="146"/>
      <c r="V132" s="43"/>
      <c r="W132" s="43"/>
      <c r="X132" s="43"/>
      <c r="Y132" s="147"/>
      <c r="Z132" s="147">
        <f>VLOOKUP(B132,'Manuell filtrering og justering'!$A$7:$H$253,'Manuell filtrering og justering'!$H$1,FALSE)</f>
        <v>1</v>
      </c>
      <c r="AA132" s="148">
        <f t="shared" si="298"/>
        <v>0</v>
      </c>
      <c r="AB132" s="149">
        <f>IF($AC$5='Manuell filtrering og justering'!$J$2,Z132,(T132-AA132))</f>
        <v>1</v>
      </c>
      <c r="AD132" s="150">
        <f t="shared" si="299"/>
        <v>8.0952380952380963E-3</v>
      </c>
      <c r="AE132" s="150">
        <f t="shared" si="310"/>
        <v>0</v>
      </c>
      <c r="AF132" s="150">
        <f t="shared" si="311"/>
        <v>0</v>
      </c>
      <c r="AG132" s="150">
        <f t="shared" si="312"/>
        <v>0</v>
      </c>
      <c r="AI132" s="151">
        <f>IF(VLOOKUP(E132,'Pre-Assessment Estimator'!$E$11:$Z$228,'Pre-Assessment Estimator'!$G$2,FALSE)&gt;AB132,AB132,VLOOKUP(E132,'Pre-Assessment Estimator'!$E$11:$Z$228,'Pre-Assessment Estimator'!$G$2,FALSE))</f>
        <v>0</v>
      </c>
      <c r="AJ132" s="151">
        <f>IF(VLOOKUP(E132,'Pre-Assessment Estimator'!$E$11:$Z$228,'Pre-Assessment Estimator'!$N$2,FALSE)&gt;AB132,AB132,VLOOKUP(E132,'Pre-Assessment Estimator'!$E$11:$Z$228,'Pre-Assessment Estimator'!$N$2,FALSE))</f>
        <v>0</v>
      </c>
      <c r="AK132" s="151">
        <f>IF(VLOOKUP(E132,'Pre-Assessment Estimator'!$E$11:$Z$228,'Pre-Assessment Estimator'!$U$2,FALSE)&gt;AB132,AB132,VLOOKUP(E132,'Pre-Assessment Estimator'!$E$11:$Z$228,'Pre-Assessment Estimator'!$U$2,FALSE))</f>
        <v>0</v>
      </c>
      <c r="AM132" s="251"/>
      <c r="AN132" s="252"/>
      <c r="AO132" s="252"/>
      <c r="AP132" s="252"/>
      <c r="AQ132" s="253"/>
      <c r="AR132" s="123"/>
      <c r="AS132" s="251"/>
      <c r="AT132" s="252"/>
      <c r="AU132" s="252"/>
      <c r="AV132" s="252"/>
      <c r="AW132" s="253"/>
      <c r="AY132" s="144"/>
      <c r="AZ132" s="45"/>
      <c r="BA132" s="45"/>
      <c r="BB132" s="45"/>
      <c r="BC132" s="163"/>
      <c r="BD132" s="160">
        <f t="shared" si="323"/>
        <v>9</v>
      </c>
      <c r="BE132" s="45" t="str">
        <f t="shared" si="306"/>
        <v>N/A</v>
      </c>
      <c r="BF132" s="163"/>
      <c r="BG132" s="160">
        <f t="shared" si="307"/>
        <v>9</v>
      </c>
      <c r="BH132" s="45" t="str">
        <f t="shared" si="308"/>
        <v>N/A</v>
      </c>
      <c r="BI132" s="163"/>
      <c r="BJ132" s="160">
        <f t="shared" si="324"/>
        <v>9</v>
      </c>
      <c r="BK132" s="45" t="str">
        <f t="shared" si="309"/>
        <v>N/A</v>
      </c>
      <c r="BL132" s="163"/>
      <c r="BO132" s="43"/>
      <c r="BP132" s="43"/>
      <c r="BQ132" s="43" t="str">
        <f t="shared" si="156"/>
        <v/>
      </c>
      <c r="BR132" s="43">
        <f t="shared" si="196"/>
        <v>9</v>
      </c>
      <c r="BS132" s="43">
        <f t="shared" si="197"/>
        <v>9</v>
      </c>
      <c r="BT132" s="43">
        <f t="shared" si="198"/>
        <v>9</v>
      </c>
      <c r="BW132" s="45"/>
      <c r="BX132" s="45"/>
      <c r="BY132" s="45"/>
      <c r="BZ132" s="45"/>
      <c r="CA132" s="45"/>
      <c r="CB132" s="45"/>
    </row>
    <row r="133" spans="1:85" x14ac:dyDescent="0.25">
      <c r="A133">
        <v>125</v>
      </c>
      <c r="B133" t="str">
        <f t="shared" si="325"/>
        <v>Mat 02c</v>
      </c>
      <c r="D133" s="146" t="s">
        <v>677</v>
      </c>
      <c r="E133" s="840" t="s">
        <v>631</v>
      </c>
      <c r="F133" s="582">
        <v>2</v>
      </c>
      <c r="G133" s="582">
        <v>2</v>
      </c>
      <c r="H133" s="582">
        <v>2</v>
      </c>
      <c r="I133" s="582">
        <v>2</v>
      </c>
      <c r="J133" s="582">
        <v>2</v>
      </c>
      <c r="K133" s="582">
        <v>2</v>
      </c>
      <c r="L133" s="582">
        <v>2</v>
      </c>
      <c r="M133" s="582">
        <v>2</v>
      </c>
      <c r="N133" s="582">
        <v>2</v>
      </c>
      <c r="O133" s="582">
        <v>2</v>
      </c>
      <c r="P133" s="582">
        <v>2</v>
      </c>
      <c r="Q133" s="582">
        <v>2</v>
      </c>
      <c r="R133" s="582">
        <v>2</v>
      </c>
      <c r="T133" s="148">
        <f t="shared" si="296"/>
        <v>2</v>
      </c>
      <c r="U133" s="146"/>
      <c r="V133" s="43"/>
      <c r="W133" s="43"/>
      <c r="X133" s="43"/>
      <c r="Y133" s="147"/>
      <c r="Z133" s="147">
        <f>VLOOKUP(B133,'Manuell filtrering og justering'!$A$7:$H$253,'Manuell filtrering og justering'!$H$1,FALSE)</f>
        <v>1</v>
      </c>
      <c r="AA133" s="148">
        <f t="shared" si="298"/>
        <v>0</v>
      </c>
      <c r="AB133" s="149">
        <f>IF($AC$5='Manuell filtrering og justering'!$J$2,Z133,(T133-AA133))</f>
        <v>2</v>
      </c>
      <c r="AD133" s="150">
        <f t="shared" si="299"/>
        <v>1.6190476190476193E-2</v>
      </c>
      <c r="AE133" s="150">
        <f t="shared" si="310"/>
        <v>0</v>
      </c>
      <c r="AF133" s="150">
        <f t="shared" si="311"/>
        <v>0</v>
      </c>
      <c r="AG133" s="150">
        <f t="shared" si="312"/>
        <v>0</v>
      </c>
      <c r="AI133" s="151">
        <f>IF(VLOOKUP(E133,'Pre-Assessment Estimator'!$E$11:$Z$228,'Pre-Assessment Estimator'!$G$2,FALSE)&gt;AB133,AB133,VLOOKUP(E133,'Pre-Assessment Estimator'!$E$11:$Z$228,'Pre-Assessment Estimator'!$G$2,FALSE))</f>
        <v>0</v>
      </c>
      <c r="AJ133" s="151">
        <f>IF(VLOOKUP(E133,'Pre-Assessment Estimator'!$E$11:$Z$228,'Pre-Assessment Estimator'!$N$2,FALSE)&gt;AB133,AB133,VLOOKUP(E133,'Pre-Assessment Estimator'!$E$11:$Z$228,'Pre-Assessment Estimator'!$N$2,FALSE))</f>
        <v>0</v>
      </c>
      <c r="AK133" s="151">
        <f>IF(VLOOKUP(E133,'Pre-Assessment Estimator'!$E$11:$Z$228,'Pre-Assessment Estimator'!$U$2,FALSE)&gt;AB133,AB133,VLOOKUP(E133,'Pre-Assessment Estimator'!$E$11:$Z$228,'Pre-Assessment Estimator'!$U$2,FALSE))</f>
        <v>0</v>
      </c>
      <c r="AM133" s="251"/>
      <c r="AN133" s="252"/>
      <c r="AO133" s="252"/>
      <c r="AP133" s="252"/>
      <c r="AQ133" s="253"/>
      <c r="AR133" s="123"/>
      <c r="AS133" s="251"/>
      <c r="AT133" s="252"/>
      <c r="AU133" s="252"/>
      <c r="AV133" s="252"/>
      <c r="AW133" s="253"/>
      <c r="AY133" s="144"/>
      <c r="AZ133" s="45"/>
      <c r="BA133" s="45"/>
      <c r="BB133" s="45"/>
      <c r="BC133" s="163"/>
      <c r="BD133" s="160">
        <f t="shared" si="323"/>
        <v>9</v>
      </c>
      <c r="BE133" s="45" t="str">
        <f t="shared" si="306"/>
        <v>N/A</v>
      </c>
      <c r="BF133" s="163"/>
      <c r="BG133" s="160">
        <f t="shared" si="307"/>
        <v>9</v>
      </c>
      <c r="BH133" s="45" t="str">
        <f t="shared" si="308"/>
        <v>N/A</v>
      </c>
      <c r="BI133" s="163"/>
      <c r="BJ133" s="160">
        <f t="shared" si="324"/>
        <v>9</v>
      </c>
      <c r="BK133" s="45" t="str">
        <f t="shared" si="309"/>
        <v>N/A</v>
      </c>
      <c r="BL133" s="163"/>
      <c r="BO133" s="43"/>
      <c r="BP133" s="43"/>
      <c r="BQ133" s="43" t="str">
        <f t="shared" si="156"/>
        <v/>
      </c>
      <c r="BR133" s="43">
        <f t="shared" si="196"/>
        <v>9</v>
      </c>
      <c r="BS133" s="43">
        <f t="shared" si="197"/>
        <v>9</v>
      </c>
      <c r="BT133" s="43">
        <f t="shared" si="198"/>
        <v>9</v>
      </c>
      <c r="BW133" s="45"/>
      <c r="BX133" s="45"/>
      <c r="BY133" s="45"/>
      <c r="BZ133" s="45"/>
      <c r="CA133" s="45"/>
      <c r="CB133" s="45"/>
    </row>
    <row r="134" spans="1:85" x14ac:dyDescent="0.25">
      <c r="A134">
        <v>126</v>
      </c>
      <c r="B134" s="121" t="str">
        <f>D134</f>
        <v>Mat 03</v>
      </c>
      <c r="C134" s="121"/>
      <c r="D134" s="638" t="s">
        <v>168</v>
      </c>
      <c r="E134" s="636" t="s">
        <v>444</v>
      </c>
      <c r="F134" s="699">
        <f>SUM(F135:F137)</f>
        <v>3</v>
      </c>
      <c r="G134" s="699">
        <f t="shared" ref="G134:R134" si="326">SUM(G135:G137)</f>
        <v>3</v>
      </c>
      <c r="H134" s="699">
        <f t="shared" si="326"/>
        <v>3</v>
      </c>
      <c r="I134" s="699">
        <f t="shared" si="326"/>
        <v>3</v>
      </c>
      <c r="J134" s="699">
        <f t="shared" si="326"/>
        <v>3</v>
      </c>
      <c r="K134" s="699">
        <f t="shared" si="326"/>
        <v>3</v>
      </c>
      <c r="L134" s="699">
        <f t="shared" si="326"/>
        <v>3</v>
      </c>
      <c r="M134" s="699">
        <f t="shared" si="326"/>
        <v>3</v>
      </c>
      <c r="N134" s="699">
        <f t="shared" si="326"/>
        <v>3</v>
      </c>
      <c r="O134" s="699">
        <f t="shared" si="326"/>
        <v>3</v>
      </c>
      <c r="P134" s="699">
        <f t="shared" si="326"/>
        <v>3</v>
      </c>
      <c r="Q134" s="699">
        <f t="shared" ref="Q134" si="327">SUM(Q135:Q137)</f>
        <v>3</v>
      </c>
      <c r="R134" s="699">
        <f t="shared" si="326"/>
        <v>3</v>
      </c>
      <c r="S134" s="504"/>
      <c r="T134" s="719">
        <f t="shared" si="296"/>
        <v>3</v>
      </c>
      <c r="U134" s="191"/>
      <c r="V134" s="61"/>
      <c r="W134" s="61"/>
      <c r="X134" s="61">
        <f>'Manuell filtrering og justering'!E61</f>
        <v>0</v>
      </c>
      <c r="Y134" s="61"/>
      <c r="Z134" s="714">
        <f t="shared" ref="Z134" si="328">SUM(Z135:Z137)</f>
        <v>2</v>
      </c>
      <c r="AA134" s="719">
        <f t="shared" si="298"/>
        <v>0</v>
      </c>
      <c r="AB134" s="793">
        <f>SUM(AB135:AB137)</f>
        <v>3</v>
      </c>
      <c r="AD134" s="150">
        <f t="shared" si="299"/>
        <v>2.4285714285714289E-2</v>
      </c>
      <c r="AE134" s="687">
        <f>SUM(AE135:AE137)</f>
        <v>0</v>
      </c>
      <c r="AF134" s="687">
        <f t="shared" ref="AF134" si="329">SUM(AF135:AF137)</f>
        <v>0</v>
      </c>
      <c r="AG134" s="687">
        <f t="shared" ref="AG134" si="330">SUM(AG135:AG137)</f>
        <v>0</v>
      </c>
      <c r="AI134" s="714">
        <f t="shared" ref="AI134" si="331">SUM(AI135:AI137)</f>
        <v>0</v>
      </c>
      <c r="AJ134" s="714">
        <f t="shared" ref="AJ134" si="332">SUM(AJ135:AJ137)</f>
        <v>0</v>
      </c>
      <c r="AK134" s="714">
        <f t="shared" ref="AK134" si="333">SUM(AK135:AK137)</f>
        <v>0</v>
      </c>
      <c r="AM134" s="251"/>
      <c r="AN134" s="252"/>
      <c r="AO134" s="252"/>
      <c r="AP134" s="252"/>
      <c r="AQ134" s="253"/>
      <c r="AR134" s="123"/>
      <c r="AS134" s="251"/>
      <c r="AT134" s="252"/>
      <c r="AU134" s="252"/>
      <c r="AV134" s="252"/>
      <c r="AW134" s="253"/>
      <c r="AY134" s="146"/>
      <c r="AZ134" s="43"/>
      <c r="BA134" s="43"/>
      <c r="BB134" s="43"/>
      <c r="BC134" s="163"/>
      <c r="BD134" s="160">
        <f t="shared" ref="BD134:BD147" si="334">IF(BC134=0,9,IF(AI134&gt;=BC134,5,IF(AI134&gt;=BB134,4,IF(AI134&gt;=BA134,3,IF(AI134&gt;=AZ134,2,IF(AI134&lt;AY134,0,1))))))</f>
        <v>9</v>
      </c>
      <c r="BE134" s="45" t="str">
        <f t="shared" si="306"/>
        <v>N/A</v>
      </c>
      <c r="BF134" s="163"/>
      <c r="BG134" s="160">
        <f t="shared" ref="BG134:BG147" si="335">IF(BC134=0,9,IF(AJ134&gt;=BC134,5,IF(AJ134&gt;=BB134,4,IF(AJ134&gt;=BA134,3,IF(AJ134&gt;=AZ134,2,IF(AJ134&lt;AY134,0,1))))))</f>
        <v>9</v>
      </c>
      <c r="BH134" s="45" t="str">
        <f t="shared" si="308"/>
        <v>N/A</v>
      </c>
      <c r="BI134" s="163"/>
      <c r="BJ134" s="160">
        <f t="shared" ref="BJ134:BJ147" si="336">IF(BC134=0,9,IF(AK134&gt;=BC134,5,IF(AK134&gt;=BB134,4,IF(AK134&gt;=BA134,3,IF(AK134&gt;=AZ134,2,IF(AK134&lt;AY134,0,1))))))</f>
        <v>9</v>
      </c>
      <c r="BK134" s="45" t="str">
        <f t="shared" si="309"/>
        <v>N/A</v>
      </c>
      <c r="BL134" s="163"/>
      <c r="BO134" s="43"/>
      <c r="BP134" s="43"/>
      <c r="BQ134" s="43" t="str">
        <f t="shared" si="156"/>
        <v/>
      </c>
      <c r="BR134" s="43">
        <f t="shared" si="196"/>
        <v>9</v>
      </c>
      <c r="BS134" s="43">
        <f t="shared" si="197"/>
        <v>9</v>
      </c>
      <c r="BT134" s="43">
        <f t="shared" si="198"/>
        <v>9</v>
      </c>
      <c r="BW134" s="43" t="str">
        <f>D134</f>
        <v>Mat 03</v>
      </c>
      <c r="BX134" s="43" t="str">
        <f>IFERROR(VLOOKUP($E134,'Pre-Assessment Estimator'!$E$11:$AB$228,'Pre-Assessment Estimator'!AB$2,FALSE),"")</f>
        <v>N/A</v>
      </c>
      <c r="BY134" s="43">
        <f>IFERROR(VLOOKUP($E134,'Pre-Assessment Estimator'!$E$11:$AI$228,'Pre-Assessment Estimator'!AI$2,FALSE),"")</f>
        <v>0</v>
      </c>
      <c r="BZ134" s="43">
        <f>IFERROR(VLOOKUP($BX134,$E$294:$H$327,F$292,FALSE),"")</f>
        <v>1</v>
      </c>
      <c r="CA134" s="43">
        <f>IFERROR(VLOOKUP($BX134,$E$294:$H$327,G$292,FALSE),"")</f>
        <v>0</v>
      </c>
      <c r="CB134" s="43"/>
      <c r="CC134" t="s">
        <v>409</v>
      </c>
    </row>
    <row r="135" spans="1:85" x14ac:dyDescent="0.25">
      <c r="A135">
        <v>127</v>
      </c>
      <c r="D135" s="146" t="s">
        <v>673</v>
      </c>
      <c r="E135" s="705" t="s">
        <v>959</v>
      </c>
      <c r="F135" s="582"/>
      <c r="G135" s="582"/>
      <c r="H135" s="582"/>
      <c r="I135" s="582"/>
      <c r="J135" s="582"/>
      <c r="K135" s="582"/>
      <c r="L135" s="582"/>
      <c r="M135" s="582"/>
      <c r="N135" s="582"/>
      <c r="O135" s="582"/>
      <c r="P135" s="582"/>
      <c r="Q135" s="582"/>
      <c r="R135" s="582"/>
      <c r="S135" s="504"/>
      <c r="T135" s="148">
        <f t="shared" si="296"/>
        <v>0</v>
      </c>
      <c r="U135" s="146"/>
      <c r="V135" s="43"/>
      <c r="W135" s="43"/>
      <c r="X135" s="43"/>
      <c r="Y135" s="147"/>
      <c r="Z135" s="147"/>
      <c r="AA135" s="148">
        <f t="shared" si="298"/>
        <v>0</v>
      </c>
      <c r="AB135" s="149">
        <f>IF($AC$5='Manuell filtrering og justering'!$J$2,Z135,(T135-AA135))</f>
        <v>0</v>
      </c>
      <c r="AD135" s="150">
        <f t="shared" si="299"/>
        <v>0</v>
      </c>
      <c r="AE135" s="150">
        <f t="shared" si="310"/>
        <v>0</v>
      </c>
      <c r="AF135" s="150">
        <f t="shared" si="311"/>
        <v>0</v>
      </c>
      <c r="AG135" s="150">
        <f t="shared" si="312"/>
        <v>0</v>
      </c>
      <c r="AI135" s="151">
        <f>IF(VLOOKUP(E135,'Pre-Assessment Estimator'!$E$11:$Z$228,'Pre-Assessment Estimator'!$G$2,FALSE)&gt;AB135,AB135,VLOOKUP(E135,'Pre-Assessment Estimator'!$E$11:$Z$228,'Pre-Assessment Estimator'!$G$2,FALSE))</f>
        <v>0</v>
      </c>
      <c r="AJ135" s="151">
        <f>IF(VLOOKUP(E135,'Pre-Assessment Estimator'!$E$11:$Z$228,'Pre-Assessment Estimator'!$N$2,FALSE)&gt;AB135,AB135,VLOOKUP(E135,'Pre-Assessment Estimator'!$E$11:$Z$228,'Pre-Assessment Estimator'!$N$2,FALSE))</f>
        <v>0</v>
      </c>
      <c r="AK135" s="151">
        <f>IF(VLOOKUP(E135,'Pre-Assessment Estimator'!$E$11:$Z$228,'Pre-Assessment Estimator'!$U$2,FALSE)&gt;AB135,AB135,VLOOKUP(E135,'Pre-Assessment Estimator'!$E$11:$Z$228,'Pre-Assessment Estimator'!$U$2,FALSE))</f>
        <v>0</v>
      </c>
      <c r="AM135" s="251"/>
      <c r="AN135" s="252"/>
      <c r="AO135" s="252"/>
      <c r="AP135" s="252"/>
      <c r="AQ135" s="253"/>
      <c r="AR135" s="123"/>
      <c r="AS135" s="251"/>
      <c r="AT135" s="252"/>
      <c r="AU135" s="252"/>
      <c r="AV135" s="252"/>
      <c r="AW135" s="253"/>
      <c r="AY135" s="146"/>
      <c r="AZ135" s="43"/>
      <c r="BA135" s="43"/>
      <c r="BB135" s="43"/>
      <c r="BC135" s="163"/>
      <c r="BD135" s="160">
        <f t="shared" si="334"/>
        <v>9</v>
      </c>
      <c r="BE135" s="45" t="str">
        <f t="shared" si="306"/>
        <v>N/A</v>
      </c>
      <c r="BF135" s="163"/>
      <c r="BG135" s="160">
        <f t="shared" si="335"/>
        <v>9</v>
      </c>
      <c r="BH135" s="45" t="str">
        <f t="shared" si="308"/>
        <v>N/A</v>
      </c>
      <c r="BI135" s="163"/>
      <c r="BJ135" s="160">
        <f t="shared" si="336"/>
        <v>9</v>
      </c>
      <c r="BK135" s="45" t="str">
        <f t="shared" si="309"/>
        <v>N/A</v>
      </c>
      <c r="BL135" s="163"/>
      <c r="BO135" s="43"/>
      <c r="BP135" s="43"/>
      <c r="BQ135" s="43" t="str">
        <f t="shared" si="156"/>
        <v/>
      </c>
      <c r="BR135" s="43">
        <f t="shared" si="196"/>
        <v>9</v>
      </c>
      <c r="BS135" s="43">
        <f t="shared" si="197"/>
        <v>9</v>
      </c>
      <c r="BT135" s="43">
        <f t="shared" si="198"/>
        <v>9</v>
      </c>
      <c r="BW135" s="43"/>
      <c r="BX135" s="43"/>
      <c r="BY135" s="43"/>
      <c r="BZ135" s="43"/>
      <c r="CB135" s="43"/>
    </row>
    <row r="136" spans="1:85" x14ac:dyDescent="0.25">
      <c r="A136">
        <v>128</v>
      </c>
      <c r="B136" t="str">
        <f t="shared" ref="B136:B137" si="337">$D$134&amp;D136</f>
        <v>Mat 03b</v>
      </c>
      <c r="D136" s="146" t="s">
        <v>676</v>
      </c>
      <c r="E136" s="840" t="s">
        <v>633</v>
      </c>
      <c r="F136" s="582">
        <v>1</v>
      </c>
      <c r="G136" s="582">
        <v>1</v>
      </c>
      <c r="H136" s="582">
        <v>1</v>
      </c>
      <c r="I136" s="582">
        <v>1</v>
      </c>
      <c r="J136" s="582">
        <v>1</v>
      </c>
      <c r="K136" s="582">
        <v>1</v>
      </c>
      <c r="L136" s="582">
        <v>1</v>
      </c>
      <c r="M136" s="582">
        <v>1</v>
      </c>
      <c r="N136" s="582">
        <v>1</v>
      </c>
      <c r="O136" s="582">
        <v>1</v>
      </c>
      <c r="P136" s="582">
        <v>1</v>
      </c>
      <c r="Q136" s="582">
        <v>1</v>
      </c>
      <c r="R136" s="582">
        <v>1</v>
      </c>
      <c r="S136" s="504"/>
      <c r="T136" s="148">
        <f t="shared" si="296"/>
        <v>1</v>
      </c>
      <c r="U136" s="146"/>
      <c r="V136" s="43"/>
      <c r="W136" s="43"/>
      <c r="X136" s="43"/>
      <c r="Y136" s="147"/>
      <c r="Z136" s="147">
        <f>VLOOKUP(B136,'Manuell filtrering og justering'!$A$7:$H$253,'Manuell filtrering og justering'!$H$1,FALSE)</f>
        <v>1</v>
      </c>
      <c r="AA136" s="148">
        <f t="shared" si="298"/>
        <v>0</v>
      </c>
      <c r="AB136" s="149">
        <f>IF($AC$5='Manuell filtrering og justering'!$J$2,Z136,(T136-AA136))</f>
        <v>1</v>
      </c>
      <c r="AD136" s="150">
        <f t="shared" si="299"/>
        <v>8.0952380952380963E-3</v>
      </c>
      <c r="AE136" s="150">
        <f t="shared" si="310"/>
        <v>0</v>
      </c>
      <c r="AF136" s="150">
        <f t="shared" si="311"/>
        <v>0</v>
      </c>
      <c r="AG136" s="150">
        <f t="shared" si="312"/>
        <v>0</v>
      </c>
      <c r="AI136" s="151">
        <f>IF(VLOOKUP(E136,'Pre-Assessment Estimator'!$E$11:$Z$228,'Pre-Assessment Estimator'!$G$2,FALSE)&gt;AB136,AB136,VLOOKUP(E136,'Pre-Assessment Estimator'!$E$11:$Z$228,'Pre-Assessment Estimator'!$G$2,FALSE))</f>
        <v>0</v>
      </c>
      <c r="AJ136" s="151">
        <f>IF(VLOOKUP(E136,'Pre-Assessment Estimator'!$E$11:$Z$228,'Pre-Assessment Estimator'!$N$2,FALSE)&gt;AB136,AB136,VLOOKUP(E136,'Pre-Assessment Estimator'!$E$11:$Z$228,'Pre-Assessment Estimator'!$N$2,FALSE))</f>
        <v>0</v>
      </c>
      <c r="AK136" s="151">
        <f>IF(VLOOKUP(E136,'Pre-Assessment Estimator'!$E$11:$Z$228,'Pre-Assessment Estimator'!$U$2,FALSE)&gt;AB136,AB136,VLOOKUP(E136,'Pre-Assessment Estimator'!$E$11:$Z$228,'Pre-Assessment Estimator'!$U$2,FALSE))</f>
        <v>0</v>
      </c>
      <c r="AM136" s="251"/>
      <c r="AN136" s="252"/>
      <c r="AO136" s="252"/>
      <c r="AP136" s="252"/>
      <c r="AQ136" s="253"/>
      <c r="AR136" s="123"/>
      <c r="AS136" s="251"/>
      <c r="AT136" s="252"/>
      <c r="AU136" s="252"/>
      <c r="AV136" s="252"/>
      <c r="AW136" s="253"/>
      <c r="AY136" s="146"/>
      <c r="AZ136" s="43"/>
      <c r="BA136" s="43"/>
      <c r="BB136" s="43"/>
      <c r="BC136" s="163"/>
      <c r="BD136" s="160">
        <f t="shared" si="334"/>
        <v>9</v>
      </c>
      <c r="BE136" s="45" t="str">
        <f t="shared" si="306"/>
        <v>N/A</v>
      </c>
      <c r="BF136" s="163"/>
      <c r="BG136" s="160">
        <f t="shared" si="335"/>
        <v>9</v>
      </c>
      <c r="BH136" s="45" t="str">
        <f t="shared" si="308"/>
        <v>N/A</v>
      </c>
      <c r="BI136" s="163"/>
      <c r="BJ136" s="160">
        <f t="shared" si="336"/>
        <v>9</v>
      </c>
      <c r="BK136" s="45" t="str">
        <f t="shared" si="309"/>
        <v>N/A</v>
      </c>
      <c r="BL136" s="163"/>
      <c r="BO136" s="43"/>
      <c r="BP136" s="43"/>
      <c r="BQ136" s="43" t="str">
        <f t="shared" si="156"/>
        <v/>
      </c>
      <c r="BR136" s="43">
        <f t="shared" si="196"/>
        <v>9</v>
      </c>
      <c r="BS136" s="43">
        <f t="shared" si="197"/>
        <v>9</v>
      </c>
      <c r="BT136" s="43">
        <f t="shared" si="198"/>
        <v>9</v>
      </c>
      <c r="BW136" s="43"/>
      <c r="BX136" s="43"/>
      <c r="BY136" s="43"/>
      <c r="BZ136" s="43"/>
      <c r="CB136" s="43"/>
    </row>
    <row r="137" spans="1:85" x14ac:dyDescent="0.25">
      <c r="A137">
        <v>129</v>
      </c>
      <c r="B137" t="str">
        <f t="shared" si="337"/>
        <v>Mat 03c</v>
      </c>
      <c r="D137" s="146" t="s">
        <v>677</v>
      </c>
      <c r="E137" s="840" t="s">
        <v>634</v>
      </c>
      <c r="F137" s="582">
        <v>2</v>
      </c>
      <c r="G137" s="582">
        <v>2</v>
      </c>
      <c r="H137" s="582">
        <v>2</v>
      </c>
      <c r="I137" s="582">
        <v>2</v>
      </c>
      <c r="J137" s="582">
        <v>2</v>
      </c>
      <c r="K137" s="582">
        <v>2</v>
      </c>
      <c r="L137" s="582">
        <v>2</v>
      </c>
      <c r="M137" s="582">
        <v>2</v>
      </c>
      <c r="N137" s="582">
        <v>2</v>
      </c>
      <c r="O137" s="582">
        <v>2</v>
      </c>
      <c r="P137" s="582">
        <v>2</v>
      </c>
      <c r="Q137" s="582">
        <v>2</v>
      </c>
      <c r="R137" s="582">
        <v>2</v>
      </c>
      <c r="S137" s="504"/>
      <c r="T137" s="148">
        <f t="shared" si="296"/>
        <v>2</v>
      </c>
      <c r="U137" s="146"/>
      <c r="V137" s="43"/>
      <c r="W137" s="43"/>
      <c r="X137" s="43"/>
      <c r="Y137" s="147"/>
      <c r="Z137" s="147">
        <f>VLOOKUP(B137,'Manuell filtrering og justering'!$A$7:$H$253,'Manuell filtrering og justering'!$H$1,FALSE)</f>
        <v>1</v>
      </c>
      <c r="AA137" s="148">
        <f t="shared" si="298"/>
        <v>0</v>
      </c>
      <c r="AB137" s="149">
        <f>IF($AC$5='Manuell filtrering og justering'!$J$2,Z137,(T137-AA137))</f>
        <v>2</v>
      </c>
      <c r="AD137" s="150">
        <f t="shared" si="299"/>
        <v>1.6190476190476193E-2</v>
      </c>
      <c r="AE137" s="150">
        <f t="shared" si="310"/>
        <v>0</v>
      </c>
      <c r="AF137" s="150">
        <f t="shared" si="311"/>
        <v>0</v>
      </c>
      <c r="AG137" s="150">
        <f t="shared" si="312"/>
        <v>0</v>
      </c>
      <c r="AI137" s="151">
        <f>IF(VLOOKUP(E137,'Pre-Assessment Estimator'!$E$11:$Z$228,'Pre-Assessment Estimator'!$G$2,FALSE)&gt;AB137,AB137,VLOOKUP(E137,'Pre-Assessment Estimator'!$E$11:$Z$228,'Pre-Assessment Estimator'!$G$2,FALSE))</f>
        <v>0</v>
      </c>
      <c r="AJ137" s="151">
        <f>IF(VLOOKUP(E137,'Pre-Assessment Estimator'!$E$11:$Z$228,'Pre-Assessment Estimator'!$N$2,FALSE)&gt;AB137,AB137,VLOOKUP(E137,'Pre-Assessment Estimator'!$E$11:$Z$228,'Pre-Assessment Estimator'!$N$2,FALSE))</f>
        <v>0</v>
      </c>
      <c r="AK137" s="151">
        <f>IF(VLOOKUP(E137,'Pre-Assessment Estimator'!$E$11:$Z$228,'Pre-Assessment Estimator'!$U$2,FALSE)&gt;AB137,AB137,VLOOKUP(E137,'Pre-Assessment Estimator'!$E$11:$Z$228,'Pre-Assessment Estimator'!$U$2,FALSE))</f>
        <v>0</v>
      </c>
      <c r="AM137" s="251"/>
      <c r="AN137" s="252"/>
      <c r="AO137" s="252"/>
      <c r="AP137" s="252"/>
      <c r="AQ137" s="253"/>
      <c r="AR137" s="123"/>
      <c r="AS137" s="251"/>
      <c r="AT137" s="252"/>
      <c r="AU137" s="252"/>
      <c r="AV137" s="252"/>
      <c r="AW137" s="253"/>
      <c r="AY137" s="146"/>
      <c r="AZ137" s="43"/>
      <c r="BA137" s="43"/>
      <c r="BB137" s="43"/>
      <c r="BC137" s="163"/>
      <c r="BD137" s="160">
        <f t="shared" si="334"/>
        <v>9</v>
      </c>
      <c r="BE137" s="45" t="str">
        <f t="shared" si="306"/>
        <v>N/A</v>
      </c>
      <c r="BF137" s="163"/>
      <c r="BG137" s="160">
        <f t="shared" si="335"/>
        <v>9</v>
      </c>
      <c r="BH137" s="45" t="str">
        <f t="shared" si="308"/>
        <v>N/A</v>
      </c>
      <c r="BI137" s="163"/>
      <c r="BJ137" s="160">
        <f t="shared" si="336"/>
        <v>9</v>
      </c>
      <c r="BK137" s="45" t="str">
        <f t="shared" si="309"/>
        <v>N/A</v>
      </c>
      <c r="BL137" s="163"/>
      <c r="BO137" s="43"/>
      <c r="BP137" s="43"/>
      <c r="BQ137" s="43" t="str">
        <f t="shared" si="156"/>
        <v/>
      </c>
      <c r="BR137" s="43">
        <f t="shared" si="196"/>
        <v>9</v>
      </c>
      <c r="BS137" s="43">
        <f t="shared" si="197"/>
        <v>9</v>
      </c>
      <c r="BT137" s="43">
        <f t="shared" si="198"/>
        <v>9</v>
      </c>
      <c r="BW137" s="43"/>
      <c r="BX137" s="43"/>
      <c r="BY137" s="43"/>
      <c r="BZ137" s="43"/>
      <c r="CB137" s="43"/>
    </row>
    <row r="138" spans="1:85" x14ac:dyDescent="0.25">
      <c r="A138">
        <v>130</v>
      </c>
      <c r="B138" s="121" t="str">
        <f>D138</f>
        <v>Mat 05</v>
      </c>
      <c r="C138" s="121"/>
      <c r="D138" s="638" t="s">
        <v>169</v>
      </c>
      <c r="E138" s="636" t="s">
        <v>934</v>
      </c>
      <c r="F138" s="699">
        <f>SUM(F139:F143)</f>
        <v>4</v>
      </c>
      <c r="G138" s="699">
        <f t="shared" ref="G138:R138" si="338">SUM(G139:G143)</f>
        <v>4</v>
      </c>
      <c r="H138" s="699">
        <f t="shared" si="338"/>
        <v>4</v>
      </c>
      <c r="I138" s="699">
        <f t="shared" si="338"/>
        <v>4</v>
      </c>
      <c r="J138" s="699">
        <f t="shared" si="338"/>
        <v>4</v>
      </c>
      <c r="K138" s="699">
        <f t="shared" si="338"/>
        <v>4</v>
      </c>
      <c r="L138" s="699">
        <f t="shared" si="338"/>
        <v>4</v>
      </c>
      <c r="M138" s="699">
        <f t="shared" si="338"/>
        <v>4</v>
      </c>
      <c r="N138" s="699">
        <f t="shared" si="338"/>
        <v>4</v>
      </c>
      <c r="O138" s="699">
        <f t="shared" si="338"/>
        <v>4</v>
      </c>
      <c r="P138" s="699">
        <f t="shared" si="338"/>
        <v>4</v>
      </c>
      <c r="Q138" s="699">
        <f t="shared" ref="Q138" si="339">SUM(Q139:Q143)</f>
        <v>4</v>
      </c>
      <c r="R138" s="699">
        <f t="shared" si="338"/>
        <v>4</v>
      </c>
      <c r="S138" s="504"/>
      <c r="T138" s="719">
        <f t="shared" si="296"/>
        <v>4</v>
      </c>
      <c r="U138" s="191"/>
      <c r="V138" s="61"/>
      <c r="W138" s="61"/>
      <c r="X138" s="61">
        <f>'Manuell filtrering og justering'!E62</f>
        <v>0</v>
      </c>
      <c r="Y138" s="61"/>
      <c r="Z138" s="714">
        <f>SUM(Z139:Z143)</f>
        <v>4</v>
      </c>
      <c r="AA138" s="719">
        <f t="shared" si="298"/>
        <v>0</v>
      </c>
      <c r="AB138" s="793">
        <f>SUM(AB139:AB143)</f>
        <v>4</v>
      </c>
      <c r="AD138" s="150">
        <f t="shared" si="299"/>
        <v>3.2380952380952385E-2</v>
      </c>
      <c r="AE138" s="687">
        <f>SUM(AE139:AE143)</f>
        <v>0</v>
      </c>
      <c r="AF138" s="687">
        <f>SUM(AF139:AF143)</f>
        <v>0</v>
      </c>
      <c r="AG138" s="687">
        <f>SUM(AG139:AG143)</f>
        <v>0</v>
      </c>
      <c r="AI138" s="714">
        <f>SUM(AI139:AI143)</f>
        <v>0</v>
      </c>
      <c r="AJ138" s="714">
        <f>SUM(AJ139:AJ143)</f>
        <v>0</v>
      </c>
      <c r="AK138" s="714">
        <f>SUM(AK139:AK143)</f>
        <v>0</v>
      </c>
      <c r="AL138" t="s">
        <v>405</v>
      </c>
      <c r="AM138" s="251"/>
      <c r="AN138" s="252"/>
      <c r="AO138" s="252"/>
      <c r="AP138" s="252"/>
      <c r="AQ138" s="253"/>
      <c r="AR138" s="123"/>
      <c r="AS138" s="251"/>
      <c r="AT138" s="252"/>
      <c r="AU138" s="252"/>
      <c r="AV138" s="252"/>
      <c r="AW138" s="253"/>
      <c r="AY138" s="146"/>
      <c r="AZ138" s="43"/>
      <c r="BA138" s="43"/>
      <c r="BB138" s="43"/>
      <c r="BC138" s="163"/>
      <c r="BD138" s="160">
        <f t="shared" si="334"/>
        <v>9</v>
      </c>
      <c r="BE138" s="45" t="str">
        <f t="shared" si="306"/>
        <v>N/A</v>
      </c>
      <c r="BF138" s="163"/>
      <c r="BG138" s="160">
        <f t="shared" si="335"/>
        <v>9</v>
      </c>
      <c r="BH138" s="45" t="str">
        <f t="shared" si="308"/>
        <v>N/A</v>
      </c>
      <c r="BI138" s="163"/>
      <c r="BJ138" s="160">
        <f t="shared" si="336"/>
        <v>9</v>
      </c>
      <c r="BK138" s="45" t="str">
        <f t="shared" si="309"/>
        <v>N/A</v>
      </c>
      <c r="BL138" s="163"/>
      <c r="BO138" s="43"/>
      <c r="BP138" s="43"/>
      <c r="BQ138" s="43" t="str">
        <f t="shared" si="156"/>
        <v/>
      </c>
      <c r="BR138" s="43">
        <f t="shared" si="196"/>
        <v>9</v>
      </c>
      <c r="BS138" s="43">
        <f t="shared" si="197"/>
        <v>9</v>
      </c>
      <c r="BT138" s="43">
        <f t="shared" si="198"/>
        <v>9</v>
      </c>
      <c r="BW138" s="43" t="str">
        <f>D138</f>
        <v>Mat 05</v>
      </c>
      <c r="BX138" s="43" t="str">
        <f>IFERROR(VLOOKUP($E138,'Pre-Assessment Estimator'!$E$11:$AB$228,'Pre-Assessment Estimator'!AB$2,FALSE),"")</f>
        <v>No</v>
      </c>
      <c r="BY138" s="61" t="str">
        <f>IFERROR(VLOOKUP($E138,'Pre-Assessment Estimator'!$E$11:$AI$228,'Pre-Assessment Estimator'!AI$2,FALSE),"")</f>
        <v>Ja</v>
      </c>
      <c r="BZ138" s="43">
        <f>IFERROR(VLOOKUP($BX138,$E$294:$H$327,F$292,FALSE),"")</f>
        <v>1</v>
      </c>
      <c r="CA138" s="514" t="s">
        <v>410</v>
      </c>
      <c r="CB138" s="43"/>
      <c r="CC138" t="str">
        <f>IFERROR(VLOOKUP($BX138,$E$294:$H$327,I$292,FALSE),"")</f>
        <v/>
      </c>
      <c r="CD138" t="s">
        <v>416</v>
      </c>
      <c r="CE138" s="43">
        <f>VLOOKUP(CA138,$CA$4:$CB$5,2,FALSE)</f>
        <v>1</v>
      </c>
      <c r="CG138" s="62">
        <f>IF($BX$5=ais_nei,CE138,IF(AND(CA138=$CA$4,BX138=$CC$4),0,BZ138))</f>
        <v>1</v>
      </c>
    </row>
    <row r="139" spans="1:85" x14ac:dyDescent="0.25">
      <c r="A139">
        <v>131</v>
      </c>
      <c r="D139" s="146" t="s">
        <v>673</v>
      </c>
      <c r="E139" s="705" t="s">
        <v>635</v>
      </c>
      <c r="F139" s="582"/>
      <c r="G139" s="582"/>
      <c r="H139" s="582"/>
      <c r="I139" s="582"/>
      <c r="J139" s="582"/>
      <c r="K139" s="582"/>
      <c r="L139" s="582"/>
      <c r="M139" s="582"/>
      <c r="N139" s="582"/>
      <c r="O139" s="582"/>
      <c r="P139" s="582"/>
      <c r="Q139" s="582"/>
      <c r="R139" s="582"/>
      <c r="S139" s="504"/>
      <c r="T139" s="148">
        <f t="shared" si="296"/>
        <v>0</v>
      </c>
      <c r="U139" s="146"/>
      <c r="V139" s="43"/>
      <c r="W139" s="43"/>
      <c r="X139" s="43"/>
      <c r="Y139" s="147"/>
      <c r="Z139" s="147"/>
      <c r="AA139" s="148">
        <f t="shared" si="298"/>
        <v>0</v>
      </c>
      <c r="AB139" s="149">
        <f>IF($AC$5='Manuell filtrering og justering'!$J$2,Z139,(T139-AA139))</f>
        <v>0</v>
      </c>
      <c r="AD139" s="150">
        <f t="shared" si="299"/>
        <v>0</v>
      </c>
      <c r="AE139" s="150">
        <f t="shared" si="310"/>
        <v>0</v>
      </c>
      <c r="AF139" s="150">
        <f t="shared" si="311"/>
        <v>0</v>
      </c>
      <c r="AG139" s="150">
        <f t="shared" si="312"/>
        <v>0</v>
      </c>
      <c r="AI139" s="151">
        <f>IF(VLOOKUP(E139,'Pre-Assessment Estimator'!$E$11:$Z$228,'Pre-Assessment Estimator'!$G$2,FALSE)&gt;AB139,AB139,VLOOKUP(E139,'Pre-Assessment Estimator'!$E$11:$Z$228,'Pre-Assessment Estimator'!$G$2,FALSE))</f>
        <v>0</v>
      </c>
      <c r="AJ139" s="151">
        <f>IF(VLOOKUP(E139,'Pre-Assessment Estimator'!$E$11:$Z$228,'Pre-Assessment Estimator'!$N$2,FALSE)&gt;AB139,AB139,VLOOKUP(E139,'Pre-Assessment Estimator'!$E$11:$Z$228,'Pre-Assessment Estimator'!$N$2,FALSE))</f>
        <v>0</v>
      </c>
      <c r="AK139" s="151">
        <f>IF(VLOOKUP(E139,'Pre-Assessment Estimator'!$E$11:$Z$228,'Pre-Assessment Estimator'!$U$2,FALSE)&gt;AB139,AB139,VLOOKUP(E139,'Pre-Assessment Estimator'!$E$11:$Z$228,'Pre-Assessment Estimator'!$U$2,FALSE))</f>
        <v>0</v>
      </c>
      <c r="AM139" s="251"/>
      <c r="AN139" s="252"/>
      <c r="AO139" s="252"/>
      <c r="AP139" s="252"/>
      <c r="AQ139" s="253"/>
      <c r="AR139" s="123"/>
      <c r="AS139" s="251"/>
      <c r="AT139" s="252"/>
      <c r="AU139" s="252"/>
      <c r="AV139" s="252"/>
      <c r="AW139" s="253"/>
      <c r="AY139" s="146"/>
      <c r="AZ139" s="43"/>
      <c r="BA139" s="43"/>
      <c r="BB139" s="43"/>
      <c r="BC139" s="163"/>
      <c r="BD139" s="160">
        <f t="shared" si="334"/>
        <v>9</v>
      </c>
      <c r="BE139" s="45" t="str">
        <f t="shared" si="306"/>
        <v>N/A</v>
      </c>
      <c r="BF139" s="163"/>
      <c r="BG139" s="160">
        <f t="shared" si="335"/>
        <v>9</v>
      </c>
      <c r="BH139" s="45" t="str">
        <f t="shared" si="308"/>
        <v>N/A</v>
      </c>
      <c r="BI139" s="163"/>
      <c r="BJ139" s="160">
        <f t="shared" si="336"/>
        <v>9</v>
      </c>
      <c r="BK139" s="45" t="str">
        <f t="shared" si="309"/>
        <v>N/A</v>
      </c>
      <c r="BL139" s="163"/>
      <c r="BO139" s="43"/>
      <c r="BP139" s="43"/>
      <c r="BQ139" s="43" t="str">
        <f t="shared" ref="BQ139:BQ202" si="340">IF(BO139&lt;&gt;"",BO139,IF(BP139&lt;&gt;"",BP139,""))</f>
        <v/>
      </c>
      <c r="BR139" s="43">
        <f t="shared" si="196"/>
        <v>9</v>
      </c>
      <c r="BS139" s="43">
        <f t="shared" si="197"/>
        <v>9</v>
      </c>
      <c r="BT139" s="43">
        <f t="shared" si="198"/>
        <v>9</v>
      </c>
      <c r="BW139" s="43"/>
      <c r="BX139" s="43"/>
      <c r="BY139" s="61"/>
      <c r="BZ139" s="43"/>
      <c r="CA139" s="514"/>
      <c r="CB139" s="43"/>
      <c r="CG139" s="62"/>
    </row>
    <row r="140" spans="1:85" x14ac:dyDescent="0.25">
      <c r="A140">
        <v>132</v>
      </c>
      <c r="B140" t="str">
        <f t="shared" ref="B140:B143" si="341">$D$138&amp;D140</f>
        <v>Mat 05b</v>
      </c>
      <c r="D140" s="146" t="s">
        <v>676</v>
      </c>
      <c r="E140" s="840" t="s">
        <v>636</v>
      </c>
      <c r="F140" s="582">
        <v>1</v>
      </c>
      <c r="G140" s="582">
        <v>1</v>
      </c>
      <c r="H140" s="582">
        <v>1</v>
      </c>
      <c r="I140" s="582">
        <v>1</v>
      </c>
      <c r="J140" s="582">
        <v>1</v>
      </c>
      <c r="K140" s="582">
        <v>1</v>
      </c>
      <c r="L140" s="582">
        <v>1</v>
      </c>
      <c r="M140" s="582">
        <v>1</v>
      </c>
      <c r="N140" s="582">
        <v>1</v>
      </c>
      <c r="O140" s="582">
        <v>1</v>
      </c>
      <c r="P140" s="582">
        <v>1</v>
      </c>
      <c r="Q140" s="582">
        <v>1</v>
      </c>
      <c r="R140" s="582">
        <v>1</v>
      </c>
      <c r="S140" s="504"/>
      <c r="T140" s="148">
        <f t="shared" si="296"/>
        <v>1</v>
      </c>
      <c r="U140" s="146"/>
      <c r="V140" s="43"/>
      <c r="W140" s="43"/>
      <c r="X140" s="43"/>
      <c r="Y140" s="147"/>
      <c r="Z140" s="147">
        <f>VLOOKUP(B140,'Manuell filtrering og justering'!$A$7:$H$253,'Manuell filtrering og justering'!$H$1,FALSE)</f>
        <v>1</v>
      </c>
      <c r="AA140" s="148">
        <f t="shared" si="298"/>
        <v>0</v>
      </c>
      <c r="AB140" s="149">
        <f>IF($AC$5='Manuell filtrering og justering'!$J$2,Z140,(T140-AA140))</f>
        <v>1</v>
      </c>
      <c r="AD140" s="150">
        <f t="shared" si="299"/>
        <v>8.0952380952380963E-3</v>
      </c>
      <c r="AE140" s="150">
        <f t="shared" si="310"/>
        <v>0</v>
      </c>
      <c r="AF140" s="150">
        <f t="shared" si="311"/>
        <v>0</v>
      </c>
      <c r="AG140" s="150">
        <f t="shared" si="312"/>
        <v>0</v>
      </c>
      <c r="AI140" s="794">
        <f>IF(AI241=AD_no,0,IF(VLOOKUP(E140,'Pre-Assessment Estimator'!$E$11:$Z$228,'Pre-Assessment Estimator'!$G$2,FALSE)&gt;AB140,AB140,VLOOKUP(E140,'Pre-Assessment Estimator'!$E$11:$Z$228,'Pre-Assessment Estimator'!$G$2,FALSE)))</f>
        <v>0</v>
      </c>
      <c r="AJ140" s="794">
        <f>IF(AJ241=AD_no,0,IF(VLOOKUP(E140,'Pre-Assessment Estimator'!$E$11:$Z$228,'Pre-Assessment Estimator'!$N$2,FALSE)&gt;AB140,AB140,VLOOKUP(E140,'Pre-Assessment Estimator'!$E$11:$Z$228,'Pre-Assessment Estimator'!$N$2,FALSE)))</f>
        <v>0</v>
      </c>
      <c r="AK140" s="794">
        <f>IF(AK241=AD_no,0,IF(VLOOKUP(E140,'Pre-Assessment Estimator'!$E$11:$Z$228,'Pre-Assessment Estimator'!$U$2,FALSE)&gt;AB140,AB140,VLOOKUP(E140,'Pre-Assessment Estimator'!$E$11:$Z$228,'Pre-Assessment Estimator'!$U$2,FALSE)))</f>
        <v>0</v>
      </c>
      <c r="AM140" s="251"/>
      <c r="AN140" s="252"/>
      <c r="AO140" s="252"/>
      <c r="AP140" s="252"/>
      <c r="AQ140" s="253"/>
      <c r="AR140" s="123"/>
      <c r="AS140" s="251"/>
      <c r="AT140" s="252"/>
      <c r="AU140" s="252"/>
      <c r="AV140" s="252"/>
      <c r="AW140" s="253"/>
      <c r="AY140" s="146"/>
      <c r="AZ140" s="43"/>
      <c r="BA140" s="43"/>
      <c r="BB140" s="43"/>
      <c r="BC140" s="163"/>
      <c r="BD140" s="160">
        <f t="shared" si="334"/>
        <v>9</v>
      </c>
      <c r="BE140" s="45" t="str">
        <f t="shared" si="306"/>
        <v>N/A</v>
      </c>
      <c r="BF140" s="163"/>
      <c r="BG140" s="160">
        <f t="shared" si="335"/>
        <v>9</v>
      </c>
      <c r="BH140" s="45" t="str">
        <f t="shared" si="308"/>
        <v>N/A</v>
      </c>
      <c r="BI140" s="163"/>
      <c r="BJ140" s="160">
        <f t="shared" si="336"/>
        <v>9</v>
      </c>
      <c r="BK140" s="45" t="str">
        <f t="shared" si="309"/>
        <v>N/A</v>
      </c>
      <c r="BL140" s="163"/>
      <c r="BO140" s="43"/>
      <c r="BP140" s="43"/>
      <c r="BQ140" s="43" t="str">
        <f t="shared" si="340"/>
        <v/>
      </c>
      <c r="BR140" s="43">
        <f t="shared" si="196"/>
        <v>9</v>
      </c>
      <c r="BS140" s="43">
        <f t="shared" si="197"/>
        <v>9</v>
      </c>
      <c r="BT140" s="43">
        <f t="shared" si="198"/>
        <v>9</v>
      </c>
      <c r="BW140" s="43"/>
      <c r="BX140" s="43"/>
      <c r="BY140" s="61"/>
      <c r="BZ140" s="43"/>
      <c r="CA140" s="514"/>
      <c r="CB140" s="43"/>
      <c r="CG140" s="62"/>
    </row>
    <row r="141" spans="1:85" x14ac:dyDescent="0.25">
      <c r="A141">
        <v>133</v>
      </c>
      <c r="B141" t="str">
        <f t="shared" si="341"/>
        <v>Mat 05c</v>
      </c>
      <c r="D141" s="146" t="s">
        <v>677</v>
      </c>
      <c r="E141" s="840" t="s">
        <v>637</v>
      </c>
      <c r="F141" s="582">
        <v>1</v>
      </c>
      <c r="G141" s="582">
        <v>1</v>
      </c>
      <c r="H141" s="582">
        <v>1</v>
      </c>
      <c r="I141" s="582">
        <v>1</v>
      </c>
      <c r="J141" s="582">
        <v>1</v>
      </c>
      <c r="K141" s="582">
        <v>1</v>
      </c>
      <c r="L141" s="582">
        <v>1</v>
      </c>
      <c r="M141" s="582">
        <v>1</v>
      </c>
      <c r="N141" s="582">
        <v>1</v>
      </c>
      <c r="O141" s="582">
        <v>1</v>
      </c>
      <c r="P141" s="582">
        <v>1</v>
      </c>
      <c r="Q141" s="582">
        <v>1</v>
      </c>
      <c r="R141" s="582">
        <v>1</v>
      </c>
      <c r="S141" s="504"/>
      <c r="T141" s="148">
        <f t="shared" si="296"/>
        <v>1</v>
      </c>
      <c r="U141" s="146"/>
      <c r="V141" s="43"/>
      <c r="W141" s="43"/>
      <c r="X141" s="43"/>
      <c r="Y141" s="147"/>
      <c r="Z141" s="147">
        <f>VLOOKUP(B141,'Manuell filtrering og justering'!$A$7:$H$253,'Manuell filtrering og justering'!$H$1,FALSE)</f>
        <v>1</v>
      </c>
      <c r="AA141" s="148">
        <f t="shared" si="298"/>
        <v>0</v>
      </c>
      <c r="AB141" s="149">
        <f>IF($AC$5='Manuell filtrering og justering'!$J$2,Z141,(T141-AA141))</f>
        <v>1</v>
      </c>
      <c r="AD141" s="150">
        <f t="shared" si="299"/>
        <v>8.0952380952380963E-3</v>
      </c>
      <c r="AE141" s="150">
        <f t="shared" si="310"/>
        <v>0</v>
      </c>
      <c r="AF141" s="150">
        <f t="shared" si="311"/>
        <v>0</v>
      </c>
      <c r="AG141" s="150">
        <f t="shared" si="312"/>
        <v>0</v>
      </c>
      <c r="AI141" s="794">
        <f>IF(AI241=AD_no,0,IF(VLOOKUP(E141,'Pre-Assessment Estimator'!$E$11:$Z$228,'Pre-Assessment Estimator'!$G$2,FALSE)&gt;AB141,AB141,VLOOKUP(E141,'Pre-Assessment Estimator'!$E$11:$Z$228,'Pre-Assessment Estimator'!$G$2,FALSE)))</f>
        <v>0</v>
      </c>
      <c r="AJ141" s="794">
        <f>IF(AJ241=AD_no,0,IF(VLOOKUP(E141,'Pre-Assessment Estimator'!$E$11:$Z$228,'Pre-Assessment Estimator'!$N$2,FALSE)&gt;AB141,AB141,VLOOKUP(E141,'Pre-Assessment Estimator'!$E$11:$Z$228,'Pre-Assessment Estimator'!$N$2,FALSE)))</f>
        <v>0</v>
      </c>
      <c r="AK141" s="794">
        <f>IF(AK241=AD_no,0,IF(VLOOKUP(E141,'Pre-Assessment Estimator'!$E$11:$Z$228,'Pre-Assessment Estimator'!$U$2,FALSE)&gt;AB141,AB141,VLOOKUP(E141,'Pre-Assessment Estimator'!$E$11:$Z$228,'Pre-Assessment Estimator'!$U$2,FALSE)))</f>
        <v>0</v>
      </c>
      <c r="AM141" s="251"/>
      <c r="AN141" s="252"/>
      <c r="AO141" s="252"/>
      <c r="AP141" s="252"/>
      <c r="AQ141" s="253"/>
      <c r="AR141" s="123"/>
      <c r="AS141" s="251"/>
      <c r="AT141" s="252"/>
      <c r="AU141" s="252"/>
      <c r="AV141" s="252"/>
      <c r="AW141" s="253"/>
      <c r="AY141" s="146"/>
      <c r="AZ141" s="43"/>
      <c r="BA141" s="43"/>
      <c r="BB141" s="43"/>
      <c r="BC141" s="163"/>
      <c r="BD141" s="160">
        <f t="shared" si="334"/>
        <v>9</v>
      </c>
      <c r="BE141" s="45" t="str">
        <f t="shared" si="306"/>
        <v>N/A</v>
      </c>
      <c r="BF141" s="163"/>
      <c r="BG141" s="160">
        <f t="shared" si="335"/>
        <v>9</v>
      </c>
      <c r="BH141" s="45" t="str">
        <f t="shared" si="308"/>
        <v>N/A</v>
      </c>
      <c r="BI141" s="163"/>
      <c r="BJ141" s="160">
        <f t="shared" si="336"/>
        <v>9</v>
      </c>
      <c r="BK141" s="45" t="str">
        <f t="shared" si="309"/>
        <v>N/A</v>
      </c>
      <c r="BL141" s="163"/>
      <c r="BO141" s="43"/>
      <c r="BP141" s="43"/>
      <c r="BQ141" s="43" t="str">
        <f t="shared" si="340"/>
        <v/>
      </c>
      <c r="BR141" s="43">
        <f t="shared" si="196"/>
        <v>9</v>
      </c>
      <c r="BS141" s="43">
        <f t="shared" si="197"/>
        <v>9</v>
      </c>
      <c r="BT141" s="43">
        <f t="shared" si="198"/>
        <v>9</v>
      </c>
      <c r="BW141" s="43"/>
      <c r="BX141" s="43"/>
      <c r="BY141" s="61"/>
      <c r="BZ141" s="43"/>
      <c r="CA141" s="514"/>
      <c r="CB141" s="43"/>
      <c r="CG141" s="62"/>
    </row>
    <row r="142" spans="1:85" x14ac:dyDescent="0.25">
      <c r="A142">
        <v>134</v>
      </c>
      <c r="B142" t="str">
        <f t="shared" si="341"/>
        <v>Mat 05d</v>
      </c>
      <c r="D142" s="146" t="s">
        <v>675</v>
      </c>
      <c r="E142" s="840" t="s">
        <v>973</v>
      </c>
      <c r="F142" s="582">
        <v>1</v>
      </c>
      <c r="G142" s="582">
        <v>1</v>
      </c>
      <c r="H142" s="582">
        <v>1</v>
      </c>
      <c r="I142" s="582">
        <v>1</v>
      </c>
      <c r="J142" s="582">
        <v>1</v>
      </c>
      <c r="K142" s="582">
        <v>1</v>
      </c>
      <c r="L142" s="582">
        <v>1</v>
      </c>
      <c r="M142" s="582">
        <v>1</v>
      </c>
      <c r="N142" s="582">
        <v>1</v>
      </c>
      <c r="O142" s="582">
        <v>1</v>
      </c>
      <c r="P142" s="582">
        <v>1</v>
      </c>
      <c r="Q142" s="582">
        <v>1</v>
      </c>
      <c r="R142" s="582">
        <v>1</v>
      </c>
      <c r="S142" s="504"/>
      <c r="T142" s="148">
        <f t="shared" si="296"/>
        <v>1</v>
      </c>
      <c r="U142" s="146"/>
      <c r="V142" s="43"/>
      <c r="W142" s="43"/>
      <c r="X142" s="43"/>
      <c r="Y142" s="147"/>
      <c r="Z142" s="147">
        <f>VLOOKUP(B142,'Manuell filtrering og justering'!$A$7:$H$253,'Manuell filtrering og justering'!$H$1,FALSE)</f>
        <v>1</v>
      </c>
      <c r="AA142" s="148">
        <f t="shared" si="298"/>
        <v>0</v>
      </c>
      <c r="AB142" s="149">
        <f>IF($AC$5='Manuell filtrering og justering'!$J$2,Z142,(T142-AA142))</f>
        <v>1</v>
      </c>
      <c r="AD142" s="150">
        <f t="shared" si="299"/>
        <v>8.0952380952380963E-3</v>
      </c>
      <c r="AE142" s="150">
        <f t="shared" si="310"/>
        <v>0</v>
      </c>
      <c r="AF142" s="150">
        <f t="shared" si="311"/>
        <v>0</v>
      </c>
      <c r="AG142" s="150">
        <f t="shared" si="312"/>
        <v>0</v>
      </c>
      <c r="AI142" s="794">
        <f>IF(AI241=AD_no,0,IF(VLOOKUP(E142,'Pre-Assessment Estimator'!$E$11:$Z$228,'Pre-Assessment Estimator'!$G$2,FALSE)&gt;AB142,AB142,VLOOKUP(E142,'Pre-Assessment Estimator'!$E$11:$Z$228,'Pre-Assessment Estimator'!$G$2,FALSE)))</f>
        <v>0</v>
      </c>
      <c r="AJ142" s="794">
        <f>IF(AJ241=AD_no,0,IF(VLOOKUP(E142,'Pre-Assessment Estimator'!$E$11:$Z$228,'Pre-Assessment Estimator'!$N$2,FALSE)&gt;AB142,AB142,VLOOKUP(E142,'Pre-Assessment Estimator'!$E$11:$Z$228,'Pre-Assessment Estimator'!$N$2,FALSE)))</f>
        <v>0</v>
      </c>
      <c r="AK142" s="794">
        <f>IF(AK241=AD_no,0,IF(VLOOKUP(E142,'Pre-Assessment Estimator'!$E$11:$Z$228,'Pre-Assessment Estimator'!$U$2,FALSE)&gt;AB142,AB142,VLOOKUP(E142,'Pre-Assessment Estimator'!$E$11:$Z$228,'Pre-Assessment Estimator'!$U$2,FALSE)))</f>
        <v>0</v>
      </c>
      <c r="AM142" s="896">
        <v>1</v>
      </c>
      <c r="AN142" s="893">
        <v>1</v>
      </c>
      <c r="AO142" s="893">
        <v>1</v>
      </c>
      <c r="AP142" s="252">
        <v>1</v>
      </c>
      <c r="AQ142" s="253">
        <v>1</v>
      </c>
      <c r="AR142" s="123"/>
      <c r="AS142" s="896">
        <v>1</v>
      </c>
      <c r="AT142" s="893">
        <v>1</v>
      </c>
      <c r="AU142" s="893">
        <v>1</v>
      </c>
      <c r="AV142" s="252">
        <v>1</v>
      </c>
      <c r="AW142" s="253">
        <v>1</v>
      </c>
      <c r="AY142" s="146"/>
      <c r="AZ142" s="43"/>
      <c r="BA142" s="43"/>
      <c r="BB142" s="161">
        <f>IF($AB142=0,0,IF($E$6=$H$9,AV142,AP142))</f>
        <v>1</v>
      </c>
      <c r="BC142" s="161">
        <f>IF($AB142=0,0,IF($E$6=$H$9,AW142,AQ142))</f>
        <v>1</v>
      </c>
      <c r="BD142" s="160">
        <f t="shared" si="334"/>
        <v>3</v>
      </c>
      <c r="BE142" s="45" t="str">
        <f t="shared" si="306"/>
        <v>Very Good</v>
      </c>
      <c r="BF142" s="163"/>
      <c r="BG142" s="160">
        <f t="shared" si="335"/>
        <v>3</v>
      </c>
      <c r="BH142" s="45" t="str">
        <f t="shared" si="308"/>
        <v>Very Good</v>
      </c>
      <c r="BI142" s="163"/>
      <c r="BJ142" s="160">
        <f t="shared" si="336"/>
        <v>3</v>
      </c>
      <c r="BK142" s="45" t="str">
        <f t="shared" si="309"/>
        <v>Very Good</v>
      </c>
      <c r="BL142" s="163"/>
      <c r="BO142" s="43"/>
      <c r="BP142" s="43"/>
      <c r="BQ142" s="43" t="str">
        <f t="shared" si="340"/>
        <v/>
      </c>
      <c r="BR142" s="43">
        <f t="shared" si="196"/>
        <v>9</v>
      </c>
      <c r="BS142" s="43">
        <f t="shared" si="197"/>
        <v>9</v>
      </c>
      <c r="BT142" s="43">
        <f t="shared" si="198"/>
        <v>9</v>
      </c>
      <c r="BW142" s="43"/>
      <c r="BX142" s="43"/>
      <c r="BY142" s="61"/>
      <c r="BZ142" s="43"/>
      <c r="CA142" s="514"/>
      <c r="CB142" s="43"/>
      <c r="CG142" s="62"/>
    </row>
    <row r="143" spans="1:85" x14ac:dyDescent="0.25">
      <c r="A143">
        <v>135</v>
      </c>
      <c r="B143" t="str">
        <f t="shared" si="341"/>
        <v>Mat 05e</v>
      </c>
      <c r="D143" s="146" t="s">
        <v>674</v>
      </c>
      <c r="E143" s="840" t="s">
        <v>974</v>
      </c>
      <c r="F143" s="582">
        <v>1</v>
      </c>
      <c r="G143" s="582">
        <v>1</v>
      </c>
      <c r="H143" s="582">
        <v>1</v>
      </c>
      <c r="I143" s="582">
        <v>1</v>
      </c>
      <c r="J143" s="582">
        <v>1</v>
      </c>
      <c r="K143" s="582">
        <v>1</v>
      </c>
      <c r="L143" s="582">
        <v>1</v>
      </c>
      <c r="M143" s="582">
        <v>1</v>
      </c>
      <c r="N143" s="582">
        <v>1</v>
      </c>
      <c r="O143" s="582">
        <v>1</v>
      </c>
      <c r="P143" s="582">
        <v>1</v>
      </c>
      <c r="Q143" s="582">
        <v>1</v>
      </c>
      <c r="R143" s="582">
        <v>1</v>
      </c>
      <c r="S143" s="504"/>
      <c r="T143" s="148">
        <f t="shared" si="296"/>
        <v>1</v>
      </c>
      <c r="U143" s="146"/>
      <c r="V143" s="43"/>
      <c r="W143" s="43"/>
      <c r="X143" s="43"/>
      <c r="Y143" s="147"/>
      <c r="Z143" s="147">
        <f>VLOOKUP(B143,'Manuell filtrering og justering'!$A$7:$H$253,'Manuell filtrering og justering'!$H$1,FALSE)</f>
        <v>1</v>
      </c>
      <c r="AA143" s="148">
        <f t="shared" si="298"/>
        <v>0</v>
      </c>
      <c r="AB143" s="149">
        <f>IF($AC$5='Manuell filtrering og justering'!$J$2,Z143,(T143-AA143))</f>
        <v>1</v>
      </c>
      <c r="AD143" s="150">
        <f t="shared" si="299"/>
        <v>8.0952380952380963E-3</v>
      </c>
      <c r="AE143" s="150">
        <f t="shared" ref="AE143" si="342">IF(AB143=0,0,(AD143/AB143)*AI143)</f>
        <v>0</v>
      </c>
      <c r="AF143" s="150">
        <f t="shared" ref="AF143" si="343">IF(AB143=0,0,(AD143/AB143)*AJ143)</f>
        <v>0</v>
      </c>
      <c r="AG143" s="150">
        <f t="shared" ref="AG143" si="344">IF(AB143=0,0,(AD143/AB143)*AK143)</f>
        <v>0</v>
      </c>
      <c r="AI143" s="794">
        <f>IF(AI241=AD_no,0,IF(VLOOKUP(E143,'Pre-Assessment Estimator'!$E$11:$Z$228,'Pre-Assessment Estimator'!$G$2,FALSE)&gt;AB143,AB143,VLOOKUP(E143,'Pre-Assessment Estimator'!$E$11:$Z$228,'Pre-Assessment Estimator'!$G$2,FALSE)))</f>
        <v>0</v>
      </c>
      <c r="AJ143" s="794">
        <f>IF(AJ241=AD_no,0,IF(VLOOKUP(E143,'Pre-Assessment Estimator'!$E$11:$Z$228,'Pre-Assessment Estimator'!$N$2,FALSE)&gt;AB143,AB143,VLOOKUP(E143,'Pre-Assessment Estimator'!$E$11:$Z$228,'Pre-Assessment Estimator'!$N$2,FALSE)))</f>
        <v>0</v>
      </c>
      <c r="AK143" s="794">
        <f>IF(AK241=AD_no,0,IF(VLOOKUP(E143,'Pre-Assessment Estimator'!$E$11:$Z$228,'Pre-Assessment Estimator'!$U$2,FALSE)&gt;AB143,AB143,VLOOKUP(E143,'Pre-Assessment Estimator'!$E$11:$Z$228,'Pre-Assessment Estimator'!$U$2,FALSE)))</f>
        <v>0</v>
      </c>
      <c r="AM143" s="251"/>
      <c r="AN143" s="252"/>
      <c r="AO143" s="252"/>
      <c r="AP143" s="252"/>
      <c r="AQ143" s="253"/>
      <c r="AR143" s="123"/>
      <c r="AS143" s="251"/>
      <c r="AT143" s="252"/>
      <c r="AU143" s="252"/>
      <c r="AV143" s="252"/>
      <c r="AW143" s="253"/>
      <c r="AY143" s="146"/>
      <c r="AZ143" s="43"/>
      <c r="BA143" s="43"/>
      <c r="BB143" s="43"/>
      <c r="BC143" s="163"/>
      <c r="BD143" s="160">
        <f t="shared" ref="BD143" si="345">IF(BC143=0,9,IF(AI143&gt;=BC143,5,IF(AI143&gt;=BB143,4,IF(AI143&gt;=BA143,3,IF(AI143&gt;=AZ143,2,IF(AI143&lt;AY143,0,1))))))</f>
        <v>9</v>
      </c>
      <c r="BE143" s="45" t="str">
        <f t="shared" si="306"/>
        <v>N/A</v>
      </c>
      <c r="BF143" s="163"/>
      <c r="BG143" s="160">
        <f t="shared" ref="BG143" si="346">IF(BC143=0,9,IF(AJ143&gt;=BC143,5,IF(AJ143&gt;=BB143,4,IF(AJ143&gt;=BA143,3,IF(AJ143&gt;=AZ143,2,IF(AJ143&lt;AY143,0,1))))))</f>
        <v>9</v>
      </c>
      <c r="BH143" s="45" t="str">
        <f t="shared" si="308"/>
        <v>N/A</v>
      </c>
      <c r="BI143" s="163"/>
      <c r="BJ143" s="160">
        <f t="shared" ref="BJ143" si="347">IF(BC143=0,9,IF(AK143&gt;=BC143,5,IF(AK143&gt;=BB143,4,IF(AK143&gt;=BA143,3,IF(AK143&gt;=AZ143,2,IF(AK143&lt;AY143,0,1))))))</f>
        <v>9</v>
      </c>
      <c r="BK143" s="45" t="str">
        <f t="shared" si="309"/>
        <v>N/A</v>
      </c>
      <c r="BL143" s="163"/>
      <c r="BO143" s="43"/>
      <c r="BP143" s="43"/>
      <c r="BQ143" s="43" t="str">
        <f t="shared" si="340"/>
        <v/>
      </c>
      <c r="BR143" s="43">
        <f t="shared" si="196"/>
        <v>9</v>
      </c>
      <c r="BS143" s="43">
        <f t="shared" si="197"/>
        <v>9</v>
      </c>
      <c r="BT143" s="43">
        <f t="shared" si="198"/>
        <v>9</v>
      </c>
      <c r="BW143" s="43"/>
      <c r="BX143" s="43"/>
      <c r="BY143" s="61"/>
      <c r="BZ143" s="43"/>
      <c r="CA143" s="514"/>
      <c r="CB143" s="43"/>
      <c r="CG143" s="62"/>
    </row>
    <row r="144" spans="1:85" x14ac:dyDescent="0.25">
      <c r="A144">
        <v>136</v>
      </c>
      <c r="B144" s="121" t="str">
        <f>D144</f>
        <v>Mat 06</v>
      </c>
      <c r="C144" s="121"/>
      <c r="D144" s="638" t="s">
        <v>170</v>
      </c>
      <c r="E144" s="636" t="s">
        <v>446</v>
      </c>
      <c r="F144" s="699">
        <f>SUM(F145:F147)</f>
        <v>3</v>
      </c>
      <c r="G144" s="699">
        <f t="shared" ref="G144:R144" si="348">SUM(G145:G147)</f>
        <v>3</v>
      </c>
      <c r="H144" s="699">
        <f t="shared" si="348"/>
        <v>3</v>
      </c>
      <c r="I144" s="699">
        <f t="shared" si="348"/>
        <v>3</v>
      </c>
      <c r="J144" s="699">
        <f t="shared" si="348"/>
        <v>3</v>
      </c>
      <c r="K144" s="699">
        <f t="shared" si="348"/>
        <v>3</v>
      </c>
      <c r="L144" s="699">
        <f t="shared" si="348"/>
        <v>3</v>
      </c>
      <c r="M144" s="699">
        <f t="shared" si="348"/>
        <v>3</v>
      </c>
      <c r="N144" s="699">
        <f t="shared" si="348"/>
        <v>3</v>
      </c>
      <c r="O144" s="699">
        <f t="shared" si="348"/>
        <v>3</v>
      </c>
      <c r="P144" s="699">
        <f t="shared" si="348"/>
        <v>3</v>
      </c>
      <c r="Q144" s="699">
        <f t="shared" ref="Q144" si="349">SUM(Q145:Q147)</f>
        <v>3</v>
      </c>
      <c r="R144" s="699">
        <f t="shared" si="348"/>
        <v>3</v>
      </c>
      <c r="S144" s="121"/>
      <c r="T144" s="719">
        <f t="shared" si="296"/>
        <v>3</v>
      </c>
      <c r="U144" s="191">
        <f>U145</f>
        <v>0</v>
      </c>
      <c r="V144" s="61"/>
      <c r="W144" s="61"/>
      <c r="X144" s="61">
        <f>'Manuell filtrering og justering'!E63</f>
        <v>0</v>
      </c>
      <c r="Y144" s="61"/>
      <c r="Z144" s="714">
        <f t="shared" ref="Z144" si="350">SUM(Z145:Z147)</f>
        <v>4</v>
      </c>
      <c r="AA144" s="719">
        <f t="shared" si="298"/>
        <v>0</v>
      </c>
      <c r="AB144" s="793">
        <f>SUM(AB145:AB147)</f>
        <v>3</v>
      </c>
      <c r="AD144" s="150">
        <f t="shared" si="299"/>
        <v>2.4285714285714289E-2</v>
      </c>
      <c r="AE144" s="687">
        <f>SUM(AE145:AE147)</f>
        <v>0</v>
      </c>
      <c r="AF144" s="687">
        <f t="shared" ref="AF144" si="351">SUM(AF145:AF147)</f>
        <v>0</v>
      </c>
      <c r="AG144" s="687">
        <f t="shared" ref="AG144" si="352">SUM(AG145:AG147)</f>
        <v>0</v>
      </c>
      <c r="AI144" s="714">
        <f t="shared" ref="AI144" si="353">SUM(AI145:AI147)</f>
        <v>0</v>
      </c>
      <c r="AJ144" s="714">
        <f t="shared" ref="AJ144" si="354">SUM(AJ145:AJ147)</f>
        <v>0</v>
      </c>
      <c r="AK144" s="714">
        <f t="shared" ref="AK144" si="355">SUM(AK145:AK147)</f>
        <v>0</v>
      </c>
      <c r="AM144" s="251"/>
      <c r="AN144" s="252"/>
      <c r="AO144" s="252"/>
      <c r="AP144" s="252"/>
      <c r="AQ144" s="253"/>
      <c r="AR144" s="123"/>
      <c r="AS144" s="251"/>
      <c r="AT144" s="252"/>
      <c r="AU144" s="252"/>
      <c r="AV144" s="252"/>
      <c r="AW144" s="253"/>
      <c r="AY144" s="146"/>
      <c r="AZ144" s="43"/>
      <c r="BA144" s="43"/>
      <c r="BB144" s="43"/>
      <c r="BC144" s="163"/>
      <c r="BD144" s="160">
        <f t="shared" si="334"/>
        <v>9</v>
      </c>
      <c r="BE144" s="45" t="str">
        <f t="shared" si="306"/>
        <v>N/A</v>
      </c>
      <c r="BF144" s="163"/>
      <c r="BG144" s="160">
        <f t="shared" si="335"/>
        <v>9</v>
      </c>
      <c r="BH144" s="45" t="str">
        <f t="shared" si="308"/>
        <v>N/A</v>
      </c>
      <c r="BI144" s="163"/>
      <c r="BJ144" s="160">
        <f t="shared" si="336"/>
        <v>9</v>
      </c>
      <c r="BK144" s="45" t="str">
        <f t="shared" si="309"/>
        <v>N/A</v>
      </c>
      <c r="BL144" s="163"/>
      <c r="BO144" s="43"/>
      <c r="BP144" s="43"/>
      <c r="BQ144" s="43" t="str">
        <f t="shared" si="340"/>
        <v/>
      </c>
      <c r="BR144" s="43">
        <f t="shared" si="196"/>
        <v>9</v>
      </c>
      <c r="BS144" s="43">
        <f t="shared" si="197"/>
        <v>9</v>
      </c>
      <c r="BT144" s="43">
        <f t="shared" si="198"/>
        <v>9</v>
      </c>
      <c r="BW144" s="247" t="str">
        <f>D144</f>
        <v>Mat 06</v>
      </c>
      <c r="BX144" s="247">
        <f>IFERROR(VLOOKUP($E144,'Pre-Assessment Estimator'!$E$11:$AB$228,'Pre-Assessment Estimator'!AB$2,FALSE),"")</f>
        <v>0</v>
      </c>
      <c r="BY144" s="247">
        <f>IFERROR(VLOOKUP($E144,'Pre-Assessment Estimator'!$E$11:$AI$228,'Pre-Assessment Estimator'!AI$2,FALSE),"")</f>
        <v>0</v>
      </c>
      <c r="BZ144" s="247" t="str">
        <f>IFERROR(VLOOKUP($BX144,$E$294:$H$327,F$292,FALSE),"")</f>
        <v/>
      </c>
      <c r="CA144" s="247" t="str">
        <f>IFERROR(VLOOKUP($BX144,$E$294:$H$327,G$292,FALSE),"")</f>
        <v/>
      </c>
      <c r="CB144" s="247"/>
      <c r="CC144" t="str">
        <f>IFERROR(VLOOKUP($BX144,$E$294:$H$327,I$292,FALSE),"")</f>
        <v/>
      </c>
    </row>
    <row r="145" spans="1:81" x14ac:dyDescent="0.25">
      <c r="A145">
        <v>137</v>
      </c>
      <c r="B145" t="str">
        <f t="shared" ref="B145:B147" si="356">$D$144&amp;D145</f>
        <v>Mat 06a</v>
      </c>
      <c r="D145" s="146" t="s">
        <v>673</v>
      </c>
      <c r="E145" s="1407" t="s">
        <v>639</v>
      </c>
      <c r="F145" s="582">
        <v>1</v>
      </c>
      <c r="G145" s="582">
        <v>1</v>
      </c>
      <c r="H145" s="582">
        <v>1</v>
      </c>
      <c r="I145" s="582">
        <v>1</v>
      </c>
      <c r="J145" s="582">
        <v>1</v>
      </c>
      <c r="K145" s="582">
        <v>1</v>
      </c>
      <c r="L145" s="582">
        <v>1</v>
      </c>
      <c r="M145" s="582">
        <v>1</v>
      </c>
      <c r="N145" s="582">
        <v>1</v>
      </c>
      <c r="O145" s="582">
        <v>1</v>
      </c>
      <c r="P145" s="582">
        <v>1</v>
      </c>
      <c r="Q145" s="582">
        <v>1</v>
      </c>
      <c r="R145" s="582">
        <v>1</v>
      </c>
      <c r="S145" s="121"/>
      <c r="T145" s="148">
        <f t="shared" si="296"/>
        <v>1</v>
      </c>
      <c r="U145" s="167">
        <f>IF('Assessment Details'!F26=AD_no,Poeng!T145,0)</f>
        <v>0</v>
      </c>
      <c r="V145" s="48"/>
      <c r="W145" s="48"/>
      <c r="X145" s="43"/>
      <c r="Y145" s="147"/>
      <c r="Z145" s="147">
        <f>VLOOKUP(B145,'Manuell filtrering og justering'!$A$7:$H$253,'Manuell filtrering og justering'!$H$1,FALSE)</f>
        <v>1</v>
      </c>
      <c r="AA145" s="148">
        <f t="shared" si="298"/>
        <v>0</v>
      </c>
      <c r="AB145" s="149">
        <f>IF($AC$5='Manuell filtrering og justering'!$J$2,Z145,(T145-AA145))</f>
        <v>1</v>
      </c>
      <c r="AD145" s="150">
        <f t="shared" si="299"/>
        <v>8.0952380952380963E-3</v>
      </c>
      <c r="AE145" s="150">
        <f t="shared" si="310"/>
        <v>0</v>
      </c>
      <c r="AF145" s="150">
        <f t="shared" si="311"/>
        <v>0</v>
      </c>
      <c r="AG145" s="150">
        <f t="shared" si="312"/>
        <v>0</v>
      </c>
      <c r="AI145" s="151">
        <f>IF(VLOOKUP(E145,'Pre-Assessment Estimator'!$E$11:$Z$228,'Pre-Assessment Estimator'!$G$2,FALSE)&gt;AB145,AB145,VLOOKUP(E145,'Pre-Assessment Estimator'!$E$11:$Z$228,'Pre-Assessment Estimator'!$G$2,FALSE))</f>
        <v>0</v>
      </c>
      <c r="AJ145" s="151">
        <f>IF(VLOOKUP(E145,'Pre-Assessment Estimator'!$E$11:$Z$228,'Pre-Assessment Estimator'!$N$2,FALSE)&gt;AB145,AB145,VLOOKUP(E145,'Pre-Assessment Estimator'!$E$11:$Z$228,'Pre-Assessment Estimator'!$N$2,FALSE))</f>
        <v>0</v>
      </c>
      <c r="AK145" s="151">
        <f>IF(VLOOKUP(E145,'Pre-Assessment Estimator'!$E$11:$Z$228,'Pre-Assessment Estimator'!$U$2,FALSE)&gt;AB145,AB145,VLOOKUP(E145,'Pre-Assessment Estimator'!$E$11:$Z$228,'Pre-Assessment Estimator'!$U$2,FALSE))</f>
        <v>0</v>
      </c>
      <c r="AM145" s="653">
        <v>1</v>
      </c>
      <c r="AN145" s="654">
        <v>1</v>
      </c>
      <c r="AO145" s="654">
        <v>1</v>
      </c>
      <c r="AP145" s="654">
        <v>1</v>
      </c>
      <c r="AQ145" s="646">
        <v>1</v>
      </c>
      <c r="AR145" s="123"/>
      <c r="AS145" s="653"/>
      <c r="AT145" s="654"/>
      <c r="AU145" s="654"/>
      <c r="AV145" s="654">
        <v>1</v>
      </c>
      <c r="AW145" s="646">
        <v>1</v>
      </c>
      <c r="AY145" s="161">
        <f>IF($AB145=0,0,IF($E$6=$H$9,AS145,AM145))</f>
        <v>1</v>
      </c>
      <c r="AZ145" s="161">
        <f>IF($AB145=0,0,IF($E$6=$H$9,AT145,AN145))</f>
        <v>1</v>
      </c>
      <c r="BA145" s="161">
        <f>IF($AB145=0,0,IF($E$6=$H$9,AU145,AO145))</f>
        <v>1</v>
      </c>
      <c r="BB145" s="161">
        <f>IF($AB145=0,0,IF($E$6=$H$9,AV145,AP145))</f>
        <v>1</v>
      </c>
      <c r="BC145" s="161">
        <f>IF($AB145=0,0,IF($E$6=$H$9,AW145,AQ145))</f>
        <v>1</v>
      </c>
      <c r="BD145" s="746">
        <f>IF('Assessment Details'!F26=AD_no,9,IF(AND(AI145=1,AI250=AD_Yes),5,IF(AI250=AD_Yes,3,0)))</f>
        <v>0</v>
      </c>
      <c r="BE145" s="45" t="str">
        <f t="shared" si="306"/>
        <v>Unclassified</v>
      </c>
      <c r="BF145" s="163"/>
      <c r="BG145" s="746">
        <f>IF('Assessment Details'!F26=AD_no,9,IF(AND(AJ145=1,AJ250=AD_Yes),5,IF(AJ250=AD_Yes,3,0)))</f>
        <v>0</v>
      </c>
      <c r="BH145" s="45" t="str">
        <f t="shared" si="308"/>
        <v>Unclassified</v>
      </c>
      <c r="BI145" s="163"/>
      <c r="BJ145" s="746">
        <f>IF('Assessment Details'!F26=AD_no,9,IF(AND(AK145=1,AK250=AD_Yes),5,IF(AK250=AD_Yes,3,0)))</f>
        <v>0</v>
      </c>
      <c r="BK145" s="45" t="str">
        <f t="shared" si="309"/>
        <v>Unclassified</v>
      </c>
      <c r="BL145" s="650"/>
      <c r="BO145" s="43"/>
      <c r="BP145" s="43"/>
      <c r="BQ145" s="43"/>
      <c r="BR145" s="43">
        <f t="shared" si="196"/>
        <v>9</v>
      </c>
      <c r="BS145" s="43">
        <f t="shared" si="197"/>
        <v>9</v>
      </c>
      <c r="BT145" s="43">
        <f t="shared" si="198"/>
        <v>9</v>
      </c>
      <c r="BW145" s="529"/>
      <c r="BX145" s="529"/>
      <c r="BY145" s="529"/>
      <c r="BZ145" s="529"/>
      <c r="CA145" s="529"/>
      <c r="CB145" s="529"/>
    </row>
    <row r="146" spans="1:81" x14ac:dyDescent="0.25">
      <c r="A146">
        <v>138</v>
      </c>
      <c r="B146" t="str">
        <f t="shared" si="356"/>
        <v>Mat 06b</v>
      </c>
      <c r="D146" s="146" t="s">
        <v>676</v>
      </c>
      <c r="E146" s="840" t="s">
        <v>640</v>
      </c>
      <c r="F146" s="582">
        <v>1</v>
      </c>
      <c r="G146" s="582">
        <v>1</v>
      </c>
      <c r="H146" s="582">
        <v>1</v>
      </c>
      <c r="I146" s="582">
        <v>1</v>
      </c>
      <c r="J146" s="582">
        <v>1</v>
      </c>
      <c r="K146" s="582">
        <v>1</v>
      </c>
      <c r="L146" s="582">
        <v>1</v>
      </c>
      <c r="M146" s="582">
        <v>1</v>
      </c>
      <c r="N146" s="582">
        <v>1</v>
      </c>
      <c r="O146" s="582">
        <v>1</v>
      </c>
      <c r="P146" s="582">
        <v>1</v>
      </c>
      <c r="Q146" s="582">
        <v>1</v>
      </c>
      <c r="R146" s="582">
        <v>1</v>
      </c>
      <c r="S146" s="121"/>
      <c r="T146" s="148">
        <f t="shared" si="296"/>
        <v>1</v>
      </c>
      <c r="U146" s="167"/>
      <c r="V146" s="48"/>
      <c r="W146" s="48"/>
      <c r="X146" s="43"/>
      <c r="Y146" s="147"/>
      <c r="Z146" s="147">
        <f>VLOOKUP(B146,'Manuell filtrering og justering'!$A$7:$H$253,'Manuell filtrering og justering'!$H$1,FALSE)</f>
        <v>1</v>
      </c>
      <c r="AA146" s="148">
        <f t="shared" si="298"/>
        <v>0</v>
      </c>
      <c r="AB146" s="149">
        <f>IF($AC$5='Manuell filtrering og justering'!$J$2,Z146,(T146-AA146))</f>
        <v>1</v>
      </c>
      <c r="AD146" s="150">
        <f t="shared" si="299"/>
        <v>8.0952380952380963E-3</v>
      </c>
      <c r="AE146" s="150">
        <f t="shared" si="310"/>
        <v>0</v>
      </c>
      <c r="AF146" s="150">
        <f t="shared" si="311"/>
        <v>0</v>
      </c>
      <c r="AG146" s="150">
        <f t="shared" si="312"/>
        <v>0</v>
      </c>
      <c r="AI146" s="151">
        <f>IF(VLOOKUP(E146,'Pre-Assessment Estimator'!$E$11:$Z$228,'Pre-Assessment Estimator'!$G$2,FALSE)&gt;AB146,AB146,VLOOKUP(E146,'Pre-Assessment Estimator'!$E$11:$Z$228,'Pre-Assessment Estimator'!$G$2,FALSE))</f>
        <v>0</v>
      </c>
      <c r="AJ146" s="151">
        <f>IF(VLOOKUP(E146,'Pre-Assessment Estimator'!$E$11:$Z$228,'Pre-Assessment Estimator'!$N$2,FALSE)&gt;AB146,AB146,VLOOKUP(E146,'Pre-Assessment Estimator'!$E$11:$Z$228,'Pre-Assessment Estimator'!$N$2,FALSE))</f>
        <v>0</v>
      </c>
      <c r="AK146" s="151">
        <f>IF(VLOOKUP(E146,'Pre-Assessment Estimator'!$E$11:$Z$228,'Pre-Assessment Estimator'!$U$2,FALSE)&gt;AB146,AB146,VLOOKUP(E146,'Pre-Assessment Estimator'!$E$11:$Z$228,'Pre-Assessment Estimator'!$U$2,FALSE))</f>
        <v>0</v>
      </c>
      <c r="AM146" s="653"/>
      <c r="AN146" s="654"/>
      <c r="AO146" s="654"/>
      <c r="AP146" s="654"/>
      <c r="AQ146" s="646"/>
      <c r="AR146" s="123"/>
      <c r="AS146" s="653"/>
      <c r="AT146" s="654"/>
      <c r="AU146" s="654"/>
      <c r="AV146" s="654"/>
      <c r="AW146" s="646"/>
      <c r="AY146" s="167"/>
      <c r="AZ146" s="48"/>
      <c r="BA146" s="48"/>
      <c r="BB146" s="48"/>
      <c r="BC146" s="650"/>
      <c r="BD146" s="160">
        <f t="shared" si="334"/>
        <v>9</v>
      </c>
      <c r="BE146" s="45" t="str">
        <f t="shared" si="306"/>
        <v>N/A</v>
      </c>
      <c r="BF146" s="163"/>
      <c r="BG146" s="160">
        <f t="shared" si="335"/>
        <v>9</v>
      </c>
      <c r="BH146" s="45" t="str">
        <f t="shared" si="308"/>
        <v>N/A</v>
      </c>
      <c r="BI146" s="163"/>
      <c r="BJ146" s="160">
        <f t="shared" si="336"/>
        <v>9</v>
      </c>
      <c r="BK146" s="45" t="str">
        <f t="shared" si="309"/>
        <v>N/A</v>
      </c>
      <c r="BL146" s="650"/>
      <c r="BO146" s="43"/>
      <c r="BP146" s="43"/>
      <c r="BQ146" s="43" t="str">
        <f t="shared" si="340"/>
        <v/>
      </c>
      <c r="BR146" s="43">
        <f t="shared" si="196"/>
        <v>9</v>
      </c>
      <c r="BS146" s="43">
        <f t="shared" si="197"/>
        <v>9</v>
      </c>
      <c r="BT146" s="43">
        <f t="shared" si="198"/>
        <v>9</v>
      </c>
      <c r="BW146" s="529"/>
      <c r="BX146" s="529"/>
      <c r="BY146" s="529"/>
      <c r="BZ146" s="529"/>
      <c r="CA146" s="529"/>
      <c r="CB146" s="529"/>
    </row>
    <row r="147" spans="1:81" x14ac:dyDescent="0.25">
      <c r="A147">
        <v>139</v>
      </c>
      <c r="B147" t="str">
        <f t="shared" si="356"/>
        <v>Mat 06c</v>
      </c>
      <c r="D147" s="146" t="s">
        <v>677</v>
      </c>
      <c r="E147" s="840" t="s">
        <v>641</v>
      </c>
      <c r="F147" s="582">
        <v>1</v>
      </c>
      <c r="G147" s="582">
        <v>1</v>
      </c>
      <c r="H147" s="582">
        <v>1</v>
      </c>
      <c r="I147" s="582">
        <v>1</v>
      </c>
      <c r="J147" s="582">
        <v>1</v>
      </c>
      <c r="K147" s="582">
        <v>1</v>
      </c>
      <c r="L147" s="582">
        <v>1</v>
      </c>
      <c r="M147" s="582">
        <v>1</v>
      </c>
      <c r="N147" s="582">
        <v>1</v>
      </c>
      <c r="O147" s="582">
        <v>1</v>
      </c>
      <c r="P147" s="582">
        <v>1</v>
      </c>
      <c r="Q147" s="582">
        <v>1</v>
      </c>
      <c r="R147" s="582">
        <v>1</v>
      </c>
      <c r="S147" s="121"/>
      <c r="T147" s="148">
        <f t="shared" si="296"/>
        <v>1</v>
      </c>
      <c r="U147" s="167"/>
      <c r="V147" s="48"/>
      <c r="W147" s="48"/>
      <c r="X147" s="43"/>
      <c r="Y147" s="147"/>
      <c r="Z147" s="147">
        <f>VLOOKUP(B147,'Manuell filtrering og justering'!$A$7:$H$253,'Manuell filtrering og justering'!$H$1,FALSE)</f>
        <v>2</v>
      </c>
      <c r="AA147" s="148">
        <f t="shared" si="298"/>
        <v>0</v>
      </c>
      <c r="AB147" s="149">
        <f>IF($AC$5='Manuell filtrering og justering'!$J$2,Z147,(T147-AA147))</f>
        <v>1</v>
      </c>
      <c r="AD147" s="150">
        <f t="shared" si="299"/>
        <v>8.0952380952380963E-3</v>
      </c>
      <c r="AE147" s="150">
        <f t="shared" si="310"/>
        <v>0</v>
      </c>
      <c r="AF147" s="150">
        <f t="shared" si="311"/>
        <v>0</v>
      </c>
      <c r="AG147" s="150">
        <f t="shared" si="312"/>
        <v>0</v>
      </c>
      <c r="AI147" s="151">
        <f>IF(VLOOKUP(E147,'Pre-Assessment Estimator'!$E$11:$Z$228,'Pre-Assessment Estimator'!$G$2,FALSE)&gt;AB147,AB147,VLOOKUP(E147,'Pre-Assessment Estimator'!$E$11:$Z$228,'Pre-Assessment Estimator'!$G$2,FALSE))</f>
        <v>0</v>
      </c>
      <c r="AJ147" s="151">
        <f>IF(VLOOKUP(E147,'Pre-Assessment Estimator'!$E$11:$Z$228,'Pre-Assessment Estimator'!$N$2,FALSE)&gt;AB147,AB147,VLOOKUP(E147,'Pre-Assessment Estimator'!$E$11:$Z$228,'Pre-Assessment Estimator'!$N$2,FALSE))</f>
        <v>0</v>
      </c>
      <c r="AK147" s="151">
        <f>IF(VLOOKUP(E147,'Pre-Assessment Estimator'!$E$11:$Z$228,'Pre-Assessment Estimator'!$U$2,FALSE)&gt;AB147,AB147,VLOOKUP(E147,'Pre-Assessment Estimator'!$E$11:$Z$228,'Pre-Assessment Estimator'!$U$2,FALSE))</f>
        <v>0</v>
      </c>
      <c r="AM147" s="653"/>
      <c r="AN147" s="654"/>
      <c r="AO147" s="654"/>
      <c r="AP147" s="654"/>
      <c r="AQ147" s="646"/>
      <c r="AR147" s="123"/>
      <c r="AS147" s="653"/>
      <c r="AT147" s="654"/>
      <c r="AU147" s="654"/>
      <c r="AV147" s="654"/>
      <c r="AW147" s="646"/>
      <c r="AY147" s="167"/>
      <c r="AZ147" s="48"/>
      <c r="BA147" s="48"/>
      <c r="BB147" s="48"/>
      <c r="BC147" s="650"/>
      <c r="BD147" s="160">
        <f t="shared" si="334"/>
        <v>9</v>
      </c>
      <c r="BE147" s="45" t="str">
        <f t="shared" si="306"/>
        <v>N/A</v>
      </c>
      <c r="BF147" s="163"/>
      <c r="BG147" s="160">
        <f t="shared" si="335"/>
        <v>9</v>
      </c>
      <c r="BH147" s="45" t="str">
        <f t="shared" si="308"/>
        <v>N/A</v>
      </c>
      <c r="BI147" s="163"/>
      <c r="BJ147" s="160">
        <f t="shared" si="336"/>
        <v>9</v>
      </c>
      <c r="BK147" s="45" t="str">
        <f t="shared" si="309"/>
        <v>N/A</v>
      </c>
      <c r="BL147" s="650"/>
      <c r="BO147" s="43"/>
      <c r="BP147" s="43"/>
      <c r="BQ147" s="43" t="str">
        <f t="shared" si="340"/>
        <v/>
      </c>
      <c r="BR147" s="43">
        <f t="shared" si="196"/>
        <v>9</v>
      </c>
      <c r="BS147" s="43">
        <f t="shared" si="197"/>
        <v>9</v>
      </c>
      <c r="BT147" s="43">
        <f t="shared" si="198"/>
        <v>9</v>
      </c>
      <c r="BW147" s="529"/>
      <c r="BX147" s="529"/>
      <c r="BY147" s="529"/>
      <c r="BZ147" s="529"/>
      <c r="CA147" s="529"/>
      <c r="CB147" s="529"/>
    </row>
    <row r="148" spans="1:81" x14ac:dyDescent="0.25">
      <c r="A148">
        <v>140</v>
      </c>
      <c r="B148" s="121" t="str">
        <f>D148</f>
        <v>Mat 07</v>
      </c>
      <c r="C148" s="121"/>
      <c r="D148" s="638" t="s">
        <v>458</v>
      </c>
      <c r="E148" s="636" t="s">
        <v>988</v>
      </c>
      <c r="F148" s="699">
        <f>SUM(F149:F151)</f>
        <v>3</v>
      </c>
      <c r="G148" s="699">
        <f t="shared" ref="G148:R148" si="357">SUM(G149:G151)</f>
        <v>3</v>
      </c>
      <c r="H148" s="699">
        <f t="shared" si="357"/>
        <v>3</v>
      </c>
      <c r="I148" s="699">
        <f t="shared" si="357"/>
        <v>3</v>
      </c>
      <c r="J148" s="699">
        <f t="shared" si="357"/>
        <v>3</v>
      </c>
      <c r="K148" s="699">
        <f t="shared" si="357"/>
        <v>3</v>
      </c>
      <c r="L148" s="699">
        <f t="shared" si="357"/>
        <v>3</v>
      </c>
      <c r="M148" s="699">
        <f t="shared" si="357"/>
        <v>3</v>
      </c>
      <c r="N148" s="699">
        <f t="shared" si="357"/>
        <v>3</v>
      </c>
      <c r="O148" s="699">
        <f t="shared" si="357"/>
        <v>3</v>
      </c>
      <c r="P148" s="699">
        <f t="shared" si="357"/>
        <v>3</v>
      </c>
      <c r="Q148" s="699">
        <f t="shared" ref="Q148" si="358">SUM(Q149:Q151)</f>
        <v>3</v>
      </c>
      <c r="R148" s="699">
        <f t="shared" si="357"/>
        <v>3</v>
      </c>
      <c r="T148" s="719">
        <f t="shared" si="296"/>
        <v>3</v>
      </c>
      <c r="U148" s="545"/>
      <c r="V148" s="720"/>
      <c r="W148" s="720"/>
      <c r="X148" s="61">
        <f>'Manuell filtrering og justering'!E64</f>
        <v>0</v>
      </c>
      <c r="Y148" s="61"/>
      <c r="Z148" s="714">
        <f t="shared" ref="Z148" si="359">SUM(Z149:Z151)</f>
        <v>4</v>
      </c>
      <c r="AA148" s="719">
        <f t="shared" si="298"/>
        <v>0</v>
      </c>
      <c r="AB148" s="793">
        <f>SUM(AB149:AB151)</f>
        <v>3</v>
      </c>
      <c r="AD148" s="150">
        <f t="shared" si="299"/>
        <v>2.4285714285714289E-2</v>
      </c>
      <c r="AE148" s="687">
        <f>SUM(AE149:AE151)</f>
        <v>0</v>
      </c>
      <c r="AF148" s="687">
        <f t="shared" ref="AF148" si="360">SUM(AF149:AF151)</f>
        <v>0</v>
      </c>
      <c r="AG148" s="687">
        <f t="shared" ref="AG148" si="361">SUM(AG149:AG151)</f>
        <v>0</v>
      </c>
      <c r="AI148" s="714">
        <f t="shared" ref="AI148" si="362">SUM(AI149:AI151)</f>
        <v>0</v>
      </c>
      <c r="AJ148" s="714">
        <f t="shared" ref="AJ148" si="363">SUM(AJ149:AJ151)</f>
        <v>0</v>
      </c>
      <c r="AK148" s="714">
        <f t="shared" ref="AK148" si="364">SUM(AK149:AK151)</f>
        <v>0</v>
      </c>
      <c r="AM148" s="653"/>
      <c r="AN148" s="654"/>
      <c r="AO148" s="654"/>
      <c r="AP148" s="654"/>
      <c r="AQ148" s="646"/>
      <c r="AR148" s="123"/>
      <c r="AS148" s="653"/>
      <c r="AT148" s="654"/>
      <c r="AU148" s="654"/>
      <c r="AV148" s="654"/>
      <c r="AW148" s="646"/>
      <c r="AY148" s="167"/>
      <c r="AZ148" s="48"/>
      <c r="BA148" s="48"/>
      <c r="BB148" s="48"/>
      <c r="BC148" s="163"/>
      <c r="BD148" s="160">
        <f t="shared" ref="BD148:BD151" si="365">IF(BC148=0,9,IF(AI148&gt;=BC148,5,IF(AI148&gt;=BB148,4,IF(AI148&gt;=BA148,3,IF(AI148&gt;=AZ148,2,IF(AI148&lt;AY148,0,1))))))</f>
        <v>9</v>
      </c>
      <c r="BE148" s="45" t="str">
        <f t="shared" si="306"/>
        <v>N/A</v>
      </c>
      <c r="BF148" s="163"/>
      <c r="BG148" s="160">
        <f t="shared" ref="BG148:BG151" si="366">IF(BC148=0,9,IF(AJ148&gt;=BC148,5,IF(AJ148&gt;=BB148,4,IF(AJ148&gt;=BA148,3,IF(AJ148&gt;=AZ148,2,IF(AJ148&lt;AY148,0,1))))))</f>
        <v>9</v>
      </c>
      <c r="BH148" s="45" t="str">
        <f t="shared" si="308"/>
        <v>N/A</v>
      </c>
      <c r="BI148" s="163"/>
      <c r="BJ148" s="160">
        <f t="shared" ref="BJ148:BJ151" si="367">IF(BC148=0,9,IF(AK148&gt;=BC148,5,IF(AK148&gt;=BB148,4,IF(AK148&gt;=BA148,3,IF(AK148&gt;=AZ148,2,IF(AK148&lt;AY148,0,1))))))</f>
        <v>9</v>
      </c>
      <c r="BK148" s="45" t="str">
        <f t="shared" si="309"/>
        <v>N/A</v>
      </c>
      <c r="BL148" s="650"/>
      <c r="BO148" s="43"/>
      <c r="BP148" s="43"/>
      <c r="BQ148" s="43" t="str">
        <f t="shared" si="340"/>
        <v/>
      </c>
      <c r="BR148" s="43">
        <f t="shared" si="196"/>
        <v>9</v>
      </c>
      <c r="BS148" s="43">
        <f t="shared" si="197"/>
        <v>9</v>
      </c>
      <c r="BT148" s="43">
        <f t="shared" si="198"/>
        <v>9</v>
      </c>
      <c r="BW148" s="529" t="str">
        <f>D148</f>
        <v>Mat 07</v>
      </c>
      <c r="BX148" s="529"/>
      <c r="BY148" s="529"/>
      <c r="BZ148" s="529"/>
      <c r="CA148" s="529"/>
      <c r="CB148" s="529"/>
    </row>
    <row r="149" spans="1:81" x14ac:dyDescent="0.25">
      <c r="A149">
        <v>141</v>
      </c>
      <c r="B149" t="str">
        <f t="shared" ref="B149:B151" si="368">$D$148&amp;D149</f>
        <v>Mat 07a</v>
      </c>
      <c r="D149" s="146" t="s">
        <v>673</v>
      </c>
      <c r="E149" s="840" t="s">
        <v>989</v>
      </c>
      <c r="F149" s="582">
        <v>1</v>
      </c>
      <c r="G149" s="582">
        <v>1</v>
      </c>
      <c r="H149" s="582">
        <v>1</v>
      </c>
      <c r="I149" s="582">
        <v>1</v>
      </c>
      <c r="J149" s="582">
        <v>1</v>
      </c>
      <c r="K149" s="582">
        <v>1</v>
      </c>
      <c r="L149" s="582">
        <v>1</v>
      </c>
      <c r="M149" s="582">
        <v>1</v>
      </c>
      <c r="N149" s="582">
        <v>1</v>
      </c>
      <c r="O149" s="582">
        <v>1</v>
      </c>
      <c r="P149" s="582">
        <v>1</v>
      </c>
      <c r="Q149" s="582">
        <v>1</v>
      </c>
      <c r="R149" s="582">
        <v>1</v>
      </c>
      <c r="T149" s="148">
        <f t="shared" si="296"/>
        <v>1</v>
      </c>
      <c r="U149" s="167"/>
      <c r="V149" s="48"/>
      <c r="W149" s="48"/>
      <c r="X149" s="48"/>
      <c r="Y149" s="655"/>
      <c r="Z149" s="147">
        <f>VLOOKUP(B149,'Manuell filtrering og justering'!$A$7:$H$253,'Manuell filtrering og justering'!$H$1,FALSE)</f>
        <v>1</v>
      </c>
      <c r="AA149" s="148">
        <f t="shared" si="298"/>
        <v>0</v>
      </c>
      <c r="AB149" s="149">
        <f>IF($AC$5='Manuell filtrering og justering'!$J$2,Z149,(T149-AA149))</f>
        <v>1</v>
      </c>
      <c r="AD149" s="150">
        <f t="shared" si="299"/>
        <v>8.0952380952380963E-3</v>
      </c>
      <c r="AE149" s="150">
        <f t="shared" si="310"/>
        <v>0</v>
      </c>
      <c r="AF149" s="150">
        <f t="shared" si="311"/>
        <v>0</v>
      </c>
      <c r="AG149" s="150">
        <f t="shared" si="312"/>
        <v>0</v>
      </c>
      <c r="AI149" s="151">
        <f>IF(VLOOKUP(E149,'Pre-Assessment Estimator'!$E$11:$Z$228,'Pre-Assessment Estimator'!$G$2,FALSE)&gt;AB149,AB149,VLOOKUP(E149,'Pre-Assessment Estimator'!$E$11:$Z$228,'Pre-Assessment Estimator'!$G$2,FALSE))</f>
        <v>0</v>
      </c>
      <c r="AJ149" s="151">
        <f>IF(VLOOKUP(E149,'Pre-Assessment Estimator'!$E$11:$Z$228,'Pre-Assessment Estimator'!$N$2,FALSE)&gt;AB149,AB149,VLOOKUP(E149,'Pre-Assessment Estimator'!$E$11:$Z$228,'Pre-Assessment Estimator'!$N$2,FALSE))</f>
        <v>0</v>
      </c>
      <c r="AK149" s="151">
        <f>IF(VLOOKUP(E149,'Pre-Assessment Estimator'!$E$11:$Z$228,'Pre-Assessment Estimator'!$U$2,FALSE)&gt;AB149,AB149,VLOOKUP(E149,'Pre-Assessment Estimator'!$E$11:$Z$228,'Pre-Assessment Estimator'!$U$2,FALSE))</f>
        <v>0</v>
      </c>
      <c r="AM149" s="653"/>
      <c r="AN149" s="654"/>
      <c r="AO149" s="654"/>
      <c r="AP149" s="654"/>
      <c r="AQ149" s="646"/>
      <c r="AR149" s="123"/>
      <c r="AS149" s="653"/>
      <c r="AT149" s="654"/>
      <c r="AU149" s="654"/>
      <c r="AV149" s="654"/>
      <c r="AW149" s="646"/>
      <c r="AY149" s="167"/>
      <c r="AZ149" s="48"/>
      <c r="BA149" s="48"/>
      <c r="BB149" s="48"/>
      <c r="BC149" s="650"/>
      <c r="BD149" s="160">
        <f t="shared" si="365"/>
        <v>9</v>
      </c>
      <c r="BE149" s="45" t="str">
        <f t="shared" si="306"/>
        <v>N/A</v>
      </c>
      <c r="BF149" s="163"/>
      <c r="BG149" s="160">
        <f t="shared" si="366"/>
        <v>9</v>
      </c>
      <c r="BH149" s="45" t="str">
        <f t="shared" si="308"/>
        <v>N/A</v>
      </c>
      <c r="BI149" s="163"/>
      <c r="BJ149" s="160">
        <f t="shared" si="367"/>
        <v>9</v>
      </c>
      <c r="BK149" s="45" t="str">
        <f t="shared" si="309"/>
        <v>N/A</v>
      </c>
      <c r="BL149" s="650"/>
      <c r="BO149" s="43"/>
      <c r="BP149" s="43"/>
      <c r="BQ149" s="43"/>
      <c r="BR149" s="43">
        <f t="shared" si="196"/>
        <v>9</v>
      </c>
      <c r="BS149" s="43">
        <f t="shared" si="197"/>
        <v>9</v>
      </c>
      <c r="BT149" s="43">
        <f t="shared" si="198"/>
        <v>9</v>
      </c>
      <c r="BW149" s="529"/>
      <c r="BX149" s="529"/>
      <c r="BY149" s="529"/>
      <c r="BZ149" s="529"/>
      <c r="CA149" s="529"/>
      <c r="CB149" s="529"/>
    </row>
    <row r="150" spans="1:81" x14ac:dyDescent="0.25">
      <c r="A150">
        <v>142</v>
      </c>
      <c r="B150" t="str">
        <f t="shared" si="368"/>
        <v>Mat 07b</v>
      </c>
      <c r="D150" s="146" t="s">
        <v>676</v>
      </c>
      <c r="E150" s="1407" t="s">
        <v>1818</v>
      </c>
      <c r="F150" s="582">
        <v>1</v>
      </c>
      <c r="G150" s="582">
        <v>1</v>
      </c>
      <c r="H150" s="582">
        <v>1</v>
      </c>
      <c r="I150" s="582">
        <v>1</v>
      </c>
      <c r="J150" s="582">
        <v>1</v>
      </c>
      <c r="K150" s="582">
        <v>1</v>
      </c>
      <c r="L150" s="582">
        <v>1</v>
      </c>
      <c r="M150" s="582">
        <v>1</v>
      </c>
      <c r="N150" s="582">
        <v>1</v>
      </c>
      <c r="O150" s="582">
        <v>1</v>
      </c>
      <c r="P150" s="582">
        <v>1</v>
      </c>
      <c r="Q150" s="582">
        <v>1</v>
      </c>
      <c r="R150" s="582">
        <v>1</v>
      </c>
      <c r="T150" s="148">
        <f t="shared" si="296"/>
        <v>1</v>
      </c>
      <c r="U150" s="167"/>
      <c r="V150" s="48"/>
      <c r="W150" s="48"/>
      <c r="X150" s="48"/>
      <c r="Y150" s="655"/>
      <c r="Z150" s="147">
        <f>VLOOKUP(B150,'Manuell filtrering og justering'!$A$7:$H$253,'Manuell filtrering og justering'!$H$1,FALSE)</f>
        <v>1</v>
      </c>
      <c r="AA150" s="148">
        <f t="shared" si="298"/>
        <v>0</v>
      </c>
      <c r="AB150" s="149">
        <f>IF($AC$5='Manuell filtrering og justering'!$J$2,Z150,(T150-AA150))</f>
        <v>1</v>
      </c>
      <c r="AD150" s="150">
        <f t="shared" si="299"/>
        <v>8.0952380952380963E-3</v>
      </c>
      <c r="AE150" s="150">
        <f t="shared" si="310"/>
        <v>0</v>
      </c>
      <c r="AF150" s="150">
        <f t="shared" si="311"/>
        <v>0</v>
      </c>
      <c r="AG150" s="150">
        <f t="shared" si="312"/>
        <v>0</v>
      </c>
      <c r="AI150" s="151">
        <f>IF(VLOOKUP(E150,'Pre-Assessment Estimator'!$E$11:$Z$228,'Pre-Assessment Estimator'!$G$2,FALSE)&gt;AB150,AB150,VLOOKUP(E150,'Pre-Assessment Estimator'!$E$11:$Z$228,'Pre-Assessment Estimator'!$G$2,FALSE))</f>
        <v>0</v>
      </c>
      <c r="AJ150" s="151">
        <f>IF(VLOOKUP(E150,'Pre-Assessment Estimator'!$E$11:$Z$228,'Pre-Assessment Estimator'!$N$2,FALSE)&gt;AB150,AB150,VLOOKUP(E150,'Pre-Assessment Estimator'!$E$11:$Z$228,'Pre-Assessment Estimator'!$N$2,FALSE))</f>
        <v>0</v>
      </c>
      <c r="AK150" s="151">
        <f>IF(VLOOKUP(E150,'Pre-Assessment Estimator'!$E$11:$Z$228,'Pre-Assessment Estimator'!$U$2,FALSE)&gt;AB150,AB150,VLOOKUP(E150,'Pre-Assessment Estimator'!$E$11:$Z$228,'Pre-Assessment Estimator'!$U$2,FALSE))</f>
        <v>0</v>
      </c>
      <c r="AM150" s="653"/>
      <c r="AN150" s="654"/>
      <c r="AO150" s="654"/>
      <c r="AP150" s="654">
        <v>1</v>
      </c>
      <c r="AQ150" s="646">
        <v>1</v>
      </c>
      <c r="AR150" s="123"/>
      <c r="AS150" s="653"/>
      <c r="AT150" s="654"/>
      <c r="AU150" s="654"/>
      <c r="AV150" s="654">
        <v>1</v>
      </c>
      <c r="AW150" s="646">
        <v>1</v>
      </c>
      <c r="AY150" s="167"/>
      <c r="AZ150" s="48"/>
      <c r="BA150" s="48"/>
      <c r="BB150" s="161">
        <f>IF($AB150=0,0,IF($E$6=$H$9,AV150,AP150))</f>
        <v>1</v>
      </c>
      <c r="BC150" s="161">
        <f>IF($AB150=0,0,IF($E$6=$H$9,AW150,AQ150))</f>
        <v>1</v>
      </c>
      <c r="BD150" s="160">
        <f t="shared" si="365"/>
        <v>3</v>
      </c>
      <c r="BE150" s="45" t="str">
        <f t="shared" si="306"/>
        <v>Very Good</v>
      </c>
      <c r="BF150" s="163"/>
      <c r="BG150" s="160">
        <f t="shared" si="366"/>
        <v>3</v>
      </c>
      <c r="BH150" s="45" t="str">
        <f t="shared" si="308"/>
        <v>Very Good</v>
      </c>
      <c r="BI150" s="163"/>
      <c r="BJ150" s="160">
        <f t="shared" si="367"/>
        <v>3</v>
      </c>
      <c r="BK150" s="45" t="str">
        <f t="shared" si="309"/>
        <v>Very Good</v>
      </c>
      <c r="BL150" s="650"/>
      <c r="BO150" s="43"/>
      <c r="BP150" s="43">
        <v>1</v>
      </c>
      <c r="BQ150" s="43">
        <f t="shared" si="340"/>
        <v>1</v>
      </c>
      <c r="BR150" s="43">
        <f t="shared" si="196"/>
        <v>0</v>
      </c>
      <c r="BS150" s="43">
        <f t="shared" si="197"/>
        <v>0</v>
      </c>
      <c r="BT150" s="43">
        <f t="shared" si="198"/>
        <v>0</v>
      </c>
      <c r="BW150" s="529"/>
      <c r="BX150" s="529"/>
      <c r="BY150" s="529"/>
      <c r="BZ150" s="529"/>
      <c r="CA150" s="529"/>
      <c r="CB150" s="529"/>
    </row>
    <row r="151" spans="1:81" ht="15.75" thickBot="1" x14ac:dyDescent="0.3">
      <c r="A151">
        <v>143</v>
      </c>
      <c r="B151" t="str">
        <f t="shared" si="368"/>
        <v>Mat 07c</v>
      </c>
      <c r="D151" s="168" t="s">
        <v>677</v>
      </c>
      <c r="E151" s="1408" t="s">
        <v>1819</v>
      </c>
      <c r="F151" s="590">
        <v>1</v>
      </c>
      <c r="G151" s="590">
        <v>1</v>
      </c>
      <c r="H151" s="590">
        <v>1</v>
      </c>
      <c r="I151" s="590">
        <v>1</v>
      </c>
      <c r="J151" s="590">
        <v>1</v>
      </c>
      <c r="K151" s="590">
        <v>1</v>
      </c>
      <c r="L151" s="590">
        <v>1</v>
      </c>
      <c r="M151" s="590">
        <v>1</v>
      </c>
      <c r="N151" s="590">
        <v>1</v>
      </c>
      <c r="O151" s="590">
        <v>1</v>
      </c>
      <c r="P151" s="590">
        <v>1</v>
      </c>
      <c r="Q151" s="590">
        <v>1</v>
      </c>
      <c r="R151" s="590">
        <v>1</v>
      </c>
      <c r="T151" s="148">
        <f t="shared" si="296"/>
        <v>1</v>
      </c>
      <c r="U151" s="167"/>
      <c r="V151" s="48"/>
      <c r="W151" s="48"/>
      <c r="X151" s="48"/>
      <c r="Y151" s="655"/>
      <c r="Z151" s="147">
        <f>VLOOKUP(B151,'Manuell filtrering og justering'!$A$7:$H$253,'Manuell filtrering og justering'!$H$1,FALSE)</f>
        <v>2</v>
      </c>
      <c r="AA151" s="148">
        <f t="shared" si="298"/>
        <v>0</v>
      </c>
      <c r="AB151" s="149">
        <f>IF($AC$5='Manuell filtrering og justering'!$J$2,Z151,(T151-AA151))</f>
        <v>1</v>
      </c>
      <c r="AD151" s="150">
        <f t="shared" si="299"/>
        <v>8.0952380952380963E-3</v>
      </c>
      <c r="AE151" s="150">
        <f t="shared" si="310"/>
        <v>0</v>
      </c>
      <c r="AF151" s="150">
        <f t="shared" si="311"/>
        <v>0</v>
      </c>
      <c r="AG151" s="150">
        <f t="shared" si="312"/>
        <v>0</v>
      </c>
      <c r="AI151" s="151">
        <f>IF(VLOOKUP(E151,'Pre-Assessment Estimator'!$E$11:$Z$228,'Pre-Assessment Estimator'!$G$2,FALSE)&gt;AB151,AB151,VLOOKUP(E151,'Pre-Assessment Estimator'!$E$11:$Z$228,'Pre-Assessment Estimator'!$G$2,FALSE))</f>
        <v>0</v>
      </c>
      <c r="AJ151" s="151">
        <f>IF(VLOOKUP(E151,'Pre-Assessment Estimator'!$E$11:$Z$228,'Pre-Assessment Estimator'!$N$2,FALSE)&gt;AB151,AB151,VLOOKUP(E151,'Pre-Assessment Estimator'!$E$11:$Z$228,'Pre-Assessment Estimator'!$N$2,FALSE))</f>
        <v>0</v>
      </c>
      <c r="AK151" s="151">
        <f>IF(VLOOKUP(E151,'Pre-Assessment Estimator'!$E$11:$Z$228,'Pre-Assessment Estimator'!$U$2,FALSE)&gt;AB151,AB151,VLOOKUP(E151,'Pre-Assessment Estimator'!$E$11:$Z$228,'Pre-Assessment Estimator'!$U$2,FALSE))</f>
        <v>0</v>
      </c>
      <c r="AM151" s="653"/>
      <c r="AN151" s="654"/>
      <c r="AO151" s="654"/>
      <c r="AP151" s="654">
        <v>1</v>
      </c>
      <c r="AQ151" s="646">
        <v>1</v>
      </c>
      <c r="AR151" s="123"/>
      <c r="AS151" s="653"/>
      <c r="AT151" s="654"/>
      <c r="AU151" s="654"/>
      <c r="AV151" s="654">
        <v>1</v>
      </c>
      <c r="AW151" s="646">
        <v>1</v>
      </c>
      <c r="AY151" s="167"/>
      <c r="AZ151" s="48"/>
      <c r="BA151" s="48"/>
      <c r="BB151" s="161">
        <f>IF($AB151=0,0,IF($E$6=$H$9,AV151,AP151))</f>
        <v>1</v>
      </c>
      <c r="BC151" s="161">
        <f>IF($AB151=0,0,IF($E$6=$H$9,AW151,AQ151))</f>
        <v>1</v>
      </c>
      <c r="BD151" s="160">
        <f t="shared" si="365"/>
        <v>3</v>
      </c>
      <c r="BE151" s="45" t="str">
        <f t="shared" si="306"/>
        <v>Very Good</v>
      </c>
      <c r="BF151" s="163"/>
      <c r="BG151" s="160">
        <f t="shared" si="366"/>
        <v>3</v>
      </c>
      <c r="BH151" s="45" t="str">
        <f t="shared" si="308"/>
        <v>Very Good</v>
      </c>
      <c r="BI151" s="163"/>
      <c r="BJ151" s="160">
        <f t="shared" si="367"/>
        <v>3</v>
      </c>
      <c r="BK151" s="45" t="str">
        <f t="shared" si="309"/>
        <v>Very Good</v>
      </c>
      <c r="BL151" s="650"/>
      <c r="BO151" s="43"/>
      <c r="BP151" s="43">
        <v>1</v>
      </c>
      <c r="BQ151" s="43">
        <f t="shared" si="340"/>
        <v>1</v>
      </c>
      <c r="BR151" s="43">
        <f t="shared" si="196"/>
        <v>0</v>
      </c>
      <c r="BS151" s="43">
        <f t="shared" si="197"/>
        <v>0</v>
      </c>
      <c r="BT151" s="43">
        <f t="shared" si="198"/>
        <v>0</v>
      </c>
      <c r="BW151" s="529"/>
      <c r="BX151" s="529"/>
      <c r="BY151" s="529"/>
      <c r="BZ151" s="529"/>
      <c r="CA151" s="529"/>
      <c r="CB151" s="529"/>
    </row>
    <row r="152" spans="1:81" ht="15.75" thickBot="1" x14ac:dyDescent="0.3">
      <c r="A152">
        <v>144</v>
      </c>
      <c r="B152" t="s">
        <v>865</v>
      </c>
      <c r="D152" s="531"/>
      <c r="E152" s="530" t="s">
        <v>204</v>
      </c>
      <c r="F152" s="587">
        <f>F126+F130+F134+F138+F144+F148</f>
        <v>21</v>
      </c>
      <c r="G152" s="587">
        <f t="shared" ref="G152:R152" si="369">G126+G130+G134+G138+G144+G148</f>
        <v>21</v>
      </c>
      <c r="H152" s="587">
        <f t="shared" si="369"/>
        <v>21</v>
      </c>
      <c r="I152" s="587">
        <f t="shared" si="369"/>
        <v>21</v>
      </c>
      <c r="J152" s="587">
        <f t="shared" si="369"/>
        <v>21</v>
      </c>
      <c r="K152" s="587">
        <f t="shared" si="369"/>
        <v>21</v>
      </c>
      <c r="L152" s="587">
        <f t="shared" si="369"/>
        <v>21</v>
      </c>
      <c r="M152" s="587">
        <f t="shared" si="369"/>
        <v>21</v>
      </c>
      <c r="N152" s="587">
        <f t="shared" si="369"/>
        <v>21</v>
      </c>
      <c r="O152" s="587">
        <f t="shared" si="369"/>
        <v>21</v>
      </c>
      <c r="P152" s="587">
        <f t="shared" si="369"/>
        <v>21</v>
      </c>
      <c r="Q152" s="587">
        <f t="shared" ref="Q152" si="370">Q126+Q130+Q134+Q138+Q144+Q148</f>
        <v>21</v>
      </c>
      <c r="R152" s="587">
        <f t="shared" si="369"/>
        <v>21</v>
      </c>
      <c r="T152" s="195">
        <f t="shared" si="296"/>
        <v>21</v>
      </c>
      <c r="U152" s="176"/>
      <c r="V152" s="177"/>
      <c r="W152" s="177"/>
      <c r="X152" s="177"/>
      <c r="Y152" s="178"/>
      <c r="Z152" s="178"/>
      <c r="AA152" s="587">
        <f t="shared" ref="AA152:AG152" si="371">AA126+AA130+AA134+AA138+AA144+AA148</f>
        <v>0</v>
      </c>
      <c r="AB152" s="587">
        <f t="shared" si="371"/>
        <v>21</v>
      </c>
      <c r="AD152" s="180">
        <f t="shared" si="371"/>
        <v>0.17000000000000004</v>
      </c>
      <c r="AE152" s="180">
        <f t="shared" si="371"/>
        <v>0</v>
      </c>
      <c r="AF152" s="180">
        <f t="shared" si="371"/>
        <v>0</v>
      </c>
      <c r="AG152" s="180">
        <f t="shared" si="371"/>
        <v>0</v>
      </c>
      <c r="AI152" s="72">
        <f t="shared" ref="AI152:AK152" si="372">AI126+AI130+AI134+AI138+AI144+AI148</f>
        <v>0</v>
      </c>
      <c r="AJ152" s="72">
        <f t="shared" si="372"/>
        <v>0</v>
      </c>
      <c r="AK152" s="72">
        <f t="shared" si="372"/>
        <v>0</v>
      </c>
      <c r="AM152" s="123"/>
      <c r="AN152" s="123"/>
      <c r="AO152" s="123"/>
      <c r="AP152" s="123"/>
      <c r="AQ152" s="123"/>
      <c r="AR152" s="123"/>
      <c r="AS152" s="123"/>
      <c r="AT152" s="123"/>
      <c r="AU152" s="123"/>
      <c r="AV152" s="123"/>
      <c r="AW152" s="123"/>
      <c r="AZ152" s="181"/>
      <c r="BW152" s="50"/>
      <c r="BX152" s="50" t="str">
        <f>IFERROR(VLOOKUP($E152,'Pre-Assessment Estimator'!$E$11:$AB$228,'Pre-Assessment Estimator'!AB$2,FALSE),"")</f>
        <v/>
      </c>
      <c r="BY152" s="50" t="str">
        <f>IFERROR(VLOOKUP($E152,'Pre-Assessment Estimator'!$E$11:$AI$228,'Pre-Assessment Estimator'!AI$2,FALSE),"")</f>
        <v/>
      </c>
      <c r="BZ152" s="50" t="str">
        <f t="shared" ref="BZ152:CA155" si="373">IFERROR(VLOOKUP($BX152,$E$294:$H$327,F$292,FALSE),"")</f>
        <v/>
      </c>
      <c r="CA152" s="50" t="str">
        <f t="shared" si="373"/>
        <v/>
      </c>
      <c r="CB152" s="50"/>
      <c r="CC152" t="str">
        <f>IFERROR(VLOOKUP($BX152,$E$294:$H$327,I$292,FALSE),"")</f>
        <v/>
      </c>
    </row>
    <row r="153" spans="1:81" ht="15.75" thickBot="1" x14ac:dyDescent="0.3">
      <c r="A153">
        <v>145</v>
      </c>
      <c r="AI153" s="1"/>
      <c r="AJ153" s="1"/>
      <c r="AK153" s="1"/>
      <c r="AM153" s="123"/>
      <c r="AN153" s="123"/>
      <c r="AO153" s="123"/>
      <c r="AP153" s="123"/>
      <c r="AQ153" s="123"/>
      <c r="AR153" s="123"/>
      <c r="AS153" s="123"/>
      <c r="AT153" s="123"/>
      <c r="AU153" s="123"/>
      <c r="AV153" s="123"/>
      <c r="AW153" s="123"/>
      <c r="BX153" t="str">
        <f>IFERROR(VLOOKUP($E153,'Pre-Assessment Estimator'!$E$11:$AB$228,'Pre-Assessment Estimator'!AB$2,FALSE),"")</f>
        <v/>
      </c>
      <c r="BY153" t="str">
        <f>IFERROR(VLOOKUP($E153,'Pre-Assessment Estimator'!$E$11:$AI$228,'Pre-Assessment Estimator'!AI$2,FALSE),"")</f>
        <v/>
      </c>
      <c r="BZ153" t="str">
        <f t="shared" si="373"/>
        <v/>
      </c>
      <c r="CA153" t="str">
        <f t="shared" si="373"/>
        <v/>
      </c>
      <c r="CC153" t="str">
        <f>IFERROR(VLOOKUP($BX153,$E$294:$H$327,I$292,FALSE),"")</f>
        <v/>
      </c>
    </row>
    <row r="154" spans="1:81" ht="60.75" thickBot="1" x14ac:dyDescent="0.3">
      <c r="A154">
        <v>146</v>
      </c>
      <c r="D154" s="127"/>
      <c r="E154" s="47" t="s">
        <v>64</v>
      </c>
      <c r="F154" s="1364" t="str">
        <f>$F$9</f>
        <v>Office</v>
      </c>
      <c r="G154" s="1364" t="str">
        <f>$G$9</f>
        <v>Retail</v>
      </c>
      <c r="H154" s="1365" t="str">
        <f>$H$9</f>
        <v>Residential</v>
      </c>
      <c r="I154" s="1364" t="str">
        <f>$I$9</f>
        <v>Industrial</v>
      </c>
      <c r="J154" s="1366" t="str">
        <f>$J$9</f>
        <v>Healthcare</v>
      </c>
      <c r="K154" s="1366" t="str">
        <f>$K$9</f>
        <v>Prison</v>
      </c>
      <c r="L154" s="1366" t="str">
        <f>$L$9</f>
        <v>Law Court</v>
      </c>
      <c r="M154" s="1367" t="str">
        <f>$M$9</f>
        <v>Residential institution (long term stay)</v>
      </c>
      <c r="N154" s="684" t="str">
        <f>$N$9</f>
        <v>Residential institution (short term stay)</v>
      </c>
      <c r="O154" s="684" t="str">
        <f>$O$9</f>
        <v>Non-residential institution</v>
      </c>
      <c r="P154" s="684" t="str">
        <f>$P$9</f>
        <v>Assembly and leisure</v>
      </c>
      <c r="Q154" s="1366" t="str">
        <f>$Q$9</f>
        <v>Education</v>
      </c>
      <c r="R154" s="659" t="str">
        <f>$R$9</f>
        <v>Other</v>
      </c>
      <c r="T154" s="122" t="str">
        <f>$E$6</f>
        <v>Office</v>
      </c>
      <c r="U154" s="182"/>
      <c r="V154" s="183"/>
      <c r="W154" s="183"/>
      <c r="X154" s="183"/>
      <c r="Y154" s="871" t="s">
        <v>391</v>
      </c>
      <c r="Z154" s="302" t="s">
        <v>317</v>
      </c>
      <c r="AA154" s="131" t="s">
        <v>204</v>
      </c>
      <c r="AB154" s="53" t="s">
        <v>15</v>
      </c>
      <c r="AI154" s="36"/>
      <c r="AJ154" s="54"/>
      <c r="AK154" s="54"/>
      <c r="AM154" s="123"/>
      <c r="AN154" s="123"/>
      <c r="AO154" s="123"/>
      <c r="AP154" s="123"/>
      <c r="AQ154" s="123"/>
      <c r="AR154" s="123"/>
      <c r="AS154" s="123"/>
      <c r="AT154" s="123"/>
      <c r="AU154" s="123"/>
      <c r="AV154" s="123"/>
      <c r="AW154" s="123"/>
      <c r="BO154" s="54"/>
      <c r="BP154" s="54"/>
      <c r="BQ154" s="54"/>
      <c r="BR154" s="54"/>
      <c r="BS154" s="54"/>
      <c r="BT154" s="54"/>
      <c r="BW154" s="47"/>
      <c r="BX154" s="47" t="str">
        <f>E154</f>
        <v>Waste</v>
      </c>
      <c r="BY154" s="47">
        <f>IFERROR(VLOOKUP($E154,'Pre-Assessment Estimator'!$E$11:$AI$228,'Pre-Assessment Estimator'!AI$2,FALSE),"")</f>
        <v>0</v>
      </c>
      <c r="BZ154" s="47" t="str">
        <f t="shared" si="373"/>
        <v/>
      </c>
      <c r="CA154" s="47" t="str">
        <f t="shared" si="373"/>
        <v/>
      </c>
      <c r="CB154" s="47"/>
      <c r="CC154" t="str">
        <f>IFERROR(VLOOKUP($BX154,$E$294:$H$327,I$292,FALSE),"")</f>
        <v/>
      </c>
    </row>
    <row r="155" spans="1:81" x14ac:dyDescent="0.25">
      <c r="A155">
        <v>147</v>
      </c>
      <c r="B155" s="121" t="str">
        <f>D155</f>
        <v>Wst 01</v>
      </c>
      <c r="C155" s="121"/>
      <c r="D155" s="637" t="s">
        <v>171</v>
      </c>
      <c r="E155" s="635" t="s">
        <v>153</v>
      </c>
      <c r="F155" s="699">
        <f>SUM(F156:F158)</f>
        <v>5</v>
      </c>
      <c r="G155" s="699">
        <f t="shared" ref="G155:R155" si="374">SUM(G156:G158)</f>
        <v>5</v>
      </c>
      <c r="H155" s="699">
        <f t="shared" si="374"/>
        <v>5</v>
      </c>
      <c r="I155" s="699">
        <f t="shared" si="374"/>
        <v>5</v>
      </c>
      <c r="J155" s="699">
        <f t="shared" si="374"/>
        <v>5</v>
      </c>
      <c r="K155" s="699">
        <f t="shared" si="374"/>
        <v>5</v>
      </c>
      <c r="L155" s="699">
        <f t="shared" si="374"/>
        <v>5</v>
      </c>
      <c r="M155" s="699">
        <f t="shared" si="374"/>
        <v>5</v>
      </c>
      <c r="N155" s="699">
        <f t="shared" si="374"/>
        <v>5</v>
      </c>
      <c r="O155" s="699">
        <f t="shared" si="374"/>
        <v>5</v>
      </c>
      <c r="P155" s="699">
        <f t="shared" si="374"/>
        <v>5</v>
      </c>
      <c r="Q155" s="699">
        <f t="shared" ref="Q155" si="375">SUM(Q156:Q158)</f>
        <v>5</v>
      </c>
      <c r="R155" s="699">
        <f t="shared" si="374"/>
        <v>5</v>
      </c>
      <c r="T155" s="717">
        <f>HLOOKUP($E$6,$F$9:$R$231,$A155,FALSE)</f>
        <v>5</v>
      </c>
      <c r="U155" s="191"/>
      <c r="V155" s="61"/>
      <c r="W155" s="61"/>
      <c r="X155" s="61">
        <f>'Manuell filtrering og justering'!E68</f>
        <v>0</v>
      </c>
      <c r="Y155" s="61"/>
      <c r="Z155" s="699">
        <f t="shared" ref="Z155" si="376">SUM(Z156:Z158)</f>
        <v>5</v>
      </c>
      <c r="AA155" s="719">
        <f>IF(SUM(U155:Y155)&gt;T155,T155,SUM(U155:Y155))</f>
        <v>0</v>
      </c>
      <c r="AB155" s="793">
        <f>SUM(AB156:AB158)</f>
        <v>5</v>
      </c>
      <c r="AD155" s="150">
        <f t="shared" ref="AD155:AD165" si="377">(Wst_Weight/Wst_Credits)*AB155</f>
        <v>0.05</v>
      </c>
      <c r="AE155" s="687">
        <f>SUM(AE156:AE158)</f>
        <v>0</v>
      </c>
      <c r="AF155" s="687">
        <f t="shared" ref="AF155" si="378">SUM(AF156:AF158)</f>
        <v>0</v>
      </c>
      <c r="AG155" s="687">
        <f t="shared" ref="AG155" si="379">SUM(AG156:AG158)</f>
        <v>0</v>
      </c>
      <c r="AI155" s="699">
        <f t="shared" ref="AI155" si="380">SUM(AI156:AI158)</f>
        <v>0</v>
      </c>
      <c r="AJ155" s="699">
        <f t="shared" ref="AJ155" si="381">SUM(AJ156:AJ158)</f>
        <v>0</v>
      </c>
      <c r="AK155" s="699">
        <f t="shared" ref="AK155" si="382">SUM(AK156:AK158)</f>
        <v>0</v>
      </c>
      <c r="AM155" s="257"/>
      <c r="AN155" s="258"/>
      <c r="AO155" s="258"/>
      <c r="AP155" s="258"/>
      <c r="AQ155" s="259"/>
      <c r="AR155" s="123"/>
      <c r="AS155" s="257"/>
      <c r="AT155" s="258"/>
      <c r="AU155" s="258"/>
      <c r="AV155" s="258"/>
      <c r="AW155" s="259"/>
      <c r="AY155" s="153"/>
      <c r="AZ155" s="154"/>
      <c r="BA155" s="154"/>
      <c r="BB155" s="154"/>
      <c r="BC155" s="197"/>
      <c r="BD155" s="153">
        <f t="shared" si="59"/>
        <v>9</v>
      </c>
      <c r="BE155" s="45" t="str">
        <f t="shared" ref="BE155:BE165" si="383">VLOOKUP(BD155,$BO$285:$BT$291,6,FALSE)</f>
        <v>N/A</v>
      </c>
      <c r="BF155" s="157"/>
      <c r="BG155" s="153">
        <f>IF(BC155=0,9,IF(AJ155&gt;=BC155,5,IF(AJ155&gt;=BB155,4,IF(AJ155&gt;=BA155,3,IF(AJ155&gt;=AZ155,2,IF(AJ155&lt;AY155,0,1))))))</f>
        <v>9</v>
      </c>
      <c r="BH155" s="45" t="str">
        <f t="shared" ref="BH155:BH165" si="384">VLOOKUP(BG155,$BO$285:$BT$291,6,FALSE)</f>
        <v>N/A</v>
      </c>
      <c r="BI155" s="157"/>
      <c r="BJ155" s="153">
        <f t="shared" si="27"/>
        <v>9</v>
      </c>
      <c r="BK155" s="45" t="str">
        <f t="shared" ref="BK155:BK165" si="385">VLOOKUP(BJ155,$BO$285:$BT$291,6,FALSE)</f>
        <v>N/A</v>
      </c>
      <c r="BL155" s="157"/>
      <c r="BO155" s="43"/>
      <c r="BP155" s="43"/>
      <c r="BQ155" s="43" t="str">
        <f t="shared" si="340"/>
        <v/>
      </c>
      <c r="BR155" s="43">
        <f t="shared" si="196"/>
        <v>9</v>
      </c>
      <c r="BS155" s="43">
        <f t="shared" si="197"/>
        <v>9</v>
      </c>
      <c r="BT155" s="43">
        <f t="shared" si="198"/>
        <v>9</v>
      </c>
      <c r="BW155" s="45" t="str">
        <f>D155</f>
        <v>Wst 01</v>
      </c>
      <c r="BX155" s="45" t="str">
        <f>IFERROR(VLOOKUP($E155,'Pre-Assessment Estimator'!$E$11:$AB$228,'Pre-Assessment Estimator'!AB$2,FALSE),"")</f>
        <v>N/A</v>
      </c>
      <c r="BY155" s="45">
        <f>IFERROR(VLOOKUP($E155,'Pre-Assessment Estimator'!$E$11:$AI$228,'Pre-Assessment Estimator'!AI$2,FALSE),"")</f>
        <v>0</v>
      </c>
      <c r="BZ155" s="45">
        <f t="shared" si="373"/>
        <v>1</v>
      </c>
      <c r="CA155" s="45">
        <f t="shared" si="373"/>
        <v>0</v>
      </c>
      <c r="CB155" s="45"/>
      <c r="CC155" t="s">
        <v>409</v>
      </c>
    </row>
    <row r="156" spans="1:81" x14ac:dyDescent="0.25">
      <c r="A156">
        <v>148</v>
      </c>
      <c r="B156" t="str">
        <f t="shared" ref="B156:B158" si="386">$D$155&amp;D156</f>
        <v>Wst 01a</v>
      </c>
      <c r="D156" s="144" t="s">
        <v>673</v>
      </c>
      <c r="E156" s="840" t="s">
        <v>645</v>
      </c>
      <c r="F156" s="704">
        <v>1</v>
      </c>
      <c r="G156" s="704">
        <v>1</v>
      </c>
      <c r="H156" s="704">
        <v>1</v>
      </c>
      <c r="I156" s="704">
        <v>1</v>
      </c>
      <c r="J156" s="704">
        <v>1</v>
      </c>
      <c r="K156" s="704">
        <v>1</v>
      </c>
      <c r="L156" s="704">
        <v>1</v>
      </c>
      <c r="M156" s="704">
        <v>1</v>
      </c>
      <c r="N156" s="704">
        <v>1</v>
      </c>
      <c r="O156" s="704">
        <v>1</v>
      </c>
      <c r="P156" s="704">
        <v>1</v>
      </c>
      <c r="Q156" s="704">
        <v>1</v>
      </c>
      <c r="R156" s="704">
        <v>1</v>
      </c>
      <c r="T156" s="148">
        <f>HLOOKUP($E$6,$F$9:$R$231,$A156,FALSE)</f>
        <v>1</v>
      </c>
      <c r="U156" s="146"/>
      <c r="V156" s="43"/>
      <c r="W156" s="43"/>
      <c r="X156" s="43"/>
      <c r="Y156" s="147"/>
      <c r="Z156" s="147">
        <f>VLOOKUP(B156,'Manuell filtrering og justering'!$A$7:$H$253,'Manuell filtrering og justering'!$H$1,FALSE)</f>
        <v>1</v>
      </c>
      <c r="AA156" s="148">
        <f>IF(SUM(U156:Y156)&gt;T156,T156,SUM(U156:Y156))</f>
        <v>0</v>
      </c>
      <c r="AB156" s="149">
        <f>IF($AC$5='Manuell filtrering og justering'!$J$2,Z156,(T156-AA156))</f>
        <v>1</v>
      </c>
      <c r="AD156" s="150">
        <f t="shared" si="377"/>
        <v>0.01</v>
      </c>
      <c r="AE156" s="150">
        <f t="shared" ref="AE156:AE165" si="387">IF(AB156=0,0,(AD156/AB156)*AI156)</f>
        <v>0</v>
      </c>
      <c r="AF156" s="150">
        <f t="shared" ref="AF156:AF165" si="388">IF(AB156=0,0,(AD156/AB156)*AJ156)</f>
        <v>0</v>
      </c>
      <c r="AG156" s="150">
        <f t="shared" ref="AG156:AG165" si="389">IF(AB156=0,0,(AD156/AB156)*AK156)</f>
        <v>0</v>
      </c>
      <c r="AI156" s="151">
        <f>IF(VLOOKUP(E156,'Pre-Assessment Estimator'!$E$11:$Z$228,'Pre-Assessment Estimator'!$G$2,FALSE)&gt;AB156,AB156,VLOOKUP(E156,'Pre-Assessment Estimator'!$E$11:$Z$228,'Pre-Assessment Estimator'!$G$2,FALSE))</f>
        <v>0</v>
      </c>
      <c r="AJ156" s="151">
        <f>IF(VLOOKUP(E156,'Pre-Assessment Estimator'!$E$11:$Z$228,'Pre-Assessment Estimator'!$N$2,FALSE)&gt;AB156,AB156,VLOOKUP(E156,'Pre-Assessment Estimator'!$E$11:$Z$228,'Pre-Assessment Estimator'!$N$2,FALSE))</f>
        <v>0</v>
      </c>
      <c r="AK156" s="151">
        <f>IF(VLOOKUP(E156,'Pre-Assessment Estimator'!$E$11:$Z$228,'Pre-Assessment Estimator'!$U$2,FALSE)&gt;AB156,AB156,VLOOKUP(E156,'Pre-Assessment Estimator'!$E$11:$Z$228,'Pre-Assessment Estimator'!$U$2,FALSE))</f>
        <v>0</v>
      </c>
      <c r="AM156" s="639"/>
      <c r="AN156" s="640"/>
      <c r="AO156" s="640">
        <v>1</v>
      </c>
      <c r="AP156" s="640">
        <v>1</v>
      </c>
      <c r="AQ156" s="641">
        <v>1</v>
      </c>
      <c r="AR156" s="123"/>
      <c r="AS156" s="639"/>
      <c r="AT156" s="640"/>
      <c r="AU156" s="640">
        <v>1</v>
      </c>
      <c r="AV156" s="640">
        <v>1</v>
      </c>
      <c r="AW156" s="641">
        <v>1</v>
      </c>
      <c r="AY156" s="632"/>
      <c r="AZ156" s="633"/>
      <c r="BA156" s="161">
        <f>IF($AB156=0,0,IF($E$6=$H$9,AU156,AO156))</f>
        <v>1</v>
      </c>
      <c r="BB156" s="161">
        <f>IF($AB156=0,0,IF($E$6=$H$9,AV156,AP156))</f>
        <v>1</v>
      </c>
      <c r="BC156" s="161">
        <f>IF($AB156=0,0,IF($E$6=$H$9,AW156,AQ156))</f>
        <v>1</v>
      </c>
      <c r="BD156" s="160">
        <f t="shared" ref="BD156:BD157" si="390">IF(BC156=0,9,IF(AI156&gt;=BC156,5,IF(AI156&gt;=BB156,4,IF(AI156&gt;=BA156,3,IF(AI156&gt;=AZ156,2,IF(AI156&lt;AY156,0,1))))))</f>
        <v>2</v>
      </c>
      <c r="BE156" s="45" t="str">
        <f t="shared" si="383"/>
        <v>Good</v>
      </c>
      <c r="BF156" s="163"/>
      <c r="BG156" s="160">
        <f t="shared" ref="BG156:BG157" si="391">IF(BC156=0,9,IF(AJ156&gt;=BC156,5,IF(AJ156&gt;=BB156,4,IF(AJ156&gt;=BA156,3,IF(AJ156&gt;=AZ156,2,IF(AJ156&lt;AY156,0,1))))))</f>
        <v>2</v>
      </c>
      <c r="BH156" s="45" t="str">
        <f t="shared" si="384"/>
        <v>Good</v>
      </c>
      <c r="BI156" s="163"/>
      <c r="BJ156" s="160">
        <f t="shared" ref="BJ156:BJ157" si="392">IF(BC156=0,9,IF(AK156&gt;=BC156,5,IF(AK156&gt;=BB156,4,IF(AK156&gt;=BA156,3,IF(AK156&gt;=AZ156,2,IF(AK156&lt;AY156,0,1))))))</f>
        <v>2</v>
      </c>
      <c r="BK156" s="45" t="str">
        <f t="shared" si="385"/>
        <v>Good</v>
      </c>
      <c r="BL156" s="634"/>
      <c r="BO156" s="43"/>
      <c r="BP156" s="887">
        <f>1*0</f>
        <v>0</v>
      </c>
      <c r="BQ156" s="43">
        <f t="shared" si="340"/>
        <v>0</v>
      </c>
      <c r="BR156" s="43">
        <f t="shared" si="196"/>
        <v>5</v>
      </c>
      <c r="BS156" s="43">
        <f t="shared" si="197"/>
        <v>5</v>
      </c>
      <c r="BT156" s="43">
        <f t="shared" si="198"/>
        <v>5</v>
      </c>
      <c r="BW156" s="45"/>
      <c r="BX156" s="45"/>
      <c r="BY156" s="45"/>
      <c r="BZ156" s="45"/>
      <c r="CA156" s="45"/>
      <c r="CB156" s="45"/>
    </row>
    <row r="157" spans="1:81" x14ac:dyDescent="0.25">
      <c r="A157">
        <v>149</v>
      </c>
      <c r="B157" t="str">
        <f t="shared" si="386"/>
        <v>Wst 01b</v>
      </c>
      <c r="D157" s="144" t="s">
        <v>676</v>
      </c>
      <c r="E157" s="840" t="s">
        <v>646</v>
      </c>
      <c r="F157" s="704">
        <v>2</v>
      </c>
      <c r="G157" s="704">
        <v>2</v>
      </c>
      <c r="H157" s="704">
        <v>2</v>
      </c>
      <c r="I157" s="704">
        <v>2</v>
      </c>
      <c r="J157" s="704">
        <v>2</v>
      </c>
      <c r="K157" s="704">
        <v>2</v>
      </c>
      <c r="L157" s="704">
        <v>2</v>
      </c>
      <c r="M157" s="704">
        <v>2</v>
      </c>
      <c r="N157" s="704">
        <v>2</v>
      </c>
      <c r="O157" s="704">
        <v>2</v>
      </c>
      <c r="P157" s="704">
        <v>2</v>
      </c>
      <c r="Q157" s="704">
        <v>2</v>
      </c>
      <c r="R157" s="704">
        <v>2</v>
      </c>
      <c r="T157" s="148">
        <f>HLOOKUP($E$6,$F$9:$R$231,$A157,FALSE)</f>
        <v>2</v>
      </c>
      <c r="U157" s="146"/>
      <c r="V157" s="43"/>
      <c r="W157" s="43"/>
      <c r="X157" s="43"/>
      <c r="Y157" s="147"/>
      <c r="Z157" s="147">
        <f>VLOOKUP(B157,'Manuell filtrering og justering'!$A$7:$H$253,'Manuell filtrering og justering'!$H$1,FALSE)</f>
        <v>2</v>
      </c>
      <c r="AA157" s="148">
        <f>IF(SUM(U157:Y157)&gt;T157,T157,SUM(U157:Y157))</f>
        <v>0</v>
      </c>
      <c r="AB157" s="149">
        <f>IF($AC$5='Manuell filtrering og justering'!$J$2,Z157,(T157-AA157))</f>
        <v>2</v>
      </c>
      <c r="AD157" s="150">
        <f t="shared" si="377"/>
        <v>0.02</v>
      </c>
      <c r="AE157" s="150">
        <f t="shared" si="387"/>
        <v>0</v>
      </c>
      <c r="AF157" s="150">
        <f t="shared" si="388"/>
        <v>0</v>
      </c>
      <c r="AG157" s="150">
        <f t="shared" si="389"/>
        <v>0</v>
      </c>
      <c r="AI157" s="151">
        <f>IF(VLOOKUP(E157,'Pre-Assessment Estimator'!$E$11:$Z$228,'Pre-Assessment Estimator'!$G$2,FALSE)&gt;AB157,AB157,VLOOKUP(E157,'Pre-Assessment Estimator'!$E$11:$Z$228,'Pre-Assessment Estimator'!$G$2,FALSE))</f>
        <v>0</v>
      </c>
      <c r="AJ157" s="151">
        <f>IF(VLOOKUP(E157,'Pre-Assessment Estimator'!$E$11:$Z$228,'Pre-Assessment Estimator'!$N$2,FALSE)&gt;AB157,AB157,VLOOKUP(E157,'Pre-Assessment Estimator'!$E$11:$Z$228,'Pre-Assessment Estimator'!$N$2,FALSE))</f>
        <v>0</v>
      </c>
      <c r="AK157" s="151">
        <f>IF(VLOOKUP(E157,'Pre-Assessment Estimator'!$E$11:$Z$228,'Pre-Assessment Estimator'!$U$2,FALSE)&gt;AB157,AB157,VLOOKUP(E157,'Pre-Assessment Estimator'!$E$11:$Z$228,'Pre-Assessment Estimator'!$U$2,FALSE))</f>
        <v>0</v>
      </c>
      <c r="AM157" s="639"/>
      <c r="AN157" s="640"/>
      <c r="AO157" s="640"/>
      <c r="AP157" s="640"/>
      <c r="AQ157" s="641">
        <v>1</v>
      </c>
      <c r="AR157" s="123"/>
      <c r="AS157" s="639"/>
      <c r="AT157" s="640"/>
      <c r="AU157" s="640"/>
      <c r="AV157" s="640"/>
      <c r="AW157" s="641">
        <v>1</v>
      </c>
      <c r="AY157" s="632"/>
      <c r="AZ157" s="633"/>
      <c r="BA157" s="633"/>
      <c r="BB157" s="633"/>
      <c r="BC157" s="161">
        <f>IF($AB157=0,0,IF($E$6=$H$9,AW157,AQ157))</f>
        <v>1</v>
      </c>
      <c r="BD157" s="160">
        <f t="shared" si="390"/>
        <v>4</v>
      </c>
      <c r="BE157" s="45" t="str">
        <f t="shared" si="383"/>
        <v>Excellent</v>
      </c>
      <c r="BF157" s="163"/>
      <c r="BG157" s="160">
        <f t="shared" si="391"/>
        <v>4</v>
      </c>
      <c r="BH157" s="45" t="str">
        <f t="shared" si="384"/>
        <v>Excellent</v>
      </c>
      <c r="BI157" s="163"/>
      <c r="BJ157" s="160">
        <f t="shared" si="392"/>
        <v>4</v>
      </c>
      <c r="BK157" s="45" t="str">
        <f t="shared" si="385"/>
        <v>Excellent</v>
      </c>
      <c r="BL157" s="634"/>
      <c r="BO157" s="43"/>
      <c r="BP157" s="43"/>
      <c r="BQ157" s="43" t="str">
        <f t="shared" si="340"/>
        <v/>
      </c>
      <c r="BR157" s="43">
        <f t="shared" si="196"/>
        <v>9</v>
      </c>
      <c r="BS157" s="43">
        <f t="shared" si="197"/>
        <v>9</v>
      </c>
      <c r="BT157" s="43">
        <f t="shared" si="198"/>
        <v>9</v>
      </c>
      <c r="BW157" s="45"/>
      <c r="BX157" s="45"/>
      <c r="BY157" s="45"/>
      <c r="BZ157" s="45"/>
      <c r="CA157" s="45"/>
      <c r="CB157" s="45"/>
    </row>
    <row r="158" spans="1:81" x14ac:dyDescent="0.25">
      <c r="A158">
        <v>150</v>
      </c>
      <c r="B158" t="str">
        <f t="shared" si="386"/>
        <v>Wst 01c</v>
      </c>
      <c r="D158" s="144" t="s">
        <v>677</v>
      </c>
      <c r="E158" s="840" t="s">
        <v>647</v>
      </c>
      <c r="F158" s="704">
        <v>2</v>
      </c>
      <c r="G158" s="704">
        <v>2</v>
      </c>
      <c r="H158" s="704">
        <v>2</v>
      </c>
      <c r="I158" s="704">
        <v>2</v>
      </c>
      <c r="J158" s="704">
        <v>2</v>
      </c>
      <c r="K158" s="704">
        <v>2</v>
      </c>
      <c r="L158" s="704">
        <v>2</v>
      </c>
      <c r="M158" s="704">
        <v>2</v>
      </c>
      <c r="N158" s="704">
        <v>2</v>
      </c>
      <c r="O158" s="704">
        <v>2</v>
      </c>
      <c r="P158" s="704">
        <v>2</v>
      </c>
      <c r="Q158" s="704">
        <v>2</v>
      </c>
      <c r="R158" s="704">
        <v>2</v>
      </c>
      <c r="T158" s="148">
        <f>HLOOKUP($E$6,$F$9:$R$231,$A158,FALSE)</f>
        <v>2</v>
      </c>
      <c r="U158" s="146"/>
      <c r="V158" s="43"/>
      <c r="W158" s="43"/>
      <c r="X158" s="43"/>
      <c r="Y158" s="147"/>
      <c r="Z158" s="147">
        <f>VLOOKUP(B158,'Manuell filtrering og justering'!$A$7:$H$253,'Manuell filtrering og justering'!$H$1,FALSE)</f>
        <v>2</v>
      </c>
      <c r="AA158" s="148">
        <f>IF(SUM(U158:Y158)&gt;T158,T158,SUM(U158:Y158))</f>
        <v>0</v>
      </c>
      <c r="AB158" s="149">
        <f>IF($AC$5='Manuell filtrering og justering'!$J$2,Z158,(T158-AA158))</f>
        <v>2</v>
      </c>
      <c r="AD158" s="150">
        <f t="shared" si="377"/>
        <v>0.02</v>
      </c>
      <c r="AE158" s="150">
        <f t="shared" si="387"/>
        <v>0</v>
      </c>
      <c r="AF158" s="150">
        <f t="shared" si="388"/>
        <v>0</v>
      </c>
      <c r="AG158" s="150">
        <f t="shared" si="389"/>
        <v>0</v>
      </c>
      <c r="AI158" s="151">
        <f>IF(VLOOKUP(E158,'Pre-Assessment Estimator'!$E$11:$Z$228,'Pre-Assessment Estimator'!$G$2,FALSE)&gt;AB158,AB158,VLOOKUP(E158,'Pre-Assessment Estimator'!$E$11:$Z$228,'Pre-Assessment Estimator'!$G$2,FALSE))</f>
        <v>0</v>
      </c>
      <c r="AJ158" s="151">
        <f>IF(VLOOKUP(E158,'Pre-Assessment Estimator'!$E$11:$Z$228,'Pre-Assessment Estimator'!$N$2,FALSE)&gt;AB158,AB158,VLOOKUP(E158,'Pre-Assessment Estimator'!$E$11:$Z$228,'Pre-Assessment Estimator'!$N$2,FALSE))</f>
        <v>0</v>
      </c>
      <c r="AK158" s="151">
        <f>IF(VLOOKUP(E158,'Pre-Assessment Estimator'!$E$11:$Z$228,'Pre-Assessment Estimator'!$U$2,FALSE)&gt;AB158,AB158,VLOOKUP(E158,'Pre-Assessment Estimator'!$E$11:$Z$228,'Pre-Assessment Estimator'!$U$2,FALSE))</f>
        <v>0</v>
      </c>
      <c r="AM158" s="639"/>
      <c r="AN158" s="640"/>
      <c r="AO158" s="640"/>
      <c r="AP158" s="640">
        <v>2</v>
      </c>
      <c r="AQ158" s="641">
        <v>2</v>
      </c>
      <c r="AR158" s="123"/>
      <c r="AS158" s="639"/>
      <c r="AT158" s="640"/>
      <c r="AU158" s="640"/>
      <c r="AV158" s="640">
        <v>2</v>
      </c>
      <c r="AW158" s="641">
        <v>2</v>
      </c>
      <c r="AY158" s="632"/>
      <c r="AZ158" s="633"/>
      <c r="BA158" s="633"/>
      <c r="BB158" s="161">
        <f>IF($AB158=0,0,IF($E$6=$H$9,AV158,AP158))</f>
        <v>2</v>
      </c>
      <c r="BC158" s="161">
        <f>IF($AB158=0,0,IF($E$6=$H$9,AW158,AQ158))</f>
        <v>2</v>
      </c>
      <c r="BD158" s="861">
        <f>IF(OR(AI158=0,AI158=1),3,IF(AND(AI158=2,BD251=5),5,3))</f>
        <v>3</v>
      </c>
      <c r="BE158" s="45" t="str">
        <f t="shared" si="383"/>
        <v>Very Good</v>
      </c>
      <c r="BF158" s="163"/>
      <c r="BG158" s="861">
        <f>IF(OR(AJ158=0,AJ158=1),3,IF(AND(AJ158=2,BG251=5),5,3))</f>
        <v>3</v>
      </c>
      <c r="BH158" s="45" t="str">
        <f t="shared" si="384"/>
        <v>Very Good</v>
      </c>
      <c r="BI158" s="163"/>
      <c r="BJ158" s="861">
        <f>IF(OR(AK158=0,AK158=1),3,IF(AND(AK158=2,BJ251=5),5,3))</f>
        <v>3</v>
      </c>
      <c r="BK158" s="45" t="str">
        <f t="shared" si="385"/>
        <v>Very Good</v>
      </c>
      <c r="BL158" s="634"/>
      <c r="BO158" s="43"/>
      <c r="BP158" s="887">
        <f>2*0</f>
        <v>0</v>
      </c>
      <c r="BQ158" s="43">
        <f t="shared" si="340"/>
        <v>0</v>
      </c>
      <c r="BR158" s="43">
        <f t="shared" si="196"/>
        <v>5</v>
      </c>
      <c r="BS158" s="43">
        <f t="shared" si="197"/>
        <v>5</v>
      </c>
      <c r="BT158" s="43">
        <f t="shared" si="198"/>
        <v>5</v>
      </c>
      <c r="BW158" s="45"/>
      <c r="BX158" s="45"/>
      <c r="BY158" s="45"/>
      <c r="BZ158" s="45"/>
      <c r="CA158" s="45"/>
      <c r="CB158" s="45"/>
    </row>
    <row r="159" spans="1:81" x14ac:dyDescent="0.25">
      <c r="A159">
        <v>151</v>
      </c>
      <c r="D159" s="523" t="s">
        <v>172</v>
      </c>
      <c r="E159" s="524"/>
      <c r="F159" s="700"/>
      <c r="G159" s="700"/>
      <c r="H159" s="700"/>
      <c r="I159" s="700"/>
      <c r="J159" s="700"/>
      <c r="K159" s="700"/>
      <c r="L159" s="700"/>
      <c r="M159" s="700"/>
      <c r="N159" s="700"/>
      <c r="O159" s="700"/>
      <c r="P159" s="700"/>
      <c r="Q159" s="700"/>
      <c r="R159" s="700"/>
      <c r="T159" s="712"/>
      <c r="U159" s="523"/>
      <c r="V159" s="522"/>
      <c r="W159" s="522"/>
      <c r="X159" s="522"/>
      <c r="Y159" s="147"/>
      <c r="Z159" s="147"/>
      <c r="AA159" s="712"/>
      <c r="AB159" s="713"/>
      <c r="AD159" s="150">
        <f t="shared" si="377"/>
        <v>0</v>
      </c>
      <c r="AE159" s="716"/>
      <c r="AF159" s="716"/>
      <c r="AG159" s="716"/>
      <c r="AI159" s="537"/>
      <c r="AJ159" s="537"/>
      <c r="AK159" s="537"/>
      <c r="AM159" s="250"/>
      <c r="AN159" s="159"/>
      <c r="AO159" s="159"/>
      <c r="AP159" s="159"/>
      <c r="AQ159" s="164"/>
      <c r="AR159" s="123"/>
      <c r="AS159" s="250"/>
      <c r="AT159" s="159"/>
      <c r="AU159" s="159"/>
      <c r="AV159" s="159"/>
      <c r="AW159" s="164"/>
      <c r="AY159" s="160"/>
      <c r="AZ159" s="161"/>
      <c r="BA159" s="161"/>
      <c r="BB159" s="161"/>
      <c r="BC159" s="165"/>
      <c r="BD159" s="160">
        <f t="shared" si="59"/>
        <v>9</v>
      </c>
      <c r="BE159" s="45" t="str">
        <f t="shared" si="383"/>
        <v>N/A</v>
      </c>
      <c r="BF159" s="163"/>
      <c r="BG159" s="160">
        <f>IF(BC159=0,9,IF(AJ159&gt;=BC159,5,IF(AJ159&gt;=BB159,4,IF(AJ159&gt;=BA159,3,IF(AJ159&gt;=AZ159,2,IF(AJ159&lt;AY159,0,1))))))</f>
        <v>9</v>
      </c>
      <c r="BH159" s="45" t="str">
        <f t="shared" si="384"/>
        <v>N/A</v>
      </c>
      <c r="BI159" s="163"/>
      <c r="BJ159" s="160">
        <f t="shared" si="27"/>
        <v>9</v>
      </c>
      <c r="BK159" s="45" t="str">
        <f t="shared" si="385"/>
        <v>N/A</v>
      </c>
      <c r="BL159" s="163"/>
      <c r="BO159" s="43"/>
      <c r="BP159" s="43"/>
      <c r="BQ159" s="43" t="str">
        <f t="shared" si="340"/>
        <v/>
      </c>
      <c r="BR159" s="43">
        <f t="shared" ref="BR159:BR222" si="393">IF(BQ159="",9,(IF(AI159&gt;=BQ159,5,0)))</f>
        <v>9</v>
      </c>
      <c r="BS159" s="43">
        <f t="shared" ref="BS159:BS222" si="394">IF(BQ159="",9,(IF(AJ159&gt;=BQ159,5,0)))</f>
        <v>9</v>
      </c>
      <c r="BT159" s="43">
        <f t="shared" ref="BT159:BT222" si="395">IF(BQ159="",9,(IF(AK159&gt;=BQ159,5,0)))</f>
        <v>9</v>
      </c>
      <c r="BW159" s="247" t="str">
        <f>D159</f>
        <v>Wst 02</v>
      </c>
      <c r="BX159" s="247" t="str">
        <f>IFERROR(VLOOKUP($E159,'Pre-Assessment Estimator'!$E$11:$AB$228,'Pre-Assessment Estimator'!AB$2,FALSE),"")</f>
        <v/>
      </c>
      <c r="BY159" s="247" t="str">
        <f>IFERROR(VLOOKUP($E159,'Pre-Assessment Estimator'!$E$11:$AI$228,'Pre-Assessment Estimator'!AI$2,FALSE),"")</f>
        <v/>
      </c>
      <c r="BZ159" s="247" t="str">
        <f>IFERROR(VLOOKUP($BX159,$E$294:$H$327,F$292,FALSE),"")</f>
        <v/>
      </c>
      <c r="CA159" s="247" t="str">
        <f>IFERROR(VLOOKUP($BX159,$E$294:$H$327,G$292,FALSE),"")</f>
        <v/>
      </c>
      <c r="CB159" s="247"/>
      <c r="CC159" t="s">
        <v>409</v>
      </c>
    </row>
    <row r="160" spans="1:81" x14ac:dyDescent="0.25">
      <c r="A160">
        <v>152</v>
      </c>
      <c r="B160" s="121" t="str">
        <f>D160</f>
        <v>Wst 03a</v>
      </c>
      <c r="C160" s="121"/>
      <c r="D160" s="638" t="s">
        <v>354</v>
      </c>
      <c r="E160" s="636" t="s">
        <v>775</v>
      </c>
      <c r="F160" s="699">
        <f>SUM(F161)</f>
        <v>1</v>
      </c>
      <c r="G160" s="699">
        <f t="shared" ref="G160:R160" si="396">SUM(G161)</f>
        <v>1</v>
      </c>
      <c r="H160" s="699">
        <f t="shared" si="396"/>
        <v>0</v>
      </c>
      <c r="I160" s="699">
        <f t="shared" si="396"/>
        <v>1</v>
      </c>
      <c r="J160" s="699">
        <f t="shared" si="396"/>
        <v>1</v>
      </c>
      <c r="K160" s="699">
        <f t="shared" si="396"/>
        <v>1</v>
      </c>
      <c r="L160" s="699">
        <f t="shared" si="396"/>
        <v>1</v>
      </c>
      <c r="M160" s="699">
        <f t="shared" si="396"/>
        <v>1</v>
      </c>
      <c r="N160" s="699">
        <f t="shared" si="396"/>
        <v>1</v>
      </c>
      <c r="O160" s="699">
        <f t="shared" si="396"/>
        <v>1</v>
      </c>
      <c r="P160" s="699">
        <f t="shared" si="396"/>
        <v>1</v>
      </c>
      <c r="Q160" s="699">
        <f t="shared" si="396"/>
        <v>1</v>
      </c>
      <c r="R160" s="699">
        <f t="shared" si="396"/>
        <v>1</v>
      </c>
      <c r="T160" s="719">
        <f t="shared" ref="T160:T166" si="397">HLOOKUP($E$6,$F$9:$R$231,$A160,FALSE)</f>
        <v>1</v>
      </c>
      <c r="U160" s="191"/>
      <c r="V160" s="61"/>
      <c r="W160" s="61"/>
      <c r="X160" s="61">
        <f>'Manuell filtrering og justering'!E70</f>
        <v>0</v>
      </c>
      <c r="Y160" s="61"/>
      <c r="Z160" s="699">
        <f t="shared" ref="Z160" si="398">SUM(Z161)</f>
        <v>1</v>
      </c>
      <c r="AA160" s="148">
        <f t="shared" ref="AA160:AA165" si="399">IF(SUM(U160:Y160)&gt;T160,T160,SUM(U160:Y160))</f>
        <v>0</v>
      </c>
      <c r="AB160" s="793">
        <f>SUM(AB161)</f>
        <v>1</v>
      </c>
      <c r="AD160" s="150">
        <f t="shared" si="377"/>
        <v>0.01</v>
      </c>
      <c r="AE160" s="687">
        <f>SUM(AE161)</f>
        <v>0</v>
      </c>
      <c r="AF160" s="687">
        <f t="shared" ref="AF160:AG160" si="400">SUM(AF161)</f>
        <v>0</v>
      </c>
      <c r="AG160" s="687">
        <f t="shared" si="400"/>
        <v>0</v>
      </c>
      <c r="AI160" s="699">
        <f t="shared" ref="AI160" si="401">SUM(AI161)</f>
        <v>0</v>
      </c>
      <c r="AJ160" s="699">
        <f t="shared" ref="AJ160" si="402">SUM(AJ161)</f>
        <v>0</v>
      </c>
      <c r="AK160" s="699">
        <f t="shared" ref="AK160" si="403">SUM(AK161)</f>
        <v>0</v>
      </c>
      <c r="AM160" s="251"/>
      <c r="AN160" s="252"/>
      <c r="AO160" s="252"/>
      <c r="AP160" s="252"/>
      <c r="AQ160" s="253"/>
      <c r="AR160" s="123"/>
      <c r="AS160" s="251"/>
      <c r="AT160" s="252"/>
      <c r="AU160" s="252"/>
      <c r="AV160" s="252"/>
      <c r="AW160" s="253"/>
      <c r="AY160" s="146"/>
      <c r="AZ160" s="43"/>
      <c r="BA160" s="43"/>
      <c r="BB160" s="43"/>
      <c r="BC160" s="147"/>
      <c r="BD160" s="160">
        <f t="shared" si="59"/>
        <v>9</v>
      </c>
      <c r="BE160" s="45" t="str">
        <f t="shared" si="383"/>
        <v>N/A</v>
      </c>
      <c r="BF160" s="163"/>
      <c r="BG160" s="160">
        <f t="shared" ref="BG160:BG162" si="404">IF(BC160=0,9,IF(AJ160&gt;=BC160,5,IF(AJ160&gt;=BB160,4,IF(AJ160&gt;=BA160,3,IF(AJ160&gt;=AZ160,2,IF(AJ160&lt;AY160,0,1))))))</f>
        <v>9</v>
      </c>
      <c r="BH160" s="45" t="str">
        <f t="shared" si="384"/>
        <v>N/A</v>
      </c>
      <c r="BI160" s="163"/>
      <c r="BJ160" s="160">
        <f t="shared" si="27"/>
        <v>9</v>
      </c>
      <c r="BK160" s="45" t="str">
        <f t="shared" si="385"/>
        <v>N/A</v>
      </c>
      <c r="BL160" s="163"/>
      <c r="BO160" s="43"/>
      <c r="BP160" s="43"/>
      <c r="BQ160" s="43" t="str">
        <f t="shared" si="340"/>
        <v/>
      </c>
      <c r="BR160" s="43">
        <f t="shared" si="393"/>
        <v>9</v>
      </c>
      <c r="BS160" s="43">
        <f t="shared" si="394"/>
        <v>9</v>
      </c>
      <c r="BT160" s="43">
        <f t="shared" si="395"/>
        <v>9</v>
      </c>
      <c r="BW160" s="43" t="str">
        <f>D160</f>
        <v>Wst 03a</v>
      </c>
      <c r="BX160" s="43" t="str">
        <f>IFERROR(VLOOKUP($E160,'Pre-Assessment Estimator'!$E$11:$AB$228,'Pre-Assessment Estimator'!AB$2,FALSE),"")</f>
        <v>No</v>
      </c>
      <c r="BY160" s="43">
        <f>IFERROR(VLOOKUP($E160,'Pre-Assessment Estimator'!$E$11:$AI$228,'Pre-Assessment Estimator'!AI$2,FALSE),"")</f>
        <v>0</v>
      </c>
      <c r="BZ160" s="43">
        <f>IFERROR(VLOOKUP($BX160,$E$294:$H$327,F$292,FALSE),"")</f>
        <v>1</v>
      </c>
      <c r="CA160" s="43">
        <f>IFERROR(VLOOKUP($BX160,$E$294:$H$327,G$292,FALSE),"")</f>
        <v>0</v>
      </c>
      <c r="CB160" s="43"/>
      <c r="CC160" t="str">
        <f>IFERROR(VLOOKUP($BX160,$E$294:$H$327,I$292,FALSE),"")</f>
        <v/>
      </c>
    </row>
    <row r="161" spans="1:81" x14ac:dyDescent="0.25">
      <c r="A161">
        <v>153</v>
      </c>
      <c r="B161" t="str">
        <f t="shared" ref="B161" si="405">$D$160&amp;D161</f>
        <v>Wst 03aa</v>
      </c>
      <c r="D161" s="146" t="s">
        <v>673</v>
      </c>
      <c r="E161" s="826" t="s">
        <v>355</v>
      </c>
      <c r="F161" s="582">
        <v>1</v>
      </c>
      <c r="G161" s="582">
        <v>1</v>
      </c>
      <c r="H161" s="759">
        <v>0</v>
      </c>
      <c r="I161" s="582">
        <v>1</v>
      </c>
      <c r="J161" s="582">
        <v>1</v>
      </c>
      <c r="K161" s="582">
        <v>1</v>
      </c>
      <c r="L161" s="582">
        <v>1</v>
      </c>
      <c r="M161" s="582">
        <v>1</v>
      </c>
      <c r="N161" s="582">
        <v>1</v>
      </c>
      <c r="O161" s="582">
        <v>1</v>
      </c>
      <c r="P161" s="582">
        <v>1</v>
      </c>
      <c r="Q161" s="582">
        <v>1</v>
      </c>
      <c r="R161" s="582">
        <v>1</v>
      </c>
      <c r="T161" s="148">
        <f t="shared" si="397"/>
        <v>1</v>
      </c>
      <c r="U161" s="146"/>
      <c r="V161" s="43"/>
      <c r="W161" s="43"/>
      <c r="X161" s="43"/>
      <c r="Y161" s="147"/>
      <c r="Z161" s="147">
        <f>VLOOKUP(B161,'Manuell filtrering og justering'!$A$7:$H$253,'Manuell filtrering og justering'!$H$1,FALSE)</f>
        <v>1</v>
      </c>
      <c r="AA161" s="148">
        <f t="shared" si="399"/>
        <v>0</v>
      </c>
      <c r="AB161" s="149">
        <f>IF($AC$5='Manuell filtrering og justering'!$J$2,Z161,(T161-AA161))</f>
        <v>1</v>
      </c>
      <c r="AD161" s="150">
        <f t="shared" si="377"/>
        <v>0.01</v>
      </c>
      <c r="AE161" s="150">
        <f t="shared" si="387"/>
        <v>0</v>
      </c>
      <c r="AF161" s="150">
        <f t="shared" si="388"/>
        <v>0</v>
      </c>
      <c r="AG161" s="150">
        <f t="shared" si="389"/>
        <v>0</v>
      </c>
      <c r="AI161" s="151">
        <f>IF(VLOOKUP(E161,'Pre-Assessment Estimator'!$E$11:$Z$228,'Pre-Assessment Estimator'!$G$2,FALSE)&gt;AB161,AB161,VLOOKUP(E161,'Pre-Assessment Estimator'!$E$11:$Z$228,'Pre-Assessment Estimator'!$G$2,FALSE))</f>
        <v>0</v>
      </c>
      <c r="AJ161" s="151">
        <f>IF(VLOOKUP(E161,'Pre-Assessment Estimator'!$E$11:$Z$228,'Pre-Assessment Estimator'!$N$2,FALSE)&gt;AB161,AB161,VLOOKUP(E161,'Pre-Assessment Estimator'!$E$11:$Z$228,'Pre-Assessment Estimator'!$N$2,FALSE))</f>
        <v>0</v>
      </c>
      <c r="AK161" s="151">
        <f>IF(VLOOKUP(E161,'Pre-Assessment Estimator'!$E$11:$Z$228,'Pre-Assessment Estimator'!$U$2,FALSE)&gt;AB161,AB161,VLOOKUP(E161,'Pre-Assessment Estimator'!$E$11:$Z$228,'Pre-Assessment Estimator'!$U$2,FALSE))</f>
        <v>0</v>
      </c>
      <c r="AM161" s="653"/>
      <c r="AN161" s="654"/>
      <c r="AO161" s="654"/>
      <c r="AP161" s="654">
        <v>1</v>
      </c>
      <c r="AQ161" s="646">
        <v>1</v>
      </c>
      <c r="AR161" s="123"/>
      <c r="AS161" s="653"/>
      <c r="AT161" s="654"/>
      <c r="AU161" s="654"/>
      <c r="AV161" s="654"/>
      <c r="AW161" s="646"/>
      <c r="AY161" s="167"/>
      <c r="AZ161" s="48"/>
      <c r="BA161" s="48"/>
      <c r="BB161" s="161">
        <f>IF($AB161=0,0,IF($E$6=$H$9,AV161,AP161))</f>
        <v>1</v>
      </c>
      <c r="BC161" s="161">
        <f>IF($AB161=0,0,IF($E$6=$H$9,AW161,AQ161))</f>
        <v>1</v>
      </c>
      <c r="BD161" s="160">
        <f t="shared" si="59"/>
        <v>3</v>
      </c>
      <c r="BE161" s="45" t="str">
        <f t="shared" si="383"/>
        <v>Very Good</v>
      </c>
      <c r="BF161" s="163"/>
      <c r="BG161" s="160">
        <f>IF(BC161=0,9,IF(AJ161&gt;=BC161,5,IF(AJ161&gt;=BB161,4,IF(AJ161&gt;=BA161,3,IF(AJ161&gt;=AZ161,2,IF(AJ161&lt;AY161,0,1))))))</f>
        <v>3</v>
      </c>
      <c r="BH161" s="45" t="str">
        <f t="shared" si="384"/>
        <v>Very Good</v>
      </c>
      <c r="BI161" s="163"/>
      <c r="BJ161" s="160">
        <f t="shared" si="27"/>
        <v>3</v>
      </c>
      <c r="BK161" s="45" t="str">
        <f t="shared" si="385"/>
        <v>Very Good</v>
      </c>
      <c r="BL161" s="650"/>
      <c r="BO161" s="43"/>
      <c r="BP161" s="43"/>
      <c r="BQ161" s="43" t="str">
        <f t="shared" si="340"/>
        <v/>
      </c>
      <c r="BR161" s="43">
        <f t="shared" si="393"/>
        <v>9</v>
      </c>
      <c r="BS161" s="43">
        <f t="shared" si="394"/>
        <v>9</v>
      </c>
      <c r="BT161" s="43">
        <f t="shared" si="395"/>
        <v>9</v>
      </c>
      <c r="BW161" s="43"/>
      <c r="BX161" s="43"/>
      <c r="BY161" s="43"/>
      <c r="BZ161" s="43"/>
      <c r="CA161" s="43"/>
      <c r="CB161" s="43"/>
    </row>
    <row r="162" spans="1:81" x14ac:dyDescent="0.25">
      <c r="A162">
        <v>154</v>
      </c>
      <c r="B162" s="121" t="str">
        <f>D162</f>
        <v>Wst 03b</v>
      </c>
      <c r="C162" s="121"/>
      <c r="D162" s="638" t="s">
        <v>356</v>
      </c>
      <c r="E162" s="636" t="s">
        <v>776</v>
      </c>
      <c r="F162" s="699">
        <f>F163</f>
        <v>0</v>
      </c>
      <c r="G162" s="699">
        <f t="shared" ref="G162:R162" si="406">G163</f>
        <v>0</v>
      </c>
      <c r="H162" s="699">
        <f t="shared" si="406"/>
        <v>1</v>
      </c>
      <c r="I162" s="699">
        <f t="shared" si="406"/>
        <v>0</v>
      </c>
      <c r="J162" s="699">
        <f t="shared" si="406"/>
        <v>0</v>
      </c>
      <c r="K162" s="699">
        <f t="shared" si="406"/>
        <v>0</v>
      </c>
      <c r="L162" s="699">
        <f t="shared" si="406"/>
        <v>0</v>
      </c>
      <c r="M162" s="699">
        <f t="shared" si="406"/>
        <v>0</v>
      </c>
      <c r="N162" s="699">
        <f t="shared" si="406"/>
        <v>0</v>
      </c>
      <c r="O162" s="699">
        <f t="shared" si="406"/>
        <v>0</v>
      </c>
      <c r="P162" s="699">
        <f t="shared" si="406"/>
        <v>0</v>
      </c>
      <c r="Q162" s="699">
        <f t="shared" si="406"/>
        <v>0</v>
      </c>
      <c r="R162" s="699">
        <f t="shared" si="406"/>
        <v>0</v>
      </c>
      <c r="T162" s="719">
        <f t="shared" si="397"/>
        <v>0</v>
      </c>
      <c r="U162" s="191"/>
      <c r="V162" s="61"/>
      <c r="W162" s="61"/>
      <c r="X162" s="61"/>
      <c r="Y162" s="61"/>
      <c r="Z162" s="699">
        <f t="shared" ref="Z162" si="407">Z163</f>
        <v>1</v>
      </c>
      <c r="AA162" s="719">
        <f t="shared" si="399"/>
        <v>0</v>
      </c>
      <c r="AB162" s="793">
        <f>SUM(AB163)</f>
        <v>0</v>
      </c>
      <c r="AD162" s="150">
        <f t="shared" si="377"/>
        <v>0</v>
      </c>
      <c r="AE162" s="687">
        <f>SUM(AE163)</f>
        <v>0</v>
      </c>
      <c r="AF162" s="687">
        <f t="shared" ref="AF162:AG162" si="408">SUM(AF163)</f>
        <v>0</v>
      </c>
      <c r="AG162" s="687">
        <f t="shared" si="408"/>
        <v>0</v>
      </c>
      <c r="AI162" s="699">
        <f t="shared" ref="AI162" si="409">AI163</f>
        <v>0</v>
      </c>
      <c r="AJ162" s="699">
        <f t="shared" ref="AJ162" si="410">AJ163</f>
        <v>0</v>
      </c>
      <c r="AK162" s="699">
        <f t="shared" ref="AK162" si="411">AK163</f>
        <v>0</v>
      </c>
      <c r="AM162" s="653"/>
      <c r="AN162" s="654"/>
      <c r="AO162" s="654"/>
      <c r="AP162" s="654"/>
      <c r="AQ162" s="646"/>
      <c r="AR162" s="123"/>
      <c r="AS162" s="653"/>
      <c r="AT162" s="654"/>
      <c r="AU162" s="654"/>
      <c r="AV162" s="654"/>
      <c r="AW162" s="646"/>
      <c r="AY162" s="167"/>
      <c r="AZ162" s="48"/>
      <c r="BA162" s="48"/>
      <c r="BB162" s="48"/>
      <c r="BC162" s="655"/>
      <c r="BD162" s="160">
        <f t="shared" si="59"/>
        <v>9</v>
      </c>
      <c r="BE162" s="45" t="str">
        <f t="shared" si="383"/>
        <v>N/A</v>
      </c>
      <c r="BF162" s="163"/>
      <c r="BG162" s="160">
        <f t="shared" si="404"/>
        <v>9</v>
      </c>
      <c r="BH162" s="45" t="str">
        <f t="shared" si="384"/>
        <v>N/A</v>
      </c>
      <c r="BI162" s="163"/>
      <c r="BJ162" s="160">
        <f t="shared" si="27"/>
        <v>9</v>
      </c>
      <c r="BK162" s="45" t="str">
        <f t="shared" si="385"/>
        <v>N/A</v>
      </c>
      <c r="BL162" s="650"/>
      <c r="BO162" s="43"/>
      <c r="BP162" s="43"/>
      <c r="BQ162" s="43" t="str">
        <f t="shared" si="340"/>
        <v/>
      </c>
      <c r="BR162" s="43">
        <f t="shared" si="393"/>
        <v>9</v>
      </c>
      <c r="BS162" s="43">
        <f t="shared" si="394"/>
        <v>9</v>
      </c>
      <c r="BT162" s="43">
        <f t="shared" si="395"/>
        <v>9</v>
      </c>
      <c r="BW162" s="43"/>
      <c r="BX162" s="43"/>
      <c r="BY162" s="43"/>
      <c r="BZ162" s="43"/>
      <c r="CA162" s="43"/>
      <c r="CB162" s="43"/>
    </row>
    <row r="163" spans="1:81" x14ac:dyDescent="0.25">
      <c r="A163">
        <v>155</v>
      </c>
      <c r="B163" t="str">
        <f t="shared" ref="B163" si="412">$D$162&amp;D163</f>
        <v>Wst 03ba</v>
      </c>
      <c r="D163" s="146" t="s">
        <v>673</v>
      </c>
      <c r="E163" s="826" t="s">
        <v>648</v>
      </c>
      <c r="F163" s="582">
        <v>0</v>
      </c>
      <c r="G163" s="582">
        <v>0</v>
      </c>
      <c r="H163" s="759">
        <v>1</v>
      </c>
      <c r="I163" s="582">
        <v>0</v>
      </c>
      <c r="J163" s="582">
        <v>0</v>
      </c>
      <c r="K163" s="582">
        <v>0</v>
      </c>
      <c r="L163" s="582">
        <v>0</v>
      </c>
      <c r="M163" s="582">
        <v>0</v>
      </c>
      <c r="N163" s="582">
        <v>0</v>
      </c>
      <c r="O163" s="582">
        <v>0</v>
      </c>
      <c r="P163" s="582">
        <v>0</v>
      </c>
      <c r="Q163" s="582">
        <v>0</v>
      </c>
      <c r="R163" s="582">
        <v>0</v>
      </c>
      <c r="T163" s="148">
        <f t="shared" si="397"/>
        <v>0</v>
      </c>
      <c r="U163" s="146"/>
      <c r="V163" s="43"/>
      <c r="W163" s="43"/>
      <c r="X163" s="43"/>
      <c r="Y163" s="147"/>
      <c r="Z163" s="147">
        <f>VLOOKUP(B163,'Manuell filtrering og justering'!$A$7:$H$253,'Manuell filtrering og justering'!$H$1,FALSE)</f>
        <v>1</v>
      </c>
      <c r="AA163" s="148">
        <f t="shared" si="399"/>
        <v>0</v>
      </c>
      <c r="AB163" s="149">
        <f>IF($AC$5='Manuell filtrering og justering'!$J$2,Z163,(T163-AA163))</f>
        <v>0</v>
      </c>
      <c r="AD163" s="150">
        <f t="shared" si="377"/>
        <v>0</v>
      </c>
      <c r="AE163" s="150">
        <f t="shared" si="387"/>
        <v>0</v>
      </c>
      <c r="AF163" s="150">
        <f t="shared" si="388"/>
        <v>0</v>
      </c>
      <c r="AG163" s="150">
        <f t="shared" si="389"/>
        <v>0</v>
      </c>
      <c r="AI163" s="151">
        <f>IF(VLOOKUP(E163,'Pre-Assessment Estimator'!$E$11:$Z$228,'Pre-Assessment Estimator'!$G$2,FALSE)&gt;AB163,AB163,VLOOKUP(E163,'Pre-Assessment Estimator'!$E$11:$Z$228,'Pre-Assessment Estimator'!$G$2,FALSE))</f>
        <v>0</v>
      </c>
      <c r="AJ163" s="151">
        <f>IF(VLOOKUP(E163,'Pre-Assessment Estimator'!$E$11:$Z$228,'Pre-Assessment Estimator'!$N$2,FALSE)&gt;AB163,AB163,VLOOKUP(E163,'Pre-Assessment Estimator'!$E$11:$Z$228,'Pre-Assessment Estimator'!$N$2,FALSE))</f>
        <v>0</v>
      </c>
      <c r="AK163" s="151">
        <f>IF(VLOOKUP(E163,'Pre-Assessment Estimator'!$E$11:$Z$228,'Pre-Assessment Estimator'!$U$2,FALSE)&gt;AB163,AB163,VLOOKUP(E163,'Pre-Assessment Estimator'!$E$11:$Z$228,'Pre-Assessment Estimator'!$U$2,FALSE))</f>
        <v>0</v>
      </c>
      <c r="AM163" s="653"/>
      <c r="AN163" s="654"/>
      <c r="AO163" s="654"/>
      <c r="AP163" s="654"/>
      <c r="AQ163" s="646"/>
      <c r="AR163" s="123"/>
      <c r="AS163" s="653"/>
      <c r="AT163" s="654"/>
      <c r="AU163" s="654"/>
      <c r="AV163" s="654">
        <v>1</v>
      </c>
      <c r="AW163" s="646">
        <v>1</v>
      </c>
      <c r="AY163" s="167"/>
      <c r="AZ163" s="48"/>
      <c r="BA163" s="48"/>
      <c r="BB163" s="161">
        <f>IF($AB163=0,0,IF($E$6=$H$9,AV163,AP163))</f>
        <v>0</v>
      </c>
      <c r="BC163" s="161">
        <f>IF($AB163=0,0,IF($E$6=$H$9,AW163,AQ163))</f>
        <v>0</v>
      </c>
      <c r="BD163" s="160">
        <f t="shared" ref="BD163" si="413">IF(BC163=0,9,IF(AI163&gt;=BC163,5,IF(AI163&gt;=BB163,4,IF(AI163&gt;=BA163,3,IF(AI163&gt;=AZ163,2,IF(AI163&lt;AY163,0,1))))))</f>
        <v>9</v>
      </c>
      <c r="BE163" s="45" t="str">
        <f t="shared" si="383"/>
        <v>N/A</v>
      </c>
      <c r="BF163" s="163"/>
      <c r="BG163" s="160">
        <f>IF(BC163=0,9,IF(AJ163&gt;=BC163,5,IF(AJ163&gt;=BB163,4,IF(AJ163&gt;=BA163,3,IF(AJ163&gt;=AZ163,2,IF(AJ163&lt;AY163,0,1))))))</f>
        <v>9</v>
      </c>
      <c r="BH163" s="45" t="str">
        <f t="shared" si="384"/>
        <v>N/A</v>
      </c>
      <c r="BI163" s="163"/>
      <c r="BJ163" s="160">
        <f t="shared" ref="BJ163" si="414">IF(BC163=0,9,IF(AK163&gt;=BC163,5,IF(AK163&gt;=BB163,4,IF(AK163&gt;=BA163,3,IF(AK163&gt;=AZ163,2,IF(AK163&lt;AY163,0,1))))))</f>
        <v>9</v>
      </c>
      <c r="BK163" s="45" t="str">
        <f t="shared" si="385"/>
        <v>N/A</v>
      </c>
      <c r="BL163" s="650"/>
      <c r="BO163" s="43"/>
      <c r="BP163" s="43"/>
      <c r="BQ163" s="43" t="str">
        <f t="shared" si="340"/>
        <v/>
      </c>
      <c r="BR163" s="43">
        <f t="shared" si="393"/>
        <v>9</v>
      </c>
      <c r="BS163" s="43">
        <f t="shared" si="394"/>
        <v>9</v>
      </c>
      <c r="BT163" s="43">
        <f t="shared" si="395"/>
        <v>9</v>
      </c>
      <c r="BW163" s="43"/>
      <c r="BX163" s="43"/>
      <c r="BY163" s="43"/>
      <c r="BZ163" s="43"/>
      <c r="CA163" s="43"/>
      <c r="CB163" s="43"/>
    </row>
    <row r="164" spans="1:81" ht="15.75" thickBot="1" x14ac:dyDescent="0.3">
      <c r="A164">
        <v>156</v>
      </c>
      <c r="B164" s="121" t="str">
        <f>D164</f>
        <v>Wst 04</v>
      </c>
      <c r="C164" s="121"/>
      <c r="D164" s="638" t="s">
        <v>173</v>
      </c>
      <c r="E164" s="636" t="s">
        <v>935</v>
      </c>
      <c r="F164" s="699">
        <f>F165</f>
        <v>1</v>
      </c>
      <c r="G164" s="699">
        <f t="shared" ref="G164:R164" si="415">G165</f>
        <v>0</v>
      </c>
      <c r="H164" s="699">
        <f t="shared" si="415"/>
        <v>1</v>
      </c>
      <c r="I164" s="699">
        <f t="shared" si="415"/>
        <v>0</v>
      </c>
      <c r="J164" s="699">
        <f t="shared" si="415"/>
        <v>0</v>
      </c>
      <c r="K164" s="699">
        <f t="shared" si="415"/>
        <v>0</v>
      </c>
      <c r="L164" s="699">
        <f t="shared" si="415"/>
        <v>0</v>
      </c>
      <c r="M164" s="699">
        <f t="shared" si="415"/>
        <v>0</v>
      </c>
      <c r="N164" s="699">
        <f t="shared" si="415"/>
        <v>0</v>
      </c>
      <c r="O164" s="699">
        <f t="shared" si="415"/>
        <v>0</v>
      </c>
      <c r="P164" s="699">
        <f t="shared" si="415"/>
        <v>0</v>
      </c>
      <c r="Q164" s="699">
        <f t="shared" si="415"/>
        <v>0</v>
      </c>
      <c r="R164" s="699">
        <f t="shared" si="415"/>
        <v>0</v>
      </c>
      <c r="T164" s="719">
        <f t="shared" si="397"/>
        <v>1</v>
      </c>
      <c r="U164" s="191">
        <f>U165</f>
        <v>0</v>
      </c>
      <c r="V164" s="61"/>
      <c r="W164" s="61"/>
      <c r="X164" s="61">
        <f>'Manuell filtrering og justering'!E71</f>
        <v>0</v>
      </c>
      <c r="Y164" s="61"/>
      <c r="Z164" s="699">
        <f t="shared" ref="Z164" si="416">Z165</f>
        <v>1</v>
      </c>
      <c r="AA164" s="719">
        <f t="shared" si="399"/>
        <v>0</v>
      </c>
      <c r="AB164" s="793">
        <f>SUM(AB165)</f>
        <v>1</v>
      </c>
      <c r="AD164" s="150">
        <f t="shared" si="377"/>
        <v>0.01</v>
      </c>
      <c r="AE164" s="687">
        <f>SUM(AE165)</f>
        <v>0</v>
      </c>
      <c r="AF164" s="687">
        <f t="shared" ref="AF164:AG164" si="417">SUM(AF165)</f>
        <v>0</v>
      </c>
      <c r="AG164" s="687">
        <f t="shared" si="417"/>
        <v>0</v>
      </c>
      <c r="AI164" s="699">
        <f t="shared" ref="AI164" si="418">AI165</f>
        <v>0</v>
      </c>
      <c r="AJ164" s="699">
        <f t="shared" ref="AJ164" si="419">AJ165</f>
        <v>0</v>
      </c>
      <c r="AK164" s="699">
        <f t="shared" ref="AK164" si="420">AK165</f>
        <v>0</v>
      </c>
      <c r="AM164" s="254"/>
      <c r="AN164" s="255"/>
      <c r="AO164" s="255"/>
      <c r="AP164" s="255"/>
      <c r="AQ164" s="256"/>
      <c r="AR164" s="123"/>
      <c r="AS164" s="254"/>
      <c r="AT164" s="255"/>
      <c r="AU164" s="255"/>
      <c r="AV164" s="255"/>
      <c r="AW164" s="256"/>
      <c r="AY164" s="168"/>
      <c r="AZ164" s="170"/>
      <c r="BA164" s="170"/>
      <c r="BB164" s="170"/>
      <c r="BC164" s="171"/>
      <c r="BD164" s="172">
        <f t="shared" si="59"/>
        <v>9</v>
      </c>
      <c r="BE164" s="45" t="str">
        <f t="shared" si="383"/>
        <v>N/A</v>
      </c>
      <c r="BF164" s="173"/>
      <c r="BG164" s="172">
        <f>IF(BC164=0,9,IF(AJ164&gt;=BC164,5,IF(AJ164&gt;=BB164,4,IF(AJ164&gt;=BA164,3,IF(AJ164&gt;=AZ164,2,IF(AJ164&lt;AY164,0,1))))))</f>
        <v>9</v>
      </c>
      <c r="BH164" s="45" t="str">
        <f t="shared" si="384"/>
        <v>N/A</v>
      </c>
      <c r="BI164" s="173"/>
      <c r="BJ164" s="172">
        <f t="shared" si="27"/>
        <v>9</v>
      </c>
      <c r="BK164" s="45" t="str">
        <f t="shared" si="385"/>
        <v>N/A</v>
      </c>
      <c r="BL164" s="173"/>
      <c r="BO164" s="43"/>
      <c r="BP164" s="43"/>
      <c r="BQ164" s="43" t="str">
        <f t="shared" si="340"/>
        <v/>
      </c>
      <c r="BR164" s="43">
        <f t="shared" si="393"/>
        <v>9</v>
      </c>
      <c r="BS164" s="43">
        <f t="shared" si="394"/>
        <v>9</v>
      </c>
      <c r="BT164" s="43">
        <f t="shared" si="395"/>
        <v>9</v>
      </c>
      <c r="BW164" s="43" t="str">
        <f>D164</f>
        <v>Wst 04</v>
      </c>
      <c r="BX164" s="43" t="str">
        <f>IFERROR(VLOOKUP($E164,'Pre-Assessment Estimator'!$E$11:$AB$228,'Pre-Assessment Estimator'!AB$2,FALSE),"")</f>
        <v>No</v>
      </c>
      <c r="BY164" s="43">
        <f>IFERROR(VLOOKUP($E164,'Pre-Assessment Estimator'!$E$11:$AI$228,'Pre-Assessment Estimator'!AI$2,FALSE),"")</f>
        <v>0</v>
      </c>
      <c r="BZ164" s="43">
        <f>IFERROR(VLOOKUP($BX164,$E$294:$H$327,F$292,FALSE),"")</f>
        <v>1</v>
      </c>
      <c r="CA164" s="43">
        <f>IFERROR(VLOOKUP($BX164,$E$294:$H$327,G$292,FALSE),"")</f>
        <v>0</v>
      </c>
      <c r="CB164" s="43"/>
      <c r="CC164" t="str">
        <f>IFERROR(VLOOKUP($BX164,$E$294:$H$327,I$292,FALSE),"")</f>
        <v/>
      </c>
    </row>
    <row r="165" spans="1:81" ht="15.75" thickBot="1" x14ac:dyDescent="0.3">
      <c r="A165">
        <v>157</v>
      </c>
      <c r="B165" t="str">
        <f>$D$164&amp;D165</f>
        <v>Wst 04a</v>
      </c>
      <c r="D165" s="198" t="s">
        <v>673</v>
      </c>
      <c r="E165" s="826" t="s">
        <v>649</v>
      </c>
      <c r="F165" s="707">
        <v>1</v>
      </c>
      <c r="G165" s="842">
        <v>0</v>
      </c>
      <c r="H165" s="707">
        <v>1</v>
      </c>
      <c r="I165" s="842">
        <v>0</v>
      </c>
      <c r="J165" s="842">
        <v>0</v>
      </c>
      <c r="K165" s="842">
        <v>0</v>
      </c>
      <c r="L165" s="842">
        <v>0</v>
      </c>
      <c r="M165" s="842">
        <v>0</v>
      </c>
      <c r="N165" s="842">
        <v>0</v>
      </c>
      <c r="O165" s="842">
        <v>0</v>
      </c>
      <c r="P165" s="842">
        <v>0</v>
      </c>
      <c r="Q165" s="842">
        <v>0</v>
      </c>
      <c r="R165" s="842">
        <v>0</v>
      </c>
      <c r="T165" s="148">
        <f t="shared" si="397"/>
        <v>1</v>
      </c>
      <c r="U165" s="167">
        <f>IF(AND(ADBT0=ADBT12,'Assessment Details'!F6&lt;&gt;'Assessment Details'!V8),Poeng!T165,0)</f>
        <v>0</v>
      </c>
      <c r="V165" s="48"/>
      <c r="W165" s="48"/>
      <c r="X165" s="48"/>
      <c r="Y165" s="148">
        <f>IF($Y$4=$Y$6,T165,0)</f>
        <v>0</v>
      </c>
      <c r="Z165" s="147">
        <f>VLOOKUP(B165,'Manuell filtrering og justering'!$A$7:$H$253,'Manuell filtrering og justering'!$H$1,FALSE)</f>
        <v>1</v>
      </c>
      <c r="AA165" s="148">
        <f t="shared" si="399"/>
        <v>0</v>
      </c>
      <c r="AB165" s="149">
        <f>IF($AC$5='Manuell filtrering og justering'!$J$2,Z165,(T165-AA165))</f>
        <v>1</v>
      </c>
      <c r="AD165" s="150">
        <f t="shared" si="377"/>
        <v>0.01</v>
      </c>
      <c r="AE165" s="150">
        <f t="shared" si="387"/>
        <v>0</v>
      </c>
      <c r="AF165" s="150">
        <f t="shared" si="388"/>
        <v>0</v>
      </c>
      <c r="AG165" s="150">
        <f t="shared" si="389"/>
        <v>0</v>
      </c>
      <c r="AI165" s="151">
        <f>IF(VLOOKUP(E165,'Pre-Assessment Estimator'!$E$11:$Z$228,'Pre-Assessment Estimator'!$G$2,FALSE)&gt;AB165,AB165,VLOOKUP(E165,'Pre-Assessment Estimator'!$E$11:$Z$228,'Pre-Assessment Estimator'!$G$2,FALSE))</f>
        <v>0</v>
      </c>
      <c r="AJ165" s="151">
        <f>IF(VLOOKUP(E165,'Pre-Assessment Estimator'!$E$11:$Z$228,'Pre-Assessment Estimator'!$N$2,FALSE)&gt;AB165,AB165,VLOOKUP(E165,'Pre-Assessment Estimator'!$E$11:$Z$228,'Pre-Assessment Estimator'!$N$2,FALSE))</f>
        <v>0</v>
      </c>
      <c r="AK165" s="151">
        <f>IF(VLOOKUP(E165,'Pre-Assessment Estimator'!$E$11:$Z$228,'Pre-Assessment Estimator'!$U$2,FALSE)&gt;AB165,AB165,VLOOKUP(E165,'Pre-Assessment Estimator'!$E$11:$Z$228,'Pre-Assessment Estimator'!$U$2,FALSE))</f>
        <v>0</v>
      </c>
      <c r="AM165" s="254"/>
      <c r="AN165" s="255"/>
      <c r="AO165" s="255"/>
      <c r="AP165" s="255"/>
      <c r="AQ165" s="256"/>
      <c r="AR165" s="123"/>
      <c r="AS165" s="254"/>
      <c r="AT165" s="255"/>
      <c r="AU165" s="255"/>
      <c r="AV165" s="255"/>
      <c r="AW165" s="256"/>
      <c r="AY165" s="168"/>
      <c r="AZ165" s="170"/>
      <c r="BA165" s="170"/>
      <c r="BB165" s="170"/>
      <c r="BC165" s="171"/>
      <c r="BD165" s="172">
        <f t="shared" ref="BD165" si="421">IF(BC165=0,9,IF(AI165&gt;=BC165,5,IF(AI165&gt;=BB165,4,IF(AI165&gt;=BA165,3,IF(AI165&gt;=AZ165,2,IF(AI165&lt;AY165,0,1))))))</f>
        <v>9</v>
      </c>
      <c r="BE165" s="45" t="str">
        <f t="shared" si="383"/>
        <v>N/A</v>
      </c>
      <c r="BF165" s="173"/>
      <c r="BG165" s="172">
        <f>IF(BC165=0,9,IF(AJ165&gt;=BC165,5,IF(AJ165&gt;=BB165,4,IF(AJ165&gt;=BA165,3,IF(AJ165&gt;=AZ165,2,IF(AJ165&lt;AY165,0,1))))))</f>
        <v>9</v>
      </c>
      <c r="BH165" s="45" t="str">
        <f t="shared" si="384"/>
        <v>N/A</v>
      </c>
      <c r="BI165" s="173"/>
      <c r="BJ165" s="172">
        <f t="shared" ref="BJ165" si="422">IF(BC165=0,9,IF(AK165&gt;=BC165,5,IF(AK165&gt;=BB165,4,IF(AK165&gt;=BA165,3,IF(AK165&gt;=AZ165,2,IF(AK165&lt;AY165,0,1))))))</f>
        <v>9</v>
      </c>
      <c r="BK165" s="45" t="str">
        <f t="shared" si="385"/>
        <v>N/A</v>
      </c>
      <c r="BL165" s="173"/>
      <c r="BO165" s="43"/>
      <c r="BP165" s="43"/>
      <c r="BQ165" s="43" t="str">
        <f t="shared" si="340"/>
        <v/>
      </c>
      <c r="BR165" s="43">
        <f t="shared" si="393"/>
        <v>9</v>
      </c>
      <c r="BS165" s="43">
        <f t="shared" si="394"/>
        <v>9</v>
      </c>
      <c r="BT165" s="43">
        <f t="shared" si="395"/>
        <v>9</v>
      </c>
      <c r="BW165" s="63"/>
      <c r="BX165" s="63"/>
      <c r="BY165" s="63"/>
      <c r="BZ165" s="63"/>
      <c r="CA165" s="63"/>
      <c r="CB165" s="63"/>
    </row>
    <row r="166" spans="1:81" ht="15.75" thickBot="1" x14ac:dyDescent="0.3">
      <c r="A166">
        <v>158</v>
      </c>
      <c r="B166" t="s">
        <v>866</v>
      </c>
      <c r="D166" s="174"/>
      <c r="E166" s="50" t="s">
        <v>204</v>
      </c>
      <c r="F166" s="586">
        <f>F155+F160+F162+F164</f>
        <v>7</v>
      </c>
      <c r="G166" s="586">
        <f t="shared" ref="G166:R166" si="423">G155+G160+G162+G164</f>
        <v>6</v>
      </c>
      <c r="H166" s="586">
        <f t="shared" si="423"/>
        <v>7</v>
      </c>
      <c r="I166" s="586">
        <f t="shared" si="423"/>
        <v>6</v>
      </c>
      <c r="J166" s="586">
        <f t="shared" si="423"/>
        <v>6</v>
      </c>
      <c r="K166" s="586">
        <f t="shared" si="423"/>
        <v>6</v>
      </c>
      <c r="L166" s="586">
        <f t="shared" si="423"/>
        <v>6</v>
      </c>
      <c r="M166" s="586">
        <f t="shared" si="423"/>
        <v>6</v>
      </c>
      <c r="N166" s="586">
        <f t="shared" si="423"/>
        <v>6</v>
      </c>
      <c r="O166" s="586">
        <f t="shared" si="423"/>
        <v>6</v>
      </c>
      <c r="P166" s="586">
        <f t="shared" si="423"/>
        <v>6</v>
      </c>
      <c r="Q166" s="586">
        <f t="shared" ref="Q166" si="424">Q155+Q160+Q162+Q164</f>
        <v>6</v>
      </c>
      <c r="R166" s="586">
        <f t="shared" si="423"/>
        <v>6</v>
      </c>
      <c r="T166" s="195">
        <f t="shared" si="397"/>
        <v>7</v>
      </c>
      <c r="U166" s="176"/>
      <c r="V166" s="177"/>
      <c r="W166" s="177"/>
      <c r="X166" s="177"/>
      <c r="Y166" s="178"/>
      <c r="Z166" s="178"/>
      <c r="AA166" s="586">
        <f t="shared" ref="AA166:AG166" si="425">AA155+AA160+AA162+AA164</f>
        <v>0</v>
      </c>
      <c r="AB166" s="586">
        <f t="shared" si="425"/>
        <v>7</v>
      </c>
      <c r="AD166" s="180">
        <f t="shared" si="425"/>
        <v>7.0000000000000007E-2</v>
      </c>
      <c r="AE166" s="180">
        <f t="shared" si="425"/>
        <v>0</v>
      </c>
      <c r="AF166" s="180">
        <f t="shared" si="425"/>
        <v>0</v>
      </c>
      <c r="AG166" s="180">
        <f t="shared" si="425"/>
        <v>0</v>
      </c>
      <c r="AI166" s="72">
        <f t="shared" ref="AI166:AK166" si="426">AI155+AI160+AI162+AI164</f>
        <v>0</v>
      </c>
      <c r="AJ166" s="72">
        <f t="shared" si="426"/>
        <v>0</v>
      </c>
      <c r="AK166" s="72">
        <f t="shared" si="426"/>
        <v>0</v>
      </c>
      <c r="AM166" s="123"/>
      <c r="AN166" s="123"/>
      <c r="AO166" s="123"/>
      <c r="AP166" s="123"/>
      <c r="AQ166" s="123"/>
      <c r="AR166" s="123"/>
      <c r="AS166" s="123"/>
      <c r="AT166" s="123"/>
      <c r="AU166" s="123"/>
      <c r="AV166" s="123"/>
      <c r="AW166" s="123"/>
      <c r="AZ166" s="181"/>
      <c r="BW166" s="50"/>
      <c r="BX166" s="50" t="str">
        <f>IFERROR(VLOOKUP($E166,'Pre-Assessment Estimator'!$E$11:$AB$228,'Pre-Assessment Estimator'!AB$2,FALSE),"")</f>
        <v/>
      </c>
      <c r="BY166" s="50" t="str">
        <f>IFERROR(VLOOKUP($E166,'Pre-Assessment Estimator'!$E$11:$AI$228,'Pre-Assessment Estimator'!AI$2,FALSE),"")</f>
        <v/>
      </c>
      <c r="BZ166" s="50" t="str">
        <f t="shared" ref="BZ166:CA169" si="427">IFERROR(VLOOKUP($BX166,$E$294:$H$327,F$292,FALSE),"")</f>
        <v/>
      </c>
      <c r="CA166" s="50" t="str">
        <f t="shared" si="427"/>
        <v/>
      </c>
      <c r="CB166" s="50"/>
      <c r="CC166" t="str">
        <f>IFERROR(VLOOKUP($BX166,$E$294:$H$327,I$292,FALSE),"")</f>
        <v/>
      </c>
    </row>
    <row r="167" spans="1:81" ht="15.75" thickBot="1" x14ac:dyDescent="0.3">
      <c r="A167">
        <v>159</v>
      </c>
      <c r="AI167" s="1"/>
      <c r="AJ167" s="1"/>
      <c r="AK167" s="1"/>
      <c r="AM167" s="123"/>
      <c r="AN167" s="123"/>
      <c r="AO167" s="123"/>
      <c r="AP167" s="123"/>
      <c r="AQ167" s="123"/>
      <c r="AR167" s="123"/>
      <c r="AS167" s="123"/>
      <c r="AT167" s="123"/>
      <c r="AU167" s="123"/>
      <c r="AV167" s="123"/>
      <c r="AW167" s="123"/>
      <c r="BX167" t="str">
        <f>IFERROR(VLOOKUP($E167,'Pre-Assessment Estimator'!$E$11:$AB$228,'Pre-Assessment Estimator'!AB$2,FALSE),"")</f>
        <v/>
      </c>
      <c r="BY167" t="str">
        <f>IFERROR(VLOOKUP($E167,'Pre-Assessment Estimator'!$E$11:$AI$228,'Pre-Assessment Estimator'!AI$2,FALSE),"")</f>
        <v/>
      </c>
      <c r="BZ167" t="str">
        <f t="shared" si="427"/>
        <v/>
      </c>
      <c r="CA167" t="str">
        <f t="shared" si="427"/>
        <v/>
      </c>
      <c r="CC167" t="str">
        <f>IFERROR(VLOOKUP($BX167,$E$294:$H$327,I$292,FALSE),"")</f>
        <v/>
      </c>
    </row>
    <row r="168" spans="1:81" ht="60.75" thickBot="1" x14ac:dyDescent="0.3">
      <c r="A168">
        <v>160</v>
      </c>
      <c r="D168" s="132"/>
      <c r="E168" s="133" t="s">
        <v>213</v>
      </c>
      <c r="F168" s="1364" t="str">
        <f>$F$9</f>
        <v>Office</v>
      </c>
      <c r="G168" s="1364" t="str">
        <f>$G$9</f>
        <v>Retail</v>
      </c>
      <c r="H168" s="1365" t="str">
        <f>$H$9</f>
        <v>Residential</v>
      </c>
      <c r="I168" s="1364" t="str">
        <f>$I$9</f>
        <v>Industrial</v>
      </c>
      <c r="J168" s="1366" t="str">
        <f>$J$9</f>
        <v>Healthcare</v>
      </c>
      <c r="K168" s="1366" t="str">
        <f>$K$9</f>
        <v>Prison</v>
      </c>
      <c r="L168" s="1366" t="str">
        <f>$L$9</f>
        <v>Law Court</v>
      </c>
      <c r="M168" s="1367" t="str">
        <f>$M$9</f>
        <v>Residential institution (long term stay)</v>
      </c>
      <c r="N168" s="684" t="str">
        <f>$N$9</f>
        <v>Residential institution (short term stay)</v>
      </c>
      <c r="O168" s="684" t="str">
        <f>$O$9</f>
        <v>Non-residential institution</v>
      </c>
      <c r="P168" s="684" t="str">
        <f>$P$9</f>
        <v>Assembly and leisure</v>
      </c>
      <c r="Q168" s="1366" t="str">
        <f>$Q$9</f>
        <v>Education</v>
      </c>
      <c r="R168" s="659" t="str">
        <f>$R$9</f>
        <v>Other</v>
      </c>
      <c r="T168" s="122" t="str">
        <f>$E$6</f>
        <v>Office</v>
      </c>
      <c r="U168" s="182"/>
      <c r="V168" s="183"/>
      <c r="W168" s="183"/>
      <c r="X168" s="183"/>
      <c r="Y168" s="871" t="s">
        <v>391</v>
      </c>
      <c r="Z168" s="302" t="s">
        <v>317</v>
      </c>
      <c r="AA168" s="131" t="s">
        <v>204</v>
      </c>
      <c r="AB168" s="53" t="s">
        <v>15</v>
      </c>
      <c r="AI168" s="36"/>
      <c r="AJ168" s="54"/>
      <c r="AK168" s="54"/>
      <c r="AM168" s="123"/>
      <c r="AN168" s="123"/>
      <c r="AO168" s="123"/>
      <c r="AP168" s="123"/>
      <c r="AQ168" s="123"/>
      <c r="AR168" s="123"/>
      <c r="AS168" s="123"/>
      <c r="AT168" s="123"/>
      <c r="AU168" s="123"/>
      <c r="AV168" s="123"/>
      <c r="AW168" s="123"/>
      <c r="BO168" s="54"/>
      <c r="BP168" s="54"/>
      <c r="BQ168" s="54"/>
      <c r="BR168" s="54"/>
      <c r="BS168" s="54"/>
      <c r="BT168" s="54"/>
      <c r="BW168" s="47"/>
      <c r="BX168" s="47" t="str">
        <f>E168</f>
        <v>Land &amp; Ecology</v>
      </c>
      <c r="BY168" s="47" t="str">
        <f>IFERROR(VLOOKUP($E168,'Pre-Assessment Estimator'!$E$11:$AI$228,'Pre-Assessment Estimator'!AI$2,FALSE),"")</f>
        <v/>
      </c>
      <c r="BZ168" s="47" t="str">
        <f t="shared" si="427"/>
        <v/>
      </c>
      <c r="CA168" s="47" t="str">
        <f t="shared" si="427"/>
        <v/>
      </c>
      <c r="CB168" s="47"/>
      <c r="CC168" t="str">
        <f>IFERROR(VLOOKUP($BX168,$E$294:$H$327,I$292,FALSE),"")</f>
        <v/>
      </c>
    </row>
    <row r="169" spans="1:81" x14ac:dyDescent="0.25">
      <c r="A169">
        <v>161</v>
      </c>
      <c r="B169" s="121" t="str">
        <f>D169</f>
        <v>LE 01</v>
      </c>
      <c r="C169" s="121"/>
      <c r="D169" s="660" t="s">
        <v>174</v>
      </c>
      <c r="E169" s="661" t="s">
        <v>154</v>
      </c>
      <c r="F169" s="699">
        <f>F170</f>
        <v>2</v>
      </c>
      <c r="G169" s="699">
        <f t="shared" ref="G169:R169" si="428">G170</f>
        <v>2</v>
      </c>
      <c r="H169" s="699">
        <f t="shared" si="428"/>
        <v>2</v>
      </c>
      <c r="I169" s="699">
        <f t="shared" si="428"/>
        <v>2</v>
      </c>
      <c r="J169" s="699">
        <f t="shared" si="428"/>
        <v>2</v>
      </c>
      <c r="K169" s="699">
        <f t="shared" si="428"/>
        <v>2</v>
      </c>
      <c r="L169" s="699">
        <f t="shared" si="428"/>
        <v>2</v>
      </c>
      <c r="M169" s="699">
        <f t="shared" si="428"/>
        <v>2</v>
      </c>
      <c r="N169" s="699">
        <f t="shared" si="428"/>
        <v>2</v>
      </c>
      <c r="O169" s="699">
        <f t="shared" si="428"/>
        <v>2</v>
      </c>
      <c r="P169" s="699">
        <f t="shared" si="428"/>
        <v>2</v>
      </c>
      <c r="Q169" s="699">
        <f t="shared" si="428"/>
        <v>2</v>
      </c>
      <c r="R169" s="699">
        <f t="shared" si="428"/>
        <v>2</v>
      </c>
      <c r="T169" s="717">
        <f t="shared" ref="T169:T197" si="429">HLOOKUP($E$6,$F$9:$R$231,$A169,FALSE)</f>
        <v>2</v>
      </c>
      <c r="U169" s="191"/>
      <c r="V169" s="61"/>
      <c r="W169" s="61"/>
      <c r="X169" s="61">
        <f>'Manuell filtrering og justering'!E75</f>
        <v>0</v>
      </c>
      <c r="Y169" s="61"/>
      <c r="Z169" s="714">
        <f t="shared" ref="Z169" si="430">Z170</f>
        <v>1</v>
      </c>
      <c r="AA169" s="719">
        <f t="shared" ref="AA169:AA196" si="431">IF(SUM(U169:Y169)&gt;T169,T169,SUM(U169:Y169))</f>
        <v>0</v>
      </c>
      <c r="AB169" s="793">
        <f>SUM(AB170)</f>
        <v>2</v>
      </c>
      <c r="AD169" s="150">
        <f t="shared" ref="AD169:AD196" si="432">(LE_Weight/LE_Credits)*AB169</f>
        <v>1.5789473684210527E-2</v>
      </c>
      <c r="AE169" s="687">
        <f>SUM(AE170)</f>
        <v>0</v>
      </c>
      <c r="AF169" s="687">
        <f t="shared" ref="AF169" si="433">SUM(AF170)</f>
        <v>0</v>
      </c>
      <c r="AG169" s="687">
        <f t="shared" ref="AG169" si="434">SUM(AG170)</f>
        <v>0</v>
      </c>
      <c r="AI169" s="714">
        <f t="shared" ref="AI169" si="435">AI170</f>
        <v>0</v>
      </c>
      <c r="AJ169" s="714">
        <f t="shared" ref="AJ169" si="436">AJ170</f>
        <v>0</v>
      </c>
      <c r="AK169" s="714">
        <f t="shared" ref="AK169" si="437">AK170</f>
        <v>0</v>
      </c>
      <c r="AM169" s="257"/>
      <c r="AN169" s="258"/>
      <c r="AO169" s="258"/>
      <c r="AP169" s="258"/>
      <c r="AQ169" s="259"/>
      <c r="AR169" s="123"/>
      <c r="AS169" s="257"/>
      <c r="AT169" s="258"/>
      <c r="AU169" s="258"/>
      <c r="AV169" s="258"/>
      <c r="AW169" s="259"/>
      <c r="AY169" s="189"/>
      <c r="AZ169" s="156"/>
      <c r="BA169" s="156"/>
      <c r="BB169" s="156"/>
      <c r="BC169" s="190"/>
      <c r="BD169" s="153">
        <f t="shared" si="59"/>
        <v>9</v>
      </c>
      <c r="BE169" s="45" t="str">
        <f t="shared" ref="BE169:BE196" si="438">VLOOKUP(BD169,$BO$285:$BT$291,6,FALSE)</f>
        <v>N/A</v>
      </c>
      <c r="BF169" s="157"/>
      <c r="BG169" s="153">
        <f t="shared" ref="BG169:BG172" si="439">IF(BC169=0,9,IF(AJ169&gt;=BC169,5,IF(AJ169&gt;=BB169,4,IF(AJ169&gt;=BA169,3,IF(AJ169&gt;=AZ169,2,IF(AJ169&lt;AY169,0,1))))))</f>
        <v>9</v>
      </c>
      <c r="BH169" s="45" t="str">
        <f t="shared" ref="BH169:BH196" si="440">VLOOKUP(BG169,$BO$285:$BT$291,6,FALSE)</f>
        <v>N/A</v>
      </c>
      <c r="BI169" s="157"/>
      <c r="BJ169" s="153">
        <f t="shared" ref="BJ169:BJ225" si="441">IF(BC169=0,9,IF(AK169&gt;=BC169,5,IF(AK169&gt;=BB169,4,IF(AK169&gt;=BA169,3,IF(AK169&gt;=AZ169,2,IF(AK169&lt;AY169,0,1))))))</f>
        <v>9</v>
      </c>
      <c r="BK169" s="45" t="str">
        <f t="shared" ref="BK169:BK196" si="442">VLOOKUP(BJ169,$BO$285:$BT$291,6,FALSE)</f>
        <v>N/A</v>
      </c>
      <c r="BL169" s="157"/>
      <c r="BO169" s="43"/>
      <c r="BP169" s="43"/>
      <c r="BQ169" s="43" t="str">
        <f t="shared" si="340"/>
        <v/>
      </c>
      <c r="BR169" s="43">
        <f t="shared" si="393"/>
        <v>9</v>
      </c>
      <c r="BS169" s="43">
        <f t="shared" si="394"/>
        <v>9</v>
      </c>
      <c r="BT169" s="43">
        <f t="shared" si="395"/>
        <v>9</v>
      </c>
      <c r="BW169" s="45" t="str">
        <f>D169</f>
        <v>LE 01</v>
      </c>
      <c r="BX169" s="45" t="str">
        <f>IFERROR(VLOOKUP($E169,'Pre-Assessment Estimator'!$E$11:$AB$228,'Pre-Assessment Estimator'!AB$2,FALSE),"")</f>
        <v>N/A</v>
      </c>
      <c r="BY169" s="45">
        <f>IFERROR(VLOOKUP($E169,'Pre-Assessment Estimator'!$E$11:$AI$228,'Pre-Assessment Estimator'!AI$2,FALSE),"")</f>
        <v>0</v>
      </c>
      <c r="BZ169" s="45">
        <f t="shared" si="427"/>
        <v>1</v>
      </c>
      <c r="CA169" s="45">
        <f t="shared" si="427"/>
        <v>0</v>
      </c>
      <c r="CB169" s="45"/>
      <c r="CC169" t="str">
        <f>IFERROR(VLOOKUP($BX169,$E$294:$H$327,I$292,FALSE),"")</f>
        <v/>
      </c>
    </row>
    <row r="170" spans="1:81" x14ac:dyDescent="0.25">
      <c r="A170">
        <v>162</v>
      </c>
      <c r="B170" t="str">
        <f t="shared" ref="B170" si="443">$D$169&amp;D170</f>
        <v>LE 01a</v>
      </c>
      <c r="D170" s="146" t="s">
        <v>673</v>
      </c>
      <c r="E170" s="826" t="s">
        <v>651</v>
      </c>
      <c r="F170" s="582">
        <v>2</v>
      </c>
      <c r="G170" s="582">
        <v>2</v>
      </c>
      <c r="H170" s="582">
        <v>2</v>
      </c>
      <c r="I170" s="582">
        <v>2</v>
      </c>
      <c r="J170" s="582">
        <v>2</v>
      </c>
      <c r="K170" s="582">
        <v>2</v>
      </c>
      <c r="L170" s="582">
        <v>2</v>
      </c>
      <c r="M170" s="582">
        <v>2</v>
      </c>
      <c r="N170" s="582">
        <v>2</v>
      </c>
      <c r="O170" s="582">
        <v>2</v>
      </c>
      <c r="P170" s="582">
        <v>2</v>
      </c>
      <c r="Q170" s="582">
        <v>2</v>
      </c>
      <c r="R170" s="582">
        <v>2</v>
      </c>
      <c r="T170" s="148">
        <f t="shared" si="429"/>
        <v>2</v>
      </c>
      <c r="U170" s="146"/>
      <c r="V170" s="43"/>
      <c r="W170" s="43"/>
      <c r="X170" s="43"/>
      <c r="Y170" s="147"/>
      <c r="Z170" s="147">
        <f>VLOOKUP(B170,'Manuell filtrering og justering'!$A$7:$H$253,'Manuell filtrering og justering'!$H$1,FALSE)</f>
        <v>1</v>
      </c>
      <c r="AA170" s="148">
        <f t="shared" si="431"/>
        <v>0</v>
      </c>
      <c r="AB170" s="149">
        <f>IF($AC$5='Manuell filtrering og justering'!$J$2,Z170,(T170-AA170))</f>
        <v>2</v>
      </c>
      <c r="AD170" s="150">
        <f t="shared" si="432"/>
        <v>1.5789473684210527E-2</v>
      </c>
      <c r="AE170" s="150">
        <f t="shared" ref="AE170:AE196" si="444">IF(AB170=0,0,(AD170/AB170)*AI170)</f>
        <v>0</v>
      </c>
      <c r="AF170" s="150">
        <f t="shared" ref="AF170:AF196" si="445">IF(AB170=0,0,(AD170/AB170)*AJ170)</f>
        <v>0</v>
      </c>
      <c r="AG170" s="150">
        <f t="shared" ref="AG170:AG196" si="446">IF(AB170=0,0,(AD170/AB170)*AK170)</f>
        <v>0</v>
      </c>
      <c r="AI170" s="151">
        <f>IF(VLOOKUP(E170,'Pre-Assessment Estimator'!$E$11:$Z$228,'Pre-Assessment Estimator'!$G$2,FALSE)&gt;AB170,AB170,VLOOKUP(E170,'Pre-Assessment Estimator'!$E$11:$Z$228,'Pre-Assessment Estimator'!$G$2,FALSE))</f>
        <v>0</v>
      </c>
      <c r="AJ170" s="151">
        <f>IF(VLOOKUP(E170,'Pre-Assessment Estimator'!$E$11:$Z$228,'Pre-Assessment Estimator'!$N$2,FALSE)&gt;AB170,AB170,VLOOKUP(E170,'Pre-Assessment Estimator'!$E$11:$Z$228,'Pre-Assessment Estimator'!$N$2,FALSE))</f>
        <v>0</v>
      </c>
      <c r="AK170" s="151">
        <f>IF(VLOOKUP(E170,'Pre-Assessment Estimator'!$E$11:$Z$228,'Pre-Assessment Estimator'!$U$2,FALSE)&gt;AB170,AB170,VLOOKUP(E170,'Pre-Assessment Estimator'!$E$11:$Z$228,'Pre-Assessment Estimator'!$U$2,FALSE))</f>
        <v>0</v>
      </c>
      <c r="AM170" s="639"/>
      <c r="AN170" s="640"/>
      <c r="AO170" s="640"/>
      <c r="AP170" s="640"/>
      <c r="AQ170" s="641"/>
      <c r="AR170" s="123"/>
      <c r="AS170" s="639"/>
      <c r="AT170" s="640"/>
      <c r="AU170" s="640"/>
      <c r="AV170" s="640"/>
      <c r="AW170" s="641"/>
      <c r="AY170" s="144"/>
      <c r="AZ170" s="45"/>
      <c r="BA170" s="45"/>
      <c r="BB170" s="45"/>
      <c r="BC170" s="642"/>
      <c r="BD170" s="160">
        <f t="shared" ref="BD170" si="447">IF(BC170=0,9,IF(AI170&gt;=BC170,5,IF(AI170&gt;=BB170,4,IF(AI170&gt;=BA170,3,IF(AI170&gt;=AZ170,2,IF(AI170&lt;AY170,0,1))))))</f>
        <v>9</v>
      </c>
      <c r="BE170" s="45" t="str">
        <f t="shared" si="438"/>
        <v>N/A</v>
      </c>
      <c r="BF170" s="163"/>
      <c r="BG170" s="160">
        <f t="shared" ref="BG170" si="448">IF(BC170=0,9,IF(AJ170&gt;=BC170,5,IF(AJ170&gt;=BB170,4,IF(AJ170&gt;=BA170,3,IF(AJ170&gt;=AZ170,2,IF(AJ170&lt;AY170,0,1))))))</f>
        <v>9</v>
      </c>
      <c r="BH170" s="45" t="str">
        <f t="shared" si="440"/>
        <v>N/A</v>
      </c>
      <c r="BI170" s="163"/>
      <c r="BJ170" s="160">
        <f t="shared" ref="BJ170" si="449">IF(BC170=0,9,IF(AK170&gt;=BC170,5,IF(AK170&gt;=BB170,4,IF(AK170&gt;=BA170,3,IF(AK170&gt;=AZ170,2,IF(AK170&lt;AY170,0,1))))))</f>
        <v>9</v>
      </c>
      <c r="BK170" s="45" t="str">
        <f t="shared" si="442"/>
        <v>N/A</v>
      </c>
      <c r="BL170" s="634"/>
      <c r="BO170" s="43"/>
      <c r="BP170" s="43"/>
      <c r="BQ170" s="43" t="str">
        <f t="shared" si="340"/>
        <v/>
      </c>
      <c r="BR170" s="43">
        <f t="shared" si="393"/>
        <v>9</v>
      </c>
      <c r="BS170" s="43">
        <f t="shared" si="394"/>
        <v>9</v>
      </c>
      <c r="BT170" s="43">
        <f t="shared" si="395"/>
        <v>9</v>
      </c>
      <c r="BW170" s="45"/>
      <c r="BX170" s="45"/>
      <c r="BY170" s="45"/>
      <c r="BZ170" s="45"/>
      <c r="CA170" s="45"/>
      <c r="CB170" s="45"/>
    </row>
    <row r="171" spans="1:81" x14ac:dyDescent="0.25">
      <c r="A171">
        <v>163</v>
      </c>
      <c r="B171" s="121" t="str">
        <f>D171</f>
        <v>LE 02</v>
      </c>
      <c r="C171" s="121"/>
      <c r="D171" s="638" t="s">
        <v>175</v>
      </c>
      <c r="E171" s="636" t="s">
        <v>448</v>
      </c>
      <c r="F171" s="699">
        <f>SUM(F172:F174)</f>
        <v>2</v>
      </c>
      <c r="G171" s="699">
        <f t="shared" ref="G171:R171" si="450">SUM(G172:G174)</f>
        <v>2</v>
      </c>
      <c r="H171" s="699">
        <f t="shared" si="450"/>
        <v>2</v>
      </c>
      <c r="I171" s="699">
        <f t="shared" si="450"/>
        <v>2</v>
      </c>
      <c r="J171" s="699">
        <f t="shared" si="450"/>
        <v>2</v>
      </c>
      <c r="K171" s="699">
        <f t="shared" si="450"/>
        <v>2</v>
      </c>
      <c r="L171" s="699">
        <f t="shared" si="450"/>
        <v>2</v>
      </c>
      <c r="M171" s="699">
        <f t="shared" si="450"/>
        <v>2</v>
      </c>
      <c r="N171" s="699">
        <f t="shared" si="450"/>
        <v>2</v>
      </c>
      <c r="O171" s="699">
        <f t="shared" si="450"/>
        <v>2</v>
      </c>
      <c r="P171" s="699">
        <f t="shared" si="450"/>
        <v>2</v>
      </c>
      <c r="Q171" s="699">
        <f t="shared" ref="Q171" si="451">SUM(Q172:Q174)</f>
        <v>2</v>
      </c>
      <c r="R171" s="699">
        <f t="shared" si="450"/>
        <v>2</v>
      </c>
      <c r="T171" s="719">
        <f t="shared" si="429"/>
        <v>2</v>
      </c>
      <c r="U171" s="191"/>
      <c r="V171" s="61"/>
      <c r="W171" s="61"/>
      <c r="X171" s="61">
        <f>'Manuell filtrering og justering'!E76</f>
        <v>0</v>
      </c>
      <c r="Y171" s="61"/>
      <c r="Z171" s="714">
        <f t="shared" ref="Z171" si="452">SUM(Z172:Z174)</f>
        <v>2</v>
      </c>
      <c r="AA171" s="719">
        <f t="shared" si="431"/>
        <v>0</v>
      </c>
      <c r="AB171" s="793">
        <f>SUM(AB172:AB174)</f>
        <v>2</v>
      </c>
      <c r="AD171" s="150">
        <f t="shared" si="432"/>
        <v>1.5789473684210527E-2</v>
      </c>
      <c r="AE171" s="687">
        <f>SUM(AE172:AE174)</f>
        <v>0</v>
      </c>
      <c r="AF171" s="687">
        <f t="shared" ref="AF171" si="453">SUM(AF172:AF174)</f>
        <v>0</v>
      </c>
      <c r="AG171" s="687">
        <f t="shared" ref="AG171" si="454">SUM(AG172:AG174)</f>
        <v>0</v>
      </c>
      <c r="AI171" s="714">
        <f t="shared" ref="AI171" si="455">SUM(AI172:AI174)</f>
        <v>0</v>
      </c>
      <c r="AJ171" s="714">
        <f t="shared" ref="AJ171" si="456">SUM(AJ172:AJ174)</f>
        <v>0</v>
      </c>
      <c r="AK171" s="714">
        <f t="shared" ref="AK171" si="457">SUM(AK172:AK174)</f>
        <v>0</v>
      </c>
      <c r="AM171" s="251"/>
      <c r="AN171" s="252"/>
      <c r="AO171" s="252"/>
      <c r="AP171" s="159"/>
      <c r="AQ171" s="164"/>
      <c r="AR171" s="123"/>
      <c r="AS171" s="250"/>
      <c r="AT171" s="159"/>
      <c r="AU171" s="159"/>
      <c r="AV171" s="159"/>
      <c r="AW171" s="164"/>
      <c r="AY171" s="146"/>
      <c r="AZ171" s="43"/>
      <c r="BA171" s="43"/>
      <c r="BB171" s="43"/>
      <c r="BC171" s="147"/>
      <c r="BD171" s="160">
        <f t="shared" ref="BD171:BD225" si="458">IF(BC171=0,9,IF(AI171&gt;=BC171,5,IF(AI171&gt;=BB171,4,IF(AI171&gt;=BA171,3,IF(AI171&gt;=AZ171,2,IF(AI171&lt;AY171,0,1))))))</f>
        <v>9</v>
      </c>
      <c r="BE171" s="45" t="str">
        <f t="shared" si="438"/>
        <v>N/A</v>
      </c>
      <c r="BF171" s="163"/>
      <c r="BG171" s="160">
        <f t="shared" si="439"/>
        <v>9</v>
      </c>
      <c r="BH171" s="45" t="str">
        <f t="shared" si="440"/>
        <v>N/A</v>
      </c>
      <c r="BI171" s="163"/>
      <c r="BJ171" s="160">
        <f t="shared" si="441"/>
        <v>9</v>
      </c>
      <c r="BK171" s="45" t="str">
        <f t="shared" si="442"/>
        <v>N/A</v>
      </c>
      <c r="BL171" s="163"/>
      <c r="BO171" s="43"/>
      <c r="BP171" s="43"/>
      <c r="BQ171" s="43" t="str">
        <f t="shared" si="340"/>
        <v/>
      </c>
      <c r="BR171" s="43">
        <f t="shared" si="393"/>
        <v>9</v>
      </c>
      <c r="BS171" s="43">
        <f t="shared" si="394"/>
        <v>9</v>
      </c>
      <c r="BT171" s="43">
        <f t="shared" si="395"/>
        <v>9</v>
      </c>
      <c r="BW171" s="43" t="str">
        <f>D171</f>
        <v>LE 02</v>
      </c>
      <c r="BX171" s="43" t="str">
        <f>IFERROR(VLOOKUP($E171,'Pre-Assessment Estimator'!$E$11:$AB$228,'Pre-Assessment Estimator'!AB$2,FALSE),"")</f>
        <v>N/A</v>
      </c>
      <c r="BY171" s="43">
        <f>IFERROR(VLOOKUP($E171,'Pre-Assessment Estimator'!$E$11:$AI$228,'Pre-Assessment Estimator'!AI$2,FALSE),"")</f>
        <v>0</v>
      </c>
      <c r="BZ171" s="43">
        <f>IFERROR(VLOOKUP($BX171,$E$294:$H$327,F$292,FALSE),"")</f>
        <v>1</v>
      </c>
      <c r="CA171" s="43">
        <f>IFERROR(VLOOKUP($BX171,$E$294:$H$327,G$292,FALSE),"")</f>
        <v>0</v>
      </c>
      <c r="CB171" s="43"/>
      <c r="CC171" t="str">
        <f>IFERROR(VLOOKUP($BX171,$E$294:$H$327,I$292,FALSE),"")</f>
        <v/>
      </c>
    </row>
    <row r="172" spans="1:81" x14ac:dyDescent="0.25">
      <c r="A172">
        <v>164</v>
      </c>
      <c r="D172" s="146" t="s">
        <v>673</v>
      </c>
      <c r="E172" s="705" t="s">
        <v>994</v>
      </c>
      <c r="F172" s="582"/>
      <c r="G172" s="582"/>
      <c r="H172" s="582"/>
      <c r="I172" s="582"/>
      <c r="J172" s="582"/>
      <c r="K172" s="582"/>
      <c r="L172" s="582"/>
      <c r="M172" s="582"/>
      <c r="N172" s="582"/>
      <c r="O172" s="582"/>
      <c r="P172" s="582"/>
      <c r="Q172" s="582"/>
      <c r="R172" s="582"/>
      <c r="T172" s="148">
        <f t="shared" si="429"/>
        <v>0</v>
      </c>
      <c r="U172" s="146"/>
      <c r="V172" s="43"/>
      <c r="W172" s="43"/>
      <c r="X172" s="43"/>
      <c r="Y172" s="147"/>
      <c r="Z172" s="147"/>
      <c r="AA172" s="148">
        <f t="shared" si="431"/>
        <v>0</v>
      </c>
      <c r="AB172" s="149">
        <f>IF($AC$5='Manuell filtrering og justering'!$J$2,Z172,(T172-AA172))</f>
        <v>0</v>
      </c>
      <c r="AD172" s="150">
        <f t="shared" si="432"/>
        <v>0</v>
      </c>
      <c r="AE172" s="150">
        <f t="shared" si="444"/>
        <v>0</v>
      </c>
      <c r="AF172" s="150">
        <f t="shared" si="445"/>
        <v>0</v>
      </c>
      <c r="AG172" s="150">
        <f t="shared" si="446"/>
        <v>0</v>
      </c>
      <c r="AI172" s="151">
        <f>IF(VLOOKUP(E172,'Pre-Assessment Estimator'!$E$11:$Z$228,'Pre-Assessment Estimator'!$G$2,FALSE)&gt;AB172,AB172,VLOOKUP(E172,'Pre-Assessment Estimator'!$E$11:$Z$228,'Pre-Assessment Estimator'!$G$2,FALSE))</f>
        <v>0</v>
      </c>
      <c r="AJ172" s="151">
        <f>IF(VLOOKUP(E172,'Pre-Assessment Estimator'!$E$11:$Z$228,'Pre-Assessment Estimator'!$N$2,FALSE)&gt;AB172,AB172,VLOOKUP(E172,'Pre-Assessment Estimator'!$E$11:$Z$228,'Pre-Assessment Estimator'!$N$2,FALSE))</f>
        <v>0</v>
      </c>
      <c r="AK172" s="151">
        <f>IF(VLOOKUP(E172,'Pre-Assessment Estimator'!$E$11:$Z$228,'Pre-Assessment Estimator'!$U$2,FALSE)&gt;AB172,AB172,VLOOKUP(E172,'Pre-Assessment Estimator'!$E$11:$Z$228,'Pre-Assessment Estimator'!$U$2,FALSE))</f>
        <v>0</v>
      </c>
      <c r="AM172" s="251"/>
      <c r="AN172" s="252"/>
      <c r="AO172" s="252"/>
      <c r="AP172" s="159"/>
      <c r="AQ172" s="164"/>
      <c r="AR172" s="123"/>
      <c r="AS172" s="250"/>
      <c r="AT172" s="159"/>
      <c r="AU172" s="159"/>
      <c r="AV172" s="159"/>
      <c r="AW172" s="164"/>
      <c r="AY172" s="146"/>
      <c r="AZ172" s="43"/>
      <c r="BA172" s="43"/>
      <c r="BB172" s="43"/>
      <c r="BC172" s="147"/>
      <c r="BD172" s="160">
        <f t="shared" si="458"/>
        <v>9</v>
      </c>
      <c r="BE172" s="45" t="str">
        <f t="shared" si="438"/>
        <v>N/A</v>
      </c>
      <c r="BF172" s="163"/>
      <c r="BG172" s="160">
        <f t="shared" si="439"/>
        <v>9</v>
      </c>
      <c r="BH172" s="45" t="str">
        <f t="shared" si="440"/>
        <v>N/A</v>
      </c>
      <c r="BI172" s="163"/>
      <c r="BJ172" s="160">
        <f t="shared" si="441"/>
        <v>9</v>
      </c>
      <c r="BK172" s="45" t="str">
        <f t="shared" si="442"/>
        <v>N/A</v>
      </c>
      <c r="BL172" s="163"/>
      <c r="BO172" s="43"/>
      <c r="BP172" s="43"/>
      <c r="BQ172" s="43" t="str">
        <f t="shared" si="340"/>
        <v/>
      </c>
      <c r="BR172" s="43">
        <f t="shared" si="393"/>
        <v>9</v>
      </c>
      <c r="BS172" s="43">
        <f t="shared" si="394"/>
        <v>9</v>
      </c>
      <c r="BT172" s="43">
        <f t="shared" si="395"/>
        <v>9</v>
      </c>
      <c r="BW172" s="43"/>
      <c r="BX172" s="43"/>
      <c r="BY172" s="43"/>
      <c r="BZ172" s="43"/>
      <c r="CA172" s="43"/>
      <c r="CB172" s="43"/>
    </row>
    <row r="173" spans="1:81" x14ac:dyDescent="0.25">
      <c r="A173">
        <v>165</v>
      </c>
      <c r="B173" t="str">
        <f t="shared" ref="B173:B174" si="459">$D$171&amp;D173</f>
        <v>LE 02b</v>
      </c>
      <c r="D173" s="146" t="s">
        <v>676</v>
      </c>
      <c r="E173" s="1406" t="s">
        <v>1816</v>
      </c>
      <c r="F173" s="582">
        <v>1</v>
      </c>
      <c r="G173" s="582">
        <v>1</v>
      </c>
      <c r="H173" s="582">
        <v>1</v>
      </c>
      <c r="I173" s="582">
        <v>1</v>
      </c>
      <c r="J173" s="582">
        <v>1</v>
      </c>
      <c r="K173" s="582">
        <v>1</v>
      </c>
      <c r="L173" s="582">
        <v>1</v>
      </c>
      <c r="M173" s="582">
        <v>1</v>
      </c>
      <c r="N173" s="582">
        <v>1</v>
      </c>
      <c r="O173" s="582">
        <v>1</v>
      </c>
      <c r="P173" s="582">
        <v>1</v>
      </c>
      <c r="Q173" s="582">
        <v>1</v>
      </c>
      <c r="R173" s="582">
        <v>1</v>
      </c>
      <c r="T173" s="148">
        <f t="shared" si="429"/>
        <v>1</v>
      </c>
      <c r="U173" s="146"/>
      <c r="V173" s="43"/>
      <c r="W173" s="43"/>
      <c r="X173" s="43"/>
      <c r="Y173" s="147"/>
      <c r="Z173" s="147">
        <f>VLOOKUP(B173,'Manuell filtrering og justering'!$A$7:$H$253,'Manuell filtrering og justering'!$H$1,FALSE)</f>
        <v>1</v>
      </c>
      <c r="AA173" s="148">
        <f t="shared" si="431"/>
        <v>0</v>
      </c>
      <c r="AB173" s="149">
        <f>IF($AC$5='Manuell filtrering og justering'!$J$2,Z173,(T173-AA173))</f>
        <v>1</v>
      </c>
      <c r="AD173" s="150">
        <f t="shared" si="432"/>
        <v>7.8947368421052634E-3</v>
      </c>
      <c r="AE173" s="150">
        <f t="shared" si="444"/>
        <v>0</v>
      </c>
      <c r="AF173" s="150">
        <f t="shared" si="445"/>
        <v>0</v>
      </c>
      <c r="AG173" s="150">
        <f t="shared" si="446"/>
        <v>0</v>
      </c>
      <c r="AI173" s="794">
        <f>IF(AI242=AD_no,0,IF(VLOOKUP(E173,'Pre-Assessment Estimator'!$E$11:$Z$228,'Pre-Assessment Estimator'!$G$2,FALSE)&gt;AB173,AB173,VLOOKUP(E173,'Pre-Assessment Estimator'!$E$11:$Z$228,'Pre-Assessment Estimator'!$G$2,FALSE)))</f>
        <v>0</v>
      </c>
      <c r="AJ173" s="794">
        <f>IF(AJ242=AD_no,0,IF(VLOOKUP(E173,'Pre-Assessment Estimator'!$E$11:$Z$228,'Pre-Assessment Estimator'!$N$2,FALSE)&gt;AB173,AB173,VLOOKUP(E173,'Pre-Assessment Estimator'!$E$11:$Z$228,'Pre-Assessment Estimator'!$N$2,FALSE)))</f>
        <v>0</v>
      </c>
      <c r="AK173" s="794">
        <f>IF(AK242=AD_no,0,IF(VLOOKUP(E173,'Pre-Assessment Estimator'!$E$11:$Z$228,'Pre-Assessment Estimator'!$U$2,FALSE)&gt;AB173,AB173,VLOOKUP(E173,'Pre-Assessment Estimator'!$E$11:$Z$228,'Pre-Assessment Estimator'!$U$2,FALSE)))</f>
        <v>0</v>
      </c>
      <c r="AM173" s="251"/>
      <c r="AN173" s="252"/>
      <c r="AO173" s="252">
        <v>1</v>
      </c>
      <c r="AP173" s="159">
        <v>1</v>
      </c>
      <c r="AQ173" s="164">
        <v>1</v>
      </c>
      <c r="AR173" s="123"/>
      <c r="AS173" s="250"/>
      <c r="AT173" s="159"/>
      <c r="AU173" s="159">
        <v>1</v>
      </c>
      <c r="AV173" s="159">
        <v>1</v>
      </c>
      <c r="AW173" s="164">
        <v>1</v>
      </c>
      <c r="AY173" s="146"/>
      <c r="AZ173" s="43"/>
      <c r="BA173" s="161">
        <f>IF($AB173=0,0,IF($E$6=$H$9,AU173,AO173))</f>
        <v>1</v>
      </c>
      <c r="BB173" s="161">
        <f>IF($AB173=0,0,IF($E$6=$H$9,AV173,AP173))</f>
        <v>1</v>
      </c>
      <c r="BC173" s="161">
        <f>IF($AB173=0,0,IF($E$6=$H$9,AW173,AQ173))</f>
        <v>1</v>
      </c>
      <c r="BD173" s="160">
        <f t="shared" ref="BD173:BD191" si="460">IF(BC173=0,9,IF(AI173&gt;=BC173,5,IF(AI173&gt;=BB173,4,IF(AI173&gt;=BA173,3,IF(AI173&gt;=AZ173,2,IF(AI173&lt;AY173,0,1))))))</f>
        <v>2</v>
      </c>
      <c r="BE173" s="45" t="str">
        <f t="shared" si="438"/>
        <v>Good</v>
      </c>
      <c r="BF173" s="163"/>
      <c r="BG173" s="160">
        <f t="shared" ref="BG173:BG191" si="461">IF(BC173=0,9,IF(AJ173&gt;=BC173,5,IF(AJ173&gt;=BB173,4,IF(AJ173&gt;=BA173,3,IF(AJ173&gt;=AZ173,2,IF(AJ173&lt;AY173,0,1))))))</f>
        <v>2</v>
      </c>
      <c r="BH173" s="45" t="str">
        <f t="shared" si="440"/>
        <v>Good</v>
      </c>
      <c r="BI173" s="163"/>
      <c r="BJ173" s="160">
        <f t="shared" ref="BJ173:BJ191" si="462">IF(BC173=0,9,IF(AK173&gt;=BC173,5,IF(AK173&gt;=BB173,4,IF(AK173&gt;=BA173,3,IF(AK173&gt;=AZ173,2,IF(AK173&lt;AY173,0,1))))))</f>
        <v>2</v>
      </c>
      <c r="BK173" s="45" t="str">
        <f t="shared" si="442"/>
        <v>Good</v>
      </c>
      <c r="BL173" s="163"/>
      <c r="BO173" s="43"/>
      <c r="BP173" s="43">
        <v>1</v>
      </c>
      <c r="BQ173" s="43">
        <f t="shared" si="340"/>
        <v>1</v>
      </c>
      <c r="BR173" s="43">
        <f t="shared" si="393"/>
        <v>0</v>
      </c>
      <c r="BS173" s="43">
        <f t="shared" si="394"/>
        <v>0</v>
      </c>
      <c r="BT173" s="43">
        <f t="shared" si="395"/>
        <v>0</v>
      </c>
      <c r="BW173" s="43"/>
      <c r="BX173" s="43"/>
      <c r="BY173" s="43"/>
      <c r="BZ173" s="43"/>
      <c r="CA173" s="43"/>
      <c r="CB173" s="43"/>
    </row>
    <row r="174" spans="1:81" x14ac:dyDescent="0.25">
      <c r="A174">
        <v>166</v>
      </c>
      <c r="B174" t="str">
        <f t="shared" si="459"/>
        <v>LE 02c</v>
      </c>
      <c r="D174" s="146" t="s">
        <v>677</v>
      </c>
      <c r="E174" s="826" t="s">
        <v>654</v>
      </c>
      <c r="F174" s="582">
        <v>1</v>
      </c>
      <c r="G174" s="582">
        <v>1</v>
      </c>
      <c r="H174" s="582">
        <v>1</v>
      </c>
      <c r="I174" s="582">
        <v>1</v>
      </c>
      <c r="J174" s="582">
        <v>1</v>
      </c>
      <c r="K174" s="582">
        <v>1</v>
      </c>
      <c r="L174" s="582">
        <v>1</v>
      </c>
      <c r="M174" s="582">
        <v>1</v>
      </c>
      <c r="N174" s="582">
        <v>1</v>
      </c>
      <c r="O174" s="582">
        <v>1</v>
      </c>
      <c r="P174" s="582">
        <v>1</v>
      </c>
      <c r="Q174" s="582">
        <v>1</v>
      </c>
      <c r="R174" s="582">
        <v>1</v>
      </c>
      <c r="T174" s="148">
        <f t="shared" si="429"/>
        <v>1</v>
      </c>
      <c r="U174" s="146"/>
      <c r="V174" s="43"/>
      <c r="W174" s="43"/>
      <c r="X174" s="43"/>
      <c r="Y174" s="147"/>
      <c r="Z174" s="147">
        <f>VLOOKUP(B174,'Manuell filtrering og justering'!$A$7:$H$253,'Manuell filtrering og justering'!$H$1,FALSE)</f>
        <v>1</v>
      </c>
      <c r="AA174" s="148">
        <f t="shared" si="431"/>
        <v>0</v>
      </c>
      <c r="AB174" s="149">
        <f>IF($AC$5='Manuell filtrering og justering'!$J$2,Z174,(T174-AA174))</f>
        <v>1</v>
      </c>
      <c r="AD174" s="150">
        <f t="shared" si="432"/>
        <v>7.8947368421052634E-3</v>
      </c>
      <c r="AE174" s="150">
        <f t="shared" si="444"/>
        <v>0</v>
      </c>
      <c r="AF174" s="150">
        <f t="shared" si="445"/>
        <v>0</v>
      </c>
      <c r="AG174" s="150">
        <f t="shared" si="446"/>
        <v>0</v>
      </c>
      <c r="AI174" s="794">
        <f>IF(AI242=AD_no,0,IF(VLOOKUP(E174,'Pre-Assessment Estimator'!$E$11:$Z$228,'Pre-Assessment Estimator'!$G$2,FALSE)&gt;AB174,AB174,VLOOKUP(E174,'Pre-Assessment Estimator'!$E$11:$Z$228,'Pre-Assessment Estimator'!$G$2,FALSE)))</f>
        <v>0</v>
      </c>
      <c r="AJ174" s="794">
        <f>IF(AJ242=AD_no,0,IF(VLOOKUP(E174,'Pre-Assessment Estimator'!$E$11:$Z$228,'Pre-Assessment Estimator'!$N$2,FALSE)&gt;AB174,AB174,VLOOKUP(E174,'Pre-Assessment Estimator'!$E$11:$Z$228,'Pre-Assessment Estimator'!$N$2,FALSE)))</f>
        <v>0</v>
      </c>
      <c r="AK174" s="794">
        <f>IF(AK242=AD_no,0,IF(VLOOKUP(E174,'Pre-Assessment Estimator'!$E$11:$Z$228,'Pre-Assessment Estimator'!$U$2,FALSE)&gt;AB174,AB174,VLOOKUP(E174,'Pre-Assessment Estimator'!$E$11:$Z$228,'Pre-Assessment Estimator'!$U$2,FALSE)))</f>
        <v>0</v>
      </c>
      <c r="AM174" s="251"/>
      <c r="AN174" s="252"/>
      <c r="AO174" s="252"/>
      <c r="AP174" s="159"/>
      <c r="AQ174" s="164"/>
      <c r="AR174" s="123"/>
      <c r="AS174" s="250"/>
      <c r="AT174" s="159"/>
      <c r="AU174" s="159"/>
      <c r="AV174" s="159"/>
      <c r="AW174" s="164"/>
      <c r="AY174" s="146"/>
      <c r="AZ174" s="43"/>
      <c r="BA174" s="43"/>
      <c r="BB174" s="43"/>
      <c r="BC174" s="147"/>
      <c r="BD174" s="160">
        <f t="shared" si="460"/>
        <v>9</v>
      </c>
      <c r="BE174" s="45" t="str">
        <f t="shared" si="438"/>
        <v>N/A</v>
      </c>
      <c r="BF174" s="163"/>
      <c r="BG174" s="160">
        <f t="shared" si="461"/>
        <v>9</v>
      </c>
      <c r="BH174" s="45" t="str">
        <f t="shared" si="440"/>
        <v>N/A</v>
      </c>
      <c r="BI174" s="163"/>
      <c r="BJ174" s="160">
        <f t="shared" si="462"/>
        <v>9</v>
      </c>
      <c r="BK174" s="45" t="str">
        <f t="shared" si="442"/>
        <v>N/A</v>
      </c>
      <c r="BL174" s="163"/>
      <c r="BO174" s="43"/>
      <c r="BP174" s="43"/>
      <c r="BQ174" s="43"/>
      <c r="BR174" s="43">
        <f t="shared" si="393"/>
        <v>9</v>
      </c>
      <c r="BS174" s="43">
        <f t="shared" si="394"/>
        <v>9</v>
      </c>
      <c r="BT174" s="43">
        <f t="shared" si="395"/>
        <v>9</v>
      </c>
      <c r="BW174" s="43"/>
      <c r="BX174" s="43"/>
      <c r="BY174" s="43"/>
      <c r="BZ174" s="43"/>
      <c r="CA174" s="43"/>
      <c r="CB174" s="43"/>
    </row>
    <row r="175" spans="1:81" x14ac:dyDescent="0.25">
      <c r="A175">
        <v>167</v>
      </c>
      <c r="B175" s="121" t="str">
        <f>D175</f>
        <v>LE 03</v>
      </c>
      <c r="C175" s="121"/>
      <c r="D175" s="638" t="s">
        <v>459</v>
      </c>
      <c r="E175" s="636" t="s">
        <v>449</v>
      </c>
      <c r="F175" s="699">
        <f>SUM(F176:F178)</f>
        <v>3</v>
      </c>
      <c r="G175" s="699">
        <f t="shared" ref="G175:R175" si="463">SUM(G176:G178)</f>
        <v>3</v>
      </c>
      <c r="H175" s="699">
        <f t="shared" si="463"/>
        <v>3</v>
      </c>
      <c r="I175" s="699">
        <f t="shared" si="463"/>
        <v>3</v>
      </c>
      <c r="J175" s="699">
        <f t="shared" si="463"/>
        <v>3</v>
      </c>
      <c r="K175" s="699">
        <f t="shared" si="463"/>
        <v>3</v>
      </c>
      <c r="L175" s="699">
        <f t="shared" si="463"/>
        <v>3</v>
      </c>
      <c r="M175" s="699">
        <f t="shared" si="463"/>
        <v>3</v>
      </c>
      <c r="N175" s="699">
        <f t="shared" si="463"/>
        <v>3</v>
      </c>
      <c r="O175" s="699">
        <f t="shared" si="463"/>
        <v>3</v>
      </c>
      <c r="P175" s="699">
        <f t="shared" si="463"/>
        <v>3</v>
      </c>
      <c r="Q175" s="699">
        <f t="shared" ref="Q175" si="464">SUM(Q176:Q178)</f>
        <v>3</v>
      </c>
      <c r="R175" s="699">
        <f t="shared" si="463"/>
        <v>3</v>
      </c>
      <c r="T175" s="719">
        <f t="shared" si="429"/>
        <v>3</v>
      </c>
      <c r="U175" s="191"/>
      <c r="V175" s="61"/>
      <c r="W175" s="61"/>
      <c r="X175" s="61">
        <f>'Manuell filtrering og justering'!E77</f>
        <v>0</v>
      </c>
      <c r="Y175" s="61"/>
      <c r="Z175" s="714">
        <f t="shared" ref="Z175" si="465">SUM(Z176:Z178)</f>
        <v>2</v>
      </c>
      <c r="AA175" s="719">
        <f t="shared" si="431"/>
        <v>0</v>
      </c>
      <c r="AB175" s="793">
        <f>SUM(AB176:AB178)</f>
        <v>3</v>
      </c>
      <c r="AD175" s="150">
        <f t="shared" si="432"/>
        <v>2.368421052631579E-2</v>
      </c>
      <c r="AE175" s="687">
        <f>SUM(AE176:AE178)</f>
        <v>0</v>
      </c>
      <c r="AF175" s="687">
        <f t="shared" ref="AF175" si="466">SUM(AF176:AF178)</f>
        <v>0</v>
      </c>
      <c r="AG175" s="687">
        <f t="shared" ref="AG175" si="467">SUM(AG176:AG178)</f>
        <v>0</v>
      </c>
      <c r="AI175" s="714">
        <f t="shared" ref="AI175" si="468">SUM(AI176:AI178)</f>
        <v>0</v>
      </c>
      <c r="AJ175" s="714">
        <f t="shared" ref="AJ175" si="469">SUM(AJ176:AJ178)</f>
        <v>0</v>
      </c>
      <c r="AK175" s="714">
        <f t="shared" ref="AK175" si="470">SUM(AK176:AK178)</f>
        <v>0</v>
      </c>
      <c r="AM175" s="251"/>
      <c r="AN175" s="252"/>
      <c r="AO175" s="252"/>
      <c r="AP175" s="159"/>
      <c r="AQ175" s="164"/>
      <c r="AR175" s="123"/>
      <c r="AS175" s="250"/>
      <c r="AT175" s="159"/>
      <c r="AU175" s="159"/>
      <c r="AV175" s="159"/>
      <c r="AW175" s="164"/>
      <c r="AY175" s="146"/>
      <c r="AZ175" s="43"/>
      <c r="BA175" s="43"/>
      <c r="BB175" s="43"/>
      <c r="BC175" s="147"/>
      <c r="BD175" s="160">
        <f t="shared" si="460"/>
        <v>9</v>
      </c>
      <c r="BE175" s="45" t="str">
        <f t="shared" si="438"/>
        <v>N/A</v>
      </c>
      <c r="BF175" s="163"/>
      <c r="BG175" s="160">
        <f t="shared" si="461"/>
        <v>9</v>
      </c>
      <c r="BH175" s="45" t="str">
        <f t="shared" si="440"/>
        <v>N/A</v>
      </c>
      <c r="BI175" s="163"/>
      <c r="BJ175" s="160">
        <f t="shared" si="462"/>
        <v>9</v>
      </c>
      <c r="BK175" s="45" t="str">
        <f t="shared" si="442"/>
        <v>N/A</v>
      </c>
      <c r="BL175" s="163"/>
      <c r="BO175" s="43"/>
      <c r="BP175" s="43"/>
      <c r="BQ175" s="43" t="str">
        <f t="shared" si="340"/>
        <v/>
      </c>
      <c r="BR175" s="43">
        <f t="shared" si="393"/>
        <v>9</v>
      </c>
      <c r="BS175" s="43">
        <f t="shared" si="394"/>
        <v>9</v>
      </c>
      <c r="BT175" s="43">
        <f t="shared" si="395"/>
        <v>9</v>
      </c>
      <c r="BW175" s="43"/>
      <c r="BX175" s="43"/>
      <c r="BY175" s="43"/>
      <c r="BZ175" s="43"/>
      <c r="CA175" s="43"/>
      <c r="CB175" s="43"/>
    </row>
    <row r="176" spans="1:81" x14ac:dyDescent="0.25">
      <c r="A176">
        <v>168</v>
      </c>
      <c r="D176" s="146" t="s">
        <v>673</v>
      </c>
      <c r="E176" s="705" t="s">
        <v>655</v>
      </c>
      <c r="F176" s="582"/>
      <c r="G176" s="582"/>
      <c r="H176" s="582"/>
      <c r="I176" s="582"/>
      <c r="J176" s="582"/>
      <c r="K176" s="582"/>
      <c r="L176" s="582"/>
      <c r="M176" s="582"/>
      <c r="N176" s="582"/>
      <c r="O176" s="582"/>
      <c r="P176" s="582"/>
      <c r="Q176" s="582"/>
      <c r="R176" s="582"/>
      <c r="T176" s="148">
        <f t="shared" si="429"/>
        <v>0</v>
      </c>
      <c r="U176" s="146"/>
      <c r="V176" s="43"/>
      <c r="W176" s="43"/>
      <c r="X176" s="43"/>
      <c r="Y176" s="147"/>
      <c r="Z176" s="147"/>
      <c r="AA176" s="148">
        <f t="shared" si="431"/>
        <v>0</v>
      </c>
      <c r="AB176" s="149">
        <f>IF($AC$5='Manuell filtrering og justering'!$J$2,Z176,(T176-AA176))</f>
        <v>0</v>
      </c>
      <c r="AD176" s="150">
        <f t="shared" si="432"/>
        <v>0</v>
      </c>
      <c r="AE176" s="150">
        <f t="shared" si="444"/>
        <v>0</v>
      </c>
      <c r="AF176" s="150">
        <f t="shared" si="445"/>
        <v>0</v>
      </c>
      <c r="AG176" s="150">
        <f t="shared" si="446"/>
        <v>0</v>
      </c>
      <c r="AI176" s="151"/>
      <c r="AJ176" s="151"/>
      <c r="AK176" s="151"/>
      <c r="AM176" s="251"/>
      <c r="AN176" s="252"/>
      <c r="AO176" s="252"/>
      <c r="AP176" s="159"/>
      <c r="AQ176" s="164"/>
      <c r="AR176" s="123"/>
      <c r="AS176" s="250"/>
      <c r="AT176" s="159"/>
      <c r="AU176" s="159"/>
      <c r="AV176" s="159"/>
      <c r="AW176" s="164"/>
      <c r="AY176" s="146"/>
      <c r="AZ176" s="43"/>
      <c r="BA176" s="43"/>
      <c r="BB176" s="43"/>
      <c r="BC176" s="147"/>
      <c r="BD176" s="160">
        <f t="shared" si="460"/>
        <v>9</v>
      </c>
      <c r="BE176" s="45" t="str">
        <f t="shared" si="438"/>
        <v>N/A</v>
      </c>
      <c r="BF176" s="163"/>
      <c r="BG176" s="160">
        <f t="shared" si="461"/>
        <v>9</v>
      </c>
      <c r="BH176" s="45" t="str">
        <f t="shared" si="440"/>
        <v>N/A</v>
      </c>
      <c r="BI176" s="163"/>
      <c r="BJ176" s="160">
        <f t="shared" si="462"/>
        <v>9</v>
      </c>
      <c r="BK176" s="45" t="str">
        <f t="shared" si="442"/>
        <v>N/A</v>
      </c>
      <c r="BL176" s="163"/>
      <c r="BO176" s="43"/>
      <c r="BP176" s="43"/>
      <c r="BQ176" s="43" t="str">
        <f t="shared" si="340"/>
        <v/>
      </c>
      <c r="BR176" s="43">
        <f t="shared" si="393"/>
        <v>9</v>
      </c>
      <c r="BS176" s="43">
        <f t="shared" si="394"/>
        <v>9</v>
      </c>
      <c r="BT176" s="43">
        <f t="shared" si="395"/>
        <v>9</v>
      </c>
      <c r="BW176" s="43"/>
      <c r="BX176" s="43"/>
      <c r="BY176" s="43"/>
      <c r="BZ176" s="43"/>
      <c r="CA176" s="43"/>
      <c r="CB176" s="43"/>
    </row>
    <row r="177" spans="1:81" x14ac:dyDescent="0.25">
      <c r="A177">
        <v>169</v>
      </c>
      <c r="B177" t="str">
        <f t="shared" ref="B177:B178" si="471">$D$175&amp;D177</f>
        <v>LE 03b</v>
      </c>
      <c r="D177" s="146" t="s">
        <v>676</v>
      </c>
      <c r="E177" s="1406" t="s">
        <v>656</v>
      </c>
      <c r="F177" s="582">
        <v>1</v>
      </c>
      <c r="G177" s="582">
        <v>1</v>
      </c>
      <c r="H177" s="582">
        <v>1</v>
      </c>
      <c r="I177" s="582">
        <v>1</v>
      </c>
      <c r="J177" s="582">
        <v>1</v>
      </c>
      <c r="K177" s="582">
        <v>1</v>
      </c>
      <c r="L177" s="582">
        <v>1</v>
      </c>
      <c r="M177" s="582">
        <v>1</v>
      </c>
      <c r="N177" s="582">
        <v>1</v>
      </c>
      <c r="O177" s="582">
        <v>1</v>
      </c>
      <c r="P177" s="582">
        <v>1</v>
      </c>
      <c r="Q177" s="582">
        <v>1</v>
      </c>
      <c r="R177" s="582">
        <v>1</v>
      </c>
      <c r="T177" s="148">
        <f t="shared" si="429"/>
        <v>1</v>
      </c>
      <c r="U177" s="146"/>
      <c r="V177" s="43"/>
      <c r="W177" s="43"/>
      <c r="X177" s="43"/>
      <c r="Y177" s="147"/>
      <c r="Z177" s="147">
        <f>VLOOKUP(B177,'Manuell filtrering og justering'!$A$7:$H$253,'Manuell filtrering og justering'!$H$1,FALSE)</f>
        <v>1</v>
      </c>
      <c r="AA177" s="148">
        <f t="shared" si="431"/>
        <v>0</v>
      </c>
      <c r="AB177" s="149">
        <f>IF($AC$5='Manuell filtrering og justering'!$J$2,Z177,(T177-AA177))</f>
        <v>1</v>
      </c>
      <c r="AD177" s="150">
        <f t="shared" si="432"/>
        <v>7.8947368421052634E-3</v>
      </c>
      <c r="AE177" s="150">
        <f t="shared" si="444"/>
        <v>0</v>
      </c>
      <c r="AF177" s="150">
        <f t="shared" si="445"/>
        <v>0</v>
      </c>
      <c r="AG177" s="150">
        <f t="shared" si="446"/>
        <v>0</v>
      </c>
      <c r="AI177" s="794">
        <f>IF(AI243=AD_no,0,IF(VLOOKUP(E177,'Pre-Assessment Estimator'!$E$11:$Z$228,'Pre-Assessment Estimator'!$G$2,FALSE)&gt;AB177,AB177,VLOOKUP(E177,'Pre-Assessment Estimator'!$E$11:$Z$228,'Pre-Assessment Estimator'!$G$2,FALSE)))</f>
        <v>0</v>
      </c>
      <c r="AJ177" s="794">
        <f>IF(AJ243=AD_no,0,IF(VLOOKUP(E177,'Pre-Assessment Estimator'!$E$11:$Z$228,'Pre-Assessment Estimator'!$N$2,FALSE)&gt;AB177,AB177,VLOOKUP(E177,'Pre-Assessment Estimator'!$E$11:$Z$228,'Pre-Assessment Estimator'!$N$2,FALSE)))</f>
        <v>0</v>
      </c>
      <c r="AK177" s="794">
        <f>IF(AK243=AD_no,0,IF(VLOOKUP(E177,'Pre-Assessment Estimator'!$E$11:$Z$228,'Pre-Assessment Estimator'!$U$2,FALSE)&gt;AB177,AB177,VLOOKUP(E177,'Pre-Assessment Estimator'!$E$11:$Z$228,'Pre-Assessment Estimator'!$U$2,FALSE)))</f>
        <v>0</v>
      </c>
      <c r="AM177" s="251"/>
      <c r="AN177" s="252"/>
      <c r="AO177" s="252"/>
      <c r="AP177" s="159"/>
      <c r="AQ177" s="164"/>
      <c r="AR177" s="123"/>
      <c r="AS177" s="250"/>
      <c r="AT177" s="159"/>
      <c r="AU177" s="159"/>
      <c r="AV177" s="159"/>
      <c r="AW177" s="164"/>
      <c r="AY177" s="161"/>
      <c r="AZ177" s="161"/>
      <c r="BA177" s="161"/>
      <c r="BB177" s="161"/>
      <c r="BC177" s="161"/>
      <c r="BD177" s="160">
        <f t="shared" ref="BD177:BD178" si="472">IF(BC177=0,9,IF(AI177&gt;=BC177,5,IF(AI177&gt;=BB177,4,IF(AI177&gt;=BA177,3,IF(AI177&gt;=AZ177,2,IF(AI177&lt;AY177,0,1))))))</f>
        <v>9</v>
      </c>
      <c r="BE177" s="45" t="str">
        <f t="shared" si="438"/>
        <v>N/A</v>
      </c>
      <c r="BF177" s="163"/>
      <c r="BG177" s="160">
        <f t="shared" ref="BG177:BG178" si="473">IF(BC177=0,9,IF(AJ177&gt;=BC177,5,IF(AJ177&gt;=BB177,4,IF(AJ177&gt;=BA177,3,IF(AJ177&gt;=AZ177,2,IF(AJ177&lt;AY177,0,1))))))</f>
        <v>9</v>
      </c>
      <c r="BH177" s="45" t="str">
        <f t="shared" si="440"/>
        <v>N/A</v>
      </c>
      <c r="BI177" s="163"/>
      <c r="BJ177" s="160">
        <f t="shared" ref="BJ177:BJ178" si="474">IF(BC177=0,9,IF(AK177&gt;=BC177,5,IF(AK177&gt;=BB177,4,IF(AK177&gt;=BA177,3,IF(AK177&gt;=AZ177,2,IF(AK177&lt;AY177,0,1))))))</f>
        <v>9</v>
      </c>
      <c r="BK177" s="45" t="str">
        <f t="shared" si="442"/>
        <v>N/A</v>
      </c>
      <c r="BL177" s="163"/>
      <c r="BO177" s="43"/>
      <c r="BP177" s="43"/>
      <c r="BQ177" s="43"/>
      <c r="BR177" s="43">
        <f t="shared" si="393"/>
        <v>9</v>
      </c>
      <c r="BS177" s="43">
        <f t="shared" si="394"/>
        <v>9</v>
      </c>
      <c r="BT177" s="43">
        <f t="shared" si="395"/>
        <v>9</v>
      </c>
      <c r="BW177" s="43"/>
      <c r="BX177" s="43"/>
      <c r="BY177" s="43"/>
      <c r="BZ177" s="43"/>
      <c r="CA177" s="43"/>
      <c r="CB177" s="43"/>
    </row>
    <row r="178" spans="1:81" x14ac:dyDescent="0.25">
      <c r="A178">
        <v>170</v>
      </c>
      <c r="B178" t="str">
        <f t="shared" si="471"/>
        <v>LE 03c</v>
      </c>
      <c r="D178" s="146" t="s">
        <v>677</v>
      </c>
      <c r="E178" s="1406" t="s">
        <v>657</v>
      </c>
      <c r="F178" s="582">
        <v>2</v>
      </c>
      <c r="G178" s="582">
        <v>2</v>
      </c>
      <c r="H178" s="582">
        <v>2</v>
      </c>
      <c r="I178" s="582">
        <v>2</v>
      </c>
      <c r="J178" s="582">
        <v>2</v>
      </c>
      <c r="K178" s="582">
        <v>2</v>
      </c>
      <c r="L178" s="582">
        <v>2</v>
      </c>
      <c r="M178" s="582">
        <v>2</v>
      </c>
      <c r="N178" s="582">
        <v>2</v>
      </c>
      <c r="O178" s="582">
        <v>2</v>
      </c>
      <c r="P178" s="582">
        <v>2</v>
      </c>
      <c r="Q178" s="582">
        <v>2</v>
      </c>
      <c r="R178" s="582">
        <v>2</v>
      </c>
      <c r="T178" s="148">
        <f t="shared" si="429"/>
        <v>2</v>
      </c>
      <c r="U178" s="146"/>
      <c r="V178" s="43"/>
      <c r="W178" s="43"/>
      <c r="X178" s="43"/>
      <c r="Y178" s="147"/>
      <c r="Z178" s="147">
        <f>VLOOKUP(B178,'Manuell filtrering og justering'!$A$7:$H$253,'Manuell filtrering og justering'!$H$1,FALSE)</f>
        <v>1</v>
      </c>
      <c r="AA178" s="148">
        <f t="shared" si="431"/>
        <v>0</v>
      </c>
      <c r="AB178" s="149">
        <f>IF($AC$5='Manuell filtrering og justering'!$J$2,Z178,(T178-AA178))</f>
        <v>2</v>
      </c>
      <c r="AD178" s="150">
        <f t="shared" si="432"/>
        <v>1.5789473684210527E-2</v>
      </c>
      <c r="AE178" s="150">
        <f t="shared" si="444"/>
        <v>0</v>
      </c>
      <c r="AF178" s="150">
        <f t="shared" si="445"/>
        <v>0</v>
      </c>
      <c r="AG178" s="150">
        <f t="shared" si="446"/>
        <v>0</v>
      </c>
      <c r="AI178" s="794">
        <f>IF(AI243=AD_no,0,IF(VLOOKUP(E178,'Pre-Assessment Estimator'!$E$11:$Z$228,'Pre-Assessment Estimator'!$G$2,FALSE)&gt;AB178,AB178,VLOOKUP(E178,'Pre-Assessment Estimator'!$E$11:$Z$228,'Pre-Assessment Estimator'!$G$2,FALSE)))</f>
        <v>0</v>
      </c>
      <c r="AJ178" s="794">
        <f>IF(AJ243=AD_no,0,IF(VLOOKUP(E178,'Pre-Assessment Estimator'!$E$11:$Z$228,'Pre-Assessment Estimator'!$N$2,FALSE)&gt;AB178,AB178,VLOOKUP(E178,'Pre-Assessment Estimator'!$E$11:$Z$228,'Pre-Assessment Estimator'!$N$2,FALSE)))</f>
        <v>0</v>
      </c>
      <c r="AK178" s="794">
        <f>IF(AK243=AD_no,0,IF(VLOOKUP(E178,'Pre-Assessment Estimator'!$E$11:$Z$228,'Pre-Assessment Estimator'!$U$2,FALSE)&gt;AB178,AB178,VLOOKUP(E178,'Pre-Assessment Estimator'!$E$11:$Z$228,'Pre-Assessment Estimator'!$U$2,FALSE)))</f>
        <v>0</v>
      </c>
      <c r="AM178" s="251"/>
      <c r="AN178" s="252"/>
      <c r="AO178" s="252"/>
      <c r="AP178" s="159"/>
      <c r="AQ178" s="164"/>
      <c r="AR178" s="123"/>
      <c r="AS178" s="250"/>
      <c r="AT178" s="159"/>
      <c r="AU178" s="159"/>
      <c r="AV178" s="159"/>
      <c r="AW178" s="164"/>
      <c r="AY178" s="146"/>
      <c r="AZ178" s="43"/>
      <c r="BA178" s="43"/>
      <c r="BB178" s="43"/>
      <c r="BC178" s="147"/>
      <c r="BD178" s="160">
        <f t="shared" si="472"/>
        <v>9</v>
      </c>
      <c r="BE178" s="45" t="str">
        <f t="shared" si="438"/>
        <v>N/A</v>
      </c>
      <c r="BF178" s="163"/>
      <c r="BG178" s="160">
        <f t="shared" si="473"/>
        <v>9</v>
      </c>
      <c r="BH178" s="45" t="str">
        <f t="shared" si="440"/>
        <v>N/A</v>
      </c>
      <c r="BI178" s="163"/>
      <c r="BJ178" s="160">
        <f t="shared" si="474"/>
        <v>9</v>
      </c>
      <c r="BK178" s="45" t="str">
        <f t="shared" si="442"/>
        <v>N/A</v>
      </c>
      <c r="BL178" s="163"/>
      <c r="BO178" s="43"/>
      <c r="BP178" s="43"/>
      <c r="BQ178" s="43"/>
      <c r="BR178" s="43">
        <f t="shared" si="393"/>
        <v>9</v>
      </c>
      <c r="BS178" s="43">
        <f t="shared" si="394"/>
        <v>9</v>
      </c>
      <c r="BT178" s="43">
        <f t="shared" si="395"/>
        <v>9</v>
      </c>
      <c r="BW178" s="43"/>
      <c r="BX178" s="43"/>
      <c r="BY178" s="43"/>
      <c r="BZ178" s="43"/>
      <c r="CA178" s="43"/>
      <c r="CB178" s="43"/>
    </row>
    <row r="179" spans="1:81" x14ac:dyDescent="0.25">
      <c r="A179">
        <v>171</v>
      </c>
      <c r="B179" s="121" t="str">
        <f>D179</f>
        <v>LE 04</v>
      </c>
      <c r="C179" s="121"/>
      <c r="D179" s="638" t="s">
        <v>176</v>
      </c>
      <c r="E179" s="636" t="s">
        <v>450</v>
      </c>
      <c r="F179" s="699">
        <f>SUM(F180:F182)</f>
        <v>4</v>
      </c>
      <c r="G179" s="699">
        <f t="shared" ref="G179:R179" si="475">SUM(G180:G182)</f>
        <v>4</v>
      </c>
      <c r="H179" s="699">
        <f t="shared" si="475"/>
        <v>4</v>
      </c>
      <c r="I179" s="699">
        <f t="shared" si="475"/>
        <v>4</v>
      </c>
      <c r="J179" s="699">
        <f t="shared" si="475"/>
        <v>4</v>
      </c>
      <c r="K179" s="699">
        <f t="shared" si="475"/>
        <v>4</v>
      </c>
      <c r="L179" s="699">
        <f t="shared" si="475"/>
        <v>4</v>
      </c>
      <c r="M179" s="699">
        <f t="shared" si="475"/>
        <v>4</v>
      </c>
      <c r="N179" s="699">
        <f t="shared" si="475"/>
        <v>4</v>
      </c>
      <c r="O179" s="699">
        <f t="shared" si="475"/>
        <v>4</v>
      </c>
      <c r="P179" s="699">
        <f t="shared" si="475"/>
        <v>4</v>
      </c>
      <c r="Q179" s="699">
        <f t="shared" ref="Q179" si="476">SUM(Q180:Q182)</f>
        <v>4</v>
      </c>
      <c r="R179" s="699">
        <f t="shared" si="475"/>
        <v>4</v>
      </c>
      <c r="T179" s="719">
        <f t="shared" si="429"/>
        <v>4</v>
      </c>
      <c r="U179" s="191"/>
      <c r="V179" s="61"/>
      <c r="W179" s="61"/>
      <c r="X179" s="61">
        <f>'Manuell filtrering og justering'!E78</f>
        <v>0</v>
      </c>
      <c r="Y179" s="61"/>
      <c r="Z179" s="714">
        <f t="shared" ref="Z179" si="477">SUM(Z180:Z182)</f>
        <v>4</v>
      </c>
      <c r="AA179" s="719">
        <f t="shared" si="431"/>
        <v>0</v>
      </c>
      <c r="AB179" s="793">
        <f>SUM(AB180:AB182)</f>
        <v>4</v>
      </c>
      <c r="AD179" s="150">
        <f t="shared" si="432"/>
        <v>3.1578947368421054E-2</v>
      </c>
      <c r="AE179" s="687">
        <f>SUM(AE180:AE182)</f>
        <v>0</v>
      </c>
      <c r="AF179" s="687">
        <f t="shared" ref="AF179" si="478">SUM(AF180:AF182)</f>
        <v>0</v>
      </c>
      <c r="AG179" s="687">
        <f t="shared" ref="AG179" si="479">SUM(AG180:AG182)</f>
        <v>0</v>
      </c>
      <c r="AI179" s="714">
        <f t="shared" ref="AI179" si="480">SUM(AI180:AI182)</f>
        <v>0</v>
      </c>
      <c r="AJ179" s="714">
        <f t="shared" ref="AJ179" si="481">SUM(AJ180:AJ182)</f>
        <v>0</v>
      </c>
      <c r="AK179" s="714">
        <f t="shared" ref="AK179" si="482">SUM(AK180:AK182)</f>
        <v>0</v>
      </c>
      <c r="AM179" s="251"/>
      <c r="AN179" s="252"/>
      <c r="AO179" s="252"/>
      <c r="AP179" s="159"/>
      <c r="AQ179" s="164"/>
      <c r="AR179" s="123"/>
      <c r="AS179" s="250"/>
      <c r="AT179" s="159"/>
      <c r="AU179" s="159"/>
      <c r="AV179" s="159"/>
      <c r="AW179" s="164"/>
      <c r="AY179" s="146"/>
      <c r="AZ179" s="43"/>
      <c r="BA179" s="43"/>
      <c r="BB179" s="43"/>
      <c r="BC179" s="147"/>
      <c r="BD179" s="160">
        <f t="shared" si="460"/>
        <v>9</v>
      </c>
      <c r="BE179" s="45" t="str">
        <f t="shared" si="438"/>
        <v>N/A</v>
      </c>
      <c r="BF179" s="163"/>
      <c r="BG179" s="160">
        <f t="shared" si="461"/>
        <v>9</v>
      </c>
      <c r="BH179" s="45" t="str">
        <f t="shared" si="440"/>
        <v>N/A</v>
      </c>
      <c r="BI179" s="163"/>
      <c r="BJ179" s="160">
        <f t="shared" si="462"/>
        <v>9</v>
      </c>
      <c r="BK179" s="45" t="str">
        <f t="shared" si="442"/>
        <v>N/A</v>
      </c>
      <c r="BL179" s="163"/>
      <c r="BO179" s="43"/>
      <c r="BP179" s="43"/>
      <c r="BQ179" s="43" t="str">
        <f t="shared" si="340"/>
        <v/>
      </c>
      <c r="BR179" s="43">
        <f t="shared" si="393"/>
        <v>9</v>
      </c>
      <c r="BS179" s="43">
        <f t="shared" si="394"/>
        <v>9</v>
      </c>
      <c r="BT179" s="43">
        <f t="shared" si="395"/>
        <v>9</v>
      </c>
      <c r="BW179" s="43" t="str">
        <f>D179</f>
        <v>LE 04</v>
      </c>
      <c r="BX179" s="43" t="str">
        <f>IFERROR(VLOOKUP($E179,'Pre-Assessment Estimator'!$E$11:$AB$228,'Pre-Assessment Estimator'!AB$2,FALSE),"")</f>
        <v>N/A</v>
      </c>
      <c r="BY179" s="43">
        <f>IFERROR(VLOOKUP($E179,'Pre-Assessment Estimator'!$E$11:$AI$228,'Pre-Assessment Estimator'!AI$2,FALSE),"")</f>
        <v>0</v>
      </c>
      <c r="BZ179" s="43">
        <f>IFERROR(VLOOKUP($BX179,$E$294:$H$327,F$292,FALSE),"")</f>
        <v>1</v>
      </c>
      <c r="CA179" s="43">
        <f>IFERROR(VLOOKUP($BX179,$E$294:$H$327,G$292,FALSE),"")</f>
        <v>0</v>
      </c>
      <c r="CB179" s="43"/>
      <c r="CC179" t="str">
        <f>IFERROR(VLOOKUP($BX179,$E$294:$H$327,I$292,FALSE),"")</f>
        <v/>
      </c>
    </row>
    <row r="180" spans="1:81" x14ac:dyDescent="0.25">
      <c r="A180">
        <v>172</v>
      </c>
      <c r="D180" s="146" t="s">
        <v>673</v>
      </c>
      <c r="E180" s="705" t="s">
        <v>960</v>
      </c>
      <c r="F180" s="582"/>
      <c r="G180" s="582"/>
      <c r="H180" s="582"/>
      <c r="I180" s="582"/>
      <c r="J180" s="582"/>
      <c r="K180" s="582"/>
      <c r="L180" s="582"/>
      <c r="M180" s="582"/>
      <c r="N180" s="582"/>
      <c r="O180" s="582"/>
      <c r="P180" s="582"/>
      <c r="Q180" s="582"/>
      <c r="R180" s="582"/>
      <c r="T180" s="148">
        <f t="shared" si="429"/>
        <v>0</v>
      </c>
      <c r="U180" s="146"/>
      <c r="V180" s="43"/>
      <c r="W180" s="43"/>
      <c r="X180" s="43"/>
      <c r="Y180" s="147"/>
      <c r="Z180" s="147"/>
      <c r="AA180" s="148">
        <f t="shared" si="431"/>
        <v>0</v>
      </c>
      <c r="AB180" s="149">
        <f>IF($AC$5='Manuell filtrering og justering'!$J$2,Z180,(T180-AA180))</f>
        <v>0</v>
      </c>
      <c r="AD180" s="150">
        <f t="shared" si="432"/>
        <v>0</v>
      </c>
      <c r="AE180" s="150">
        <f t="shared" si="444"/>
        <v>0</v>
      </c>
      <c r="AF180" s="150">
        <f t="shared" si="445"/>
        <v>0</v>
      </c>
      <c r="AG180" s="150">
        <f t="shared" si="446"/>
        <v>0</v>
      </c>
      <c r="AI180" s="151">
        <f>IF(VLOOKUP(E180,'Pre-Assessment Estimator'!$E$11:$Z$228,'Pre-Assessment Estimator'!$G$2,FALSE)&gt;AB180,AB180,VLOOKUP(E180,'Pre-Assessment Estimator'!$E$11:$Z$228,'Pre-Assessment Estimator'!$G$2,FALSE))</f>
        <v>0</v>
      </c>
      <c r="AJ180" s="151">
        <f>IF(VLOOKUP(E180,'Pre-Assessment Estimator'!$E$11:$Z$228,'Pre-Assessment Estimator'!$N$2,FALSE)&gt;AB180,AB180,VLOOKUP(E180,'Pre-Assessment Estimator'!$E$11:$Z$228,'Pre-Assessment Estimator'!$N$2,FALSE))</f>
        <v>0</v>
      </c>
      <c r="AK180" s="151">
        <f>IF(VLOOKUP(E180,'Pre-Assessment Estimator'!$E$11:$Z$228,'Pre-Assessment Estimator'!$U$2,FALSE)&gt;AB180,AB180,VLOOKUP(E180,'Pre-Assessment Estimator'!$E$11:$Z$228,'Pre-Assessment Estimator'!$U$2,FALSE))</f>
        <v>0</v>
      </c>
      <c r="AM180" s="251"/>
      <c r="AN180" s="252"/>
      <c r="AO180" s="252"/>
      <c r="AP180" s="159"/>
      <c r="AQ180" s="164"/>
      <c r="AR180" s="123"/>
      <c r="AS180" s="250"/>
      <c r="AT180" s="159"/>
      <c r="AU180" s="159"/>
      <c r="AV180" s="159"/>
      <c r="AW180" s="164"/>
      <c r="AY180" s="146"/>
      <c r="AZ180" s="43"/>
      <c r="BA180" s="43"/>
      <c r="BB180" s="43"/>
      <c r="BC180" s="147"/>
      <c r="BD180" s="160">
        <f t="shared" si="460"/>
        <v>9</v>
      </c>
      <c r="BE180" s="45" t="str">
        <f t="shared" si="438"/>
        <v>N/A</v>
      </c>
      <c r="BF180" s="163"/>
      <c r="BG180" s="160">
        <f t="shared" si="461"/>
        <v>9</v>
      </c>
      <c r="BH180" s="45" t="str">
        <f t="shared" si="440"/>
        <v>N/A</v>
      </c>
      <c r="BI180" s="163"/>
      <c r="BJ180" s="160">
        <f t="shared" si="462"/>
        <v>9</v>
      </c>
      <c r="BK180" s="45" t="str">
        <f t="shared" si="442"/>
        <v>N/A</v>
      </c>
      <c r="BL180" s="163"/>
      <c r="BO180" s="43"/>
      <c r="BP180" s="43"/>
      <c r="BQ180" s="43" t="str">
        <f t="shared" si="340"/>
        <v/>
      </c>
      <c r="BR180" s="43">
        <f t="shared" si="393"/>
        <v>9</v>
      </c>
      <c r="BS180" s="43">
        <f t="shared" si="394"/>
        <v>9</v>
      </c>
      <c r="BT180" s="43">
        <f t="shared" si="395"/>
        <v>9</v>
      </c>
      <c r="BW180" s="43"/>
      <c r="BX180" s="43"/>
      <c r="BY180" s="43"/>
      <c r="BZ180" s="43"/>
      <c r="CA180" s="43"/>
      <c r="CB180" s="43"/>
    </row>
    <row r="181" spans="1:81" x14ac:dyDescent="0.25">
      <c r="A181">
        <v>173</v>
      </c>
      <c r="B181" t="str">
        <f t="shared" ref="B181:B182" si="483">$D$179&amp;D181</f>
        <v>LE 04b</v>
      </c>
      <c r="D181" s="146" t="s">
        <v>676</v>
      </c>
      <c r="E181" s="826" t="s">
        <v>659</v>
      </c>
      <c r="F181" s="582">
        <v>1</v>
      </c>
      <c r="G181" s="582">
        <v>1</v>
      </c>
      <c r="H181" s="582">
        <v>1</v>
      </c>
      <c r="I181" s="582">
        <v>1</v>
      </c>
      <c r="J181" s="582">
        <v>1</v>
      </c>
      <c r="K181" s="582">
        <v>1</v>
      </c>
      <c r="L181" s="582">
        <v>1</v>
      </c>
      <c r="M181" s="582">
        <v>1</v>
      </c>
      <c r="N181" s="582">
        <v>1</v>
      </c>
      <c r="O181" s="582">
        <v>1</v>
      </c>
      <c r="P181" s="582">
        <v>1</v>
      </c>
      <c r="Q181" s="582">
        <v>1</v>
      </c>
      <c r="R181" s="582">
        <v>1</v>
      </c>
      <c r="T181" s="148">
        <f t="shared" si="429"/>
        <v>1</v>
      </c>
      <c r="U181" s="146"/>
      <c r="V181" s="43"/>
      <c r="W181" s="43"/>
      <c r="X181" s="43"/>
      <c r="Y181" s="147"/>
      <c r="Z181" s="147">
        <f>VLOOKUP(B181,'Manuell filtrering og justering'!$A$7:$H$253,'Manuell filtrering og justering'!$H$1,FALSE)</f>
        <v>1</v>
      </c>
      <c r="AA181" s="148">
        <f t="shared" si="431"/>
        <v>0</v>
      </c>
      <c r="AB181" s="149">
        <f>IF($AC$5='Manuell filtrering og justering'!$J$2,Z181,(T181-AA181))</f>
        <v>1</v>
      </c>
      <c r="AD181" s="150">
        <f t="shared" si="432"/>
        <v>7.8947368421052634E-3</v>
      </c>
      <c r="AE181" s="150">
        <f t="shared" si="444"/>
        <v>0</v>
      </c>
      <c r="AF181" s="150">
        <f t="shared" si="445"/>
        <v>0</v>
      </c>
      <c r="AG181" s="150">
        <f t="shared" si="446"/>
        <v>0</v>
      </c>
      <c r="AI181" s="794">
        <f>IF(AI244=AD_no,0,IF(VLOOKUP(E181,'Pre-Assessment Estimator'!$E$11:$Z$228,'Pre-Assessment Estimator'!$G$2,FALSE)&gt;AB181,AB181,VLOOKUP(E181,'Pre-Assessment Estimator'!$E$11:$Z$228,'Pre-Assessment Estimator'!$G$2,FALSE)))</f>
        <v>0</v>
      </c>
      <c r="AJ181" s="794">
        <f>IF(AJ244=AD_no,0,IF(VLOOKUP(E181,'Pre-Assessment Estimator'!$E$11:$Z$228,'Pre-Assessment Estimator'!$N$2,FALSE)&gt;AB181,AB181,VLOOKUP(E181,'Pre-Assessment Estimator'!$E$11:$Z$228,'Pre-Assessment Estimator'!$N$2,FALSE)))</f>
        <v>0</v>
      </c>
      <c r="AK181" s="794">
        <f>IF(AK244=AD_no,0,IF(VLOOKUP(E181,'Pre-Assessment Estimator'!$E$11:$Z$228,'Pre-Assessment Estimator'!$U$2,FALSE)&gt;AB181,AB181,VLOOKUP(E181,'Pre-Assessment Estimator'!$E$11:$Z$228,'Pre-Assessment Estimator'!$U$2,FALSE)))</f>
        <v>0</v>
      </c>
      <c r="AM181" s="251"/>
      <c r="AN181" s="252"/>
      <c r="AO181" s="252"/>
      <c r="AP181" s="159"/>
      <c r="AQ181" s="164">
        <v>1</v>
      </c>
      <c r="AR181" s="123"/>
      <c r="AS181" s="250"/>
      <c r="AT181" s="159"/>
      <c r="AU181" s="159"/>
      <c r="AV181" s="159"/>
      <c r="AW181" s="164">
        <v>1</v>
      </c>
      <c r="AY181" s="146"/>
      <c r="AZ181" s="43"/>
      <c r="BA181" s="43"/>
      <c r="BB181" s="43"/>
      <c r="BC181" s="161">
        <f>IF($AB181=0,0,IF($E$6=$H$9,AW181,AQ181))</f>
        <v>1</v>
      </c>
      <c r="BD181" s="160">
        <f t="shared" si="460"/>
        <v>4</v>
      </c>
      <c r="BE181" s="45" t="str">
        <f t="shared" si="438"/>
        <v>Excellent</v>
      </c>
      <c r="BF181" s="163"/>
      <c r="BG181" s="160">
        <f t="shared" si="461"/>
        <v>4</v>
      </c>
      <c r="BH181" s="45" t="str">
        <f t="shared" si="440"/>
        <v>Excellent</v>
      </c>
      <c r="BI181" s="163"/>
      <c r="BJ181" s="160">
        <f t="shared" si="462"/>
        <v>4</v>
      </c>
      <c r="BK181" s="45" t="str">
        <f t="shared" si="442"/>
        <v>Excellent</v>
      </c>
      <c r="BL181" s="163"/>
      <c r="BO181" s="43"/>
      <c r="BP181" s="43"/>
      <c r="BQ181" s="43" t="str">
        <f t="shared" si="340"/>
        <v/>
      </c>
      <c r="BR181" s="43">
        <f t="shared" si="393"/>
        <v>9</v>
      </c>
      <c r="BS181" s="43">
        <f t="shared" si="394"/>
        <v>9</v>
      </c>
      <c r="BT181" s="43">
        <f t="shared" si="395"/>
        <v>9</v>
      </c>
      <c r="BW181" s="43"/>
      <c r="BX181" s="43"/>
      <c r="BY181" s="43"/>
      <c r="BZ181" s="43"/>
      <c r="CA181" s="43"/>
      <c r="CB181" s="43"/>
    </row>
    <row r="182" spans="1:81" x14ac:dyDescent="0.25">
      <c r="A182">
        <v>174</v>
      </c>
      <c r="B182" t="str">
        <f t="shared" si="483"/>
        <v>LE 04c</v>
      </c>
      <c r="D182" s="146" t="s">
        <v>677</v>
      </c>
      <c r="E182" s="826" t="s">
        <v>660</v>
      </c>
      <c r="F182" s="582">
        <v>3</v>
      </c>
      <c r="G182" s="582">
        <v>3</v>
      </c>
      <c r="H182" s="582">
        <v>3</v>
      </c>
      <c r="I182" s="582">
        <v>3</v>
      </c>
      <c r="J182" s="582">
        <v>3</v>
      </c>
      <c r="K182" s="582">
        <v>3</v>
      </c>
      <c r="L182" s="582">
        <v>3</v>
      </c>
      <c r="M182" s="582">
        <v>3</v>
      </c>
      <c r="N182" s="582">
        <v>3</v>
      </c>
      <c r="O182" s="582">
        <v>3</v>
      </c>
      <c r="P182" s="582">
        <v>3</v>
      </c>
      <c r="Q182" s="582">
        <v>3</v>
      </c>
      <c r="R182" s="582">
        <v>3</v>
      </c>
      <c r="T182" s="148">
        <f t="shared" si="429"/>
        <v>3</v>
      </c>
      <c r="U182" s="146"/>
      <c r="V182" s="43"/>
      <c r="W182" s="43"/>
      <c r="X182" s="43"/>
      <c r="Y182" s="147"/>
      <c r="Z182" s="147">
        <f>VLOOKUP(B182,'Manuell filtrering og justering'!$A$7:$H$253,'Manuell filtrering og justering'!$H$1,FALSE)</f>
        <v>3</v>
      </c>
      <c r="AA182" s="148">
        <f t="shared" si="431"/>
        <v>0</v>
      </c>
      <c r="AB182" s="149">
        <f>IF($AC$5='Manuell filtrering og justering'!$J$2,Z182,(T182-AA182))</f>
        <v>3</v>
      </c>
      <c r="AD182" s="150">
        <f t="shared" si="432"/>
        <v>2.368421052631579E-2</v>
      </c>
      <c r="AE182" s="150">
        <f t="shared" si="444"/>
        <v>0</v>
      </c>
      <c r="AF182" s="150">
        <f t="shared" si="445"/>
        <v>0</v>
      </c>
      <c r="AG182" s="150">
        <f t="shared" si="446"/>
        <v>0</v>
      </c>
      <c r="AI182" s="794">
        <f>IF(AI244=AD_no,0,IF(VLOOKUP(E182,'Pre-Assessment Estimator'!$E$11:$Z$228,'Pre-Assessment Estimator'!$G$2,FALSE)&gt;AB182,AB182,VLOOKUP(E182,'Pre-Assessment Estimator'!$E$11:$Z$228,'Pre-Assessment Estimator'!$G$2,FALSE)))</f>
        <v>0</v>
      </c>
      <c r="AJ182" s="794">
        <f>IF(AJ244=AD_no,0,IF(VLOOKUP(E182,'Pre-Assessment Estimator'!$E$11:$Z$228,'Pre-Assessment Estimator'!$N$2,FALSE)&gt;AB182,AB182,VLOOKUP(E182,'Pre-Assessment Estimator'!$E$11:$Z$228,'Pre-Assessment Estimator'!$N$2,FALSE)))</f>
        <v>0</v>
      </c>
      <c r="AK182" s="794">
        <f>IF(AK244=AD_no,0,IF(VLOOKUP(E182,'Pre-Assessment Estimator'!$E$11:$Z$228,'Pre-Assessment Estimator'!$U$2,FALSE)&gt;AB182,AB182,VLOOKUP(E182,'Pre-Assessment Estimator'!$E$11:$Z$228,'Pre-Assessment Estimator'!$U$2,FALSE)))</f>
        <v>0</v>
      </c>
      <c r="AM182" s="251"/>
      <c r="AN182" s="252"/>
      <c r="AO182" s="252"/>
      <c r="AP182" s="159"/>
      <c r="AQ182" s="164"/>
      <c r="AR182" s="123"/>
      <c r="AS182" s="250"/>
      <c r="AT182" s="159"/>
      <c r="AU182" s="159"/>
      <c r="AV182" s="159"/>
      <c r="AW182" s="164"/>
      <c r="AY182" s="146"/>
      <c r="AZ182" s="43"/>
      <c r="BA182" s="43"/>
      <c r="BB182" s="43"/>
      <c r="BC182" s="147"/>
      <c r="BD182" s="160">
        <f t="shared" si="460"/>
        <v>9</v>
      </c>
      <c r="BE182" s="45" t="str">
        <f t="shared" si="438"/>
        <v>N/A</v>
      </c>
      <c r="BF182" s="163"/>
      <c r="BG182" s="160">
        <f t="shared" si="461"/>
        <v>9</v>
      </c>
      <c r="BH182" s="45" t="str">
        <f t="shared" si="440"/>
        <v>N/A</v>
      </c>
      <c r="BI182" s="163"/>
      <c r="BJ182" s="160">
        <f t="shared" si="462"/>
        <v>9</v>
      </c>
      <c r="BK182" s="45" t="str">
        <f t="shared" si="442"/>
        <v>N/A</v>
      </c>
      <c r="BL182" s="163"/>
      <c r="BO182" s="43"/>
      <c r="BP182" s="43"/>
      <c r="BQ182" s="43" t="str">
        <f t="shared" si="340"/>
        <v/>
      </c>
      <c r="BR182" s="43">
        <f t="shared" si="393"/>
        <v>9</v>
      </c>
      <c r="BS182" s="43">
        <f t="shared" si="394"/>
        <v>9</v>
      </c>
      <c r="BT182" s="43">
        <f t="shared" si="395"/>
        <v>9</v>
      </c>
      <c r="BW182" s="43"/>
      <c r="BX182" s="43"/>
      <c r="BY182" s="43"/>
      <c r="BZ182" s="43"/>
      <c r="CA182" s="43"/>
      <c r="CB182" s="43"/>
    </row>
    <row r="183" spans="1:81" x14ac:dyDescent="0.25">
      <c r="A183">
        <v>175</v>
      </c>
      <c r="B183" s="121" t="str">
        <f>D183</f>
        <v>LE 05</v>
      </c>
      <c r="C183" s="121"/>
      <c r="D183" s="638" t="s">
        <v>177</v>
      </c>
      <c r="E183" s="636" t="s">
        <v>451</v>
      </c>
      <c r="F183" s="699">
        <f>SUM(F184:F186)</f>
        <v>2</v>
      </c>
      <c r="G183" s="699">
        <f t="shared" ref="G183:R183" si="484">SUM(G184:G186)</f>
        <v>2</v>
      </c>
      <c r="H183" s="699">
        <f t="shared" si="484"/>
        <v>2</v>
      </c>
      <c r="I183" s="699">
        <f t="shared" si="484"/>
        <v>2</v>
      </c>
      <c r="J183" s="699">
        <f t="shared" si="484"/>
        <v>2</v>
      </c>
      <c r="K183" s="699">
        <f t="shared" si="484"/>
        <v>2</v>
      </c>
      <c r="L183" s="699">
        <f t="shared" si="484"/>
        <v>2</v>
      </c>
      <c r="M183" s="699">
        <f t="shared" si="484"/>
        <v>2</v>
      </c>
      <c r="N183" s="699">
        <f t="shared" si="484"/>
        <v>2</v>
      </c>
      <c r="O183" s="699">
        <f t="shared" si="484"/>
        <v>2</v>
      </c>
      <c r="P183" s="699">
        <f t="shared" si="484"/>
        <v>2</v>
      </c>
      <c r="Q183" s="699">
        <f t="shared" ref="Q183" si="485">SUM(Q184:Q186)</f>
        <v>2</v>
      </c>
      <c r="R183" s="699">
        <f t="shared" si="484"/>
        <v>2</v>
      </c>
      <c r="T183" s="719">
        <f t="shared" si="429"/>
        <v>2</v>
      </c>
      <c r="U183" s="191"/>
      <c r="V183" s="61"/>
      <c r="W183" s="61"/>
      <c r="X183" s="61">
        <f>'Manuell filtrering og justering'!E79</f>
        <v>0</v>
      </c>
      <c r="Y183" s="61"/>
      <c r="Z183" s="714">
        <f t="shared" ref="Z183" si="486">SUM(Z184:Z186)</f>
        <v>2</v>
      </c>
      <c r="AA183" s="719">
        <f t="shared" si="431"/>
        <v>0</v>
      </c>
      <c r="AB183" s="793">
        <f>SUM(AB184:AB186)</f>
        <v>2</v>
      </c>
      <c r="AD183" s="150">
        <f t="shared" si="432"/>
        <v>1.5789473684210527E-2</v>
      </c>
      <c r="AE183" s="687">
        <f>SUM(AE184:AE186)</f>
        <v>0</v>
      </c>
      <c r="AF183" s="687">
        <f t="shared" ref="AF183" si="487">SUM(AF184:AF186)</f>
        <v>0</v>
      </c>
      <c r="AG183" s="687">
        <f t="shared" ref="AG183" si="488">SUM(AG184:AG186)</f>
        <v>0</v>
      </c>
      <c r="AI183" s="714">
        <f t="shared" ref="AI183" si="489">SUM(AI184:AI186)</f>
        <v>0</v>
      </c>
      <c r="AJ183" s="714">
        <f t="shared" ref="AJ183" si="490">SUM(AJ184:AJ186)</f>
        <v>0</v>
      </c>
      <c r="AK183" s="714">
        <f t="shared" ref="AK183" si="491">SUM(AK184:AK186)</f>
        <v>0</v>
      </c>
      <c r="AM183" s="251"/>
      <c r="AN183" s="252"/>
      <c r="AO183" s="252"/>
      <c r="AP183" s="159"/>
      <c r="AQ183" s="164"/>
      <c r="AR183" s="123"/>
      <c r="AS183" s="250"/>
      <c r="AT183" s="159"/>
      <c r="AU183" s="159"/>
      <c r="AV183" s="159"/>
      <c r="AW183" s="164"/>
      <c r="AY183" s="146"/>
      <c r="AZ183" s="43"/>
      <c r="BA183" s="43"/>
      <c r="BB183" s="43"/>
      <c r="BC183" s="147"/>
      <c r="BD183" s="160">
        <f t="shared" si="460"/>
        <v>9</v>
      </c>
      <c r="BE183" s="45" t="str">
        <f t="shared" si="438"/>
        <v>N/A</v>
      </c>
      <c r="BF183" s="163"/>
      <c r="BG183" s="160">
        <f t="shared" si="461"/>
        <v>9</v>
      </c>
      <c r="BH183" s="45" t="str">
        <f t="shared" si="440"/>
        <v>N/A</v>
      </c>
      <c r="BI183" s="163"/>
      <c r="BJ183" s="160">
        <f t="shared" si="462"/>
        <v>9</v>
      </c>
      <c r="BK183" s="45" t="str">
        <f t="shared" si="442"/>
        <v>N/A</v>
      </c>
      <c r="BL183" s="163"/>
      <c r="BO183" s="43"/>
      <c r="BP183" s="43"/>
      <c r="BQ183" s="43" t="str">
        <f t="shared" si="340"/>
        <v/>
      </c>
      <c r="BR183" s="43">
        <f t="shared" si="393"/>
        <v>9</v>
      </c>
      <c r="BS183" s="43">
        <f t="shared" si="394"/>
        <v>9</v>
      </c>
      <c r="BT183" s="43">
        <f t="shared" si="395"/>
        <v>9</v>
      </c>
      <c r="BW183" s="43" t="str">
        <f>D183</f>
        <v>LE 05</v>
      </c>
      <c r="BX183" s="43" t="str">
        <f>IFERROR(VLOOKUP($E183,'Pre-Assessment Estimator'!$E$11:$AB$228,'Pre-Assessment Estimator'!AB$2,FALSE),"")</f>
        <v>N/A</v>
      </c>
      <c r="BY183" s="43">
        <f>IFERROR(VLOOKUP($E183,'Pre-Assessment Estimator'!$E$11:$AI$228,'Pre-Assessment Estimator'!AI$2,FALSE),"")</f>
        <v>0</v>
      </c>
      <c r="BZ183" s="43">
        <f>IFERROR(VLOOKUP($BX183,$E$294:$H$327,F$292,FALSE),"")</f>
        <v>1</v>
      </c>
      <c r="CA183" s="43">
        <f>IFERROR(VLOOKUP($BX183,$E$294:$H$327,G$292,FALSE),"")</f>
        <v>0</v>
      </c>
      <c r="CB183" s="43"/>
      <c r="CC183" t="str">
        <f>IFERROR(VLOOKUP($BX183,$E$294:$H$327,I$292,FALSE),"")</f>
        <v/>
      </c>
    </row>
    <row r="184" spans="1:81" x14ac:dyDescent="0.25">
      <c r="A184">
        <v>176</v>
      </c>
      <c r="D184" s="146" t="s">
        <v>673</v>
      </c>
      <c r="E184" s="705" t="s">
        <v>661</v>
      </c>
      <c r="F184" s="582"/>
      <c r="G184" s="582"/>
      <c r="H184" s="582"/>
      <c r="I184" s="582"/>
      <c r="J184" s="582"/>
      <c r="K184" s="582"/>
      <c r="L184" s="582"/>
      <c r="M184" s="582"/>
      <c r="N184" s="582"/>
      <c r="O184" s="582"/>
      <c r="P184" s="582"/>
      <c r="Q184" s="582"/>
      <c r="R184" s="582"/>
      <c r="T184" s="148">
        <f t="shared" si="429"/>
        <v>0</v>
      </c>
      <c r="U184" s="146"/>
      <c r="V184" s="43"/>
      <c r="W184" s="43"/>
      <c r="X184" s="43"/>
      <c r="Y184" s="147"/>
      <c r="Z184" s="147"/>
      <c r="AA184" s="148">
        <f t="shared" si="431"/>
        <v>0</v>
      </c>
      <c r="AB184" s="149">
        <f>IF($AC$5='Manuell filtrering og justering'!$J$2,Z184,(T184-AA184))</f>
        <v>0</v>
      </c>
      <c r="AD184" s="150">
        <f t="shared" si="432"/>
        <v>0</v>
      </c>
      <c r="AE184" s="150">
        <f t="shared" si="444"/>
        <v>0</v>
      </c>
      <c r="AF184" s="150">
        <f t="shared" si="445"/>
        <v>0</v>
      </c>
      <c r="AG184" s="150">
        <f t="shared" si="446"/>
        <v>0</v>
      </c>
      <c r="AI184" s="151">
        <f>IF(VLOOKUP(E184,'Pre-Assessment Estimator'!$E$11:$Z$228,'Pre-Assessment Estimator'!$G$2,FALSE)&gt;AB184,AB184,VLOOKUP(E184,'Pre-Assessment Estimator'!$E$11:$Z$228,'Pre-Assessment Estimator'!$G$2,FALSE))</f>
        <v>0</v>
      </c>
      <c r="AJ184" s="151">
        <f>IF(VLOOKUP(E184,'Pre-Assessment Estimator'!$E$11:$Z$228,'Pre-Assessment Estimator'!$N$2,FALSE)&gt;AB184,AB184,VLOOKUP(E184,'Pre-Assessment Estimator'!$E$11:$Z$228,'Pre-Assessment Estimator'!$N$2,FALSE))</f>
        <v>0</v>
      </c>
      <c r="AK184" s="151">
        <f>IF(VLOOKUP(E184,'Pre-Assessment Estimator'!$E$11:$Z$228,'Pre-Assessment Estimator'!$U$2,FALSE)&gt;AB184,AB184,VLOOKUP(E184,'Pre-Assessment Estimator'!$E$11:$Z$228,'Pre-Assessment Estimator'!$U$2,FALSE))</f>
        <v>0</v>
      </c>
      <c r="AM184" s="251"/>
      <c r="AN184" s="252"/>
      <c r="AO184" s="252"/>
      <c r="AP184" s="159"/>
      <c r="AQ184" s="164"/>
      <c r="AR184" s="123"/>
      <c r="AS184" s="250"/>
      <c r="AT184" s="159"/>
      <c r="AU184" s="159"/>
      <c r="AV184" s="159"/>
      <c r="AW184" s="164"/>
      <c r="AY184" s="146"/>
      <c r="AZ184" s="43"/>
      <c r="BA184" s="43"/>
      <c r="BB184" s="147"/>
      <c r="BC184" s="147"/>
      <c r="BD184" s="160">
        <f t="shared" si="460"/>
        <v>9</v>
      </c>
      <c r="BE184" s="45" t="str">
        <f t="shared" si="438"/>
        <v>N/A</v>
      </c>
      <c r="BF184" s="163"/>
      <c r="BG184" s="160">
        <f t="shared" si="461"/>
        <v>9</v>
      </c>
      <c r="BH184" s="45" t="str">
        <f t="shared" si="440"/>
        <v>N/A</v>
      </c>
      <c r="BI184" s="163"/>
      <c r="BJ184" s="160">
        <f t="shared" si="462"/>
        <v>9</v>
      </c>
      <c r="BK184" s="45" t="str">
        <f t="shared" si="442"/>
        <v>N/A</v>
      </c>
      <c r="BL184" s="163"/>
      <c r="BO184" s="43"/>
      <c r="BP184" s="43"/>
      <c r="BQ184" s="43" t="str">
        <f t="shared" si="340"/>
        <v/>
      </c>
      <c r="BR184" s="43">
        <f t="shared" si="393"/>
        <v>9</v>
      </c>
      <c r="BS184" s="43">
        <f t="shared" si="394"/>
        <v>9</v>
      </c>
      <c r="BT184" s="43">
        <f t="shared" si="395"/>
        <v>9</v>
      </c>
      <c r="BW184" s="43"/>
      <c r="BX184" s="43"/>
      <c r="BY184" s="43"/>
      <c r="BZ184" s="43"/>
      <c r="CA184" s="43"/>
      <c r="CB184" s="43"/>
    </row>
    <row r="185" spans="1:81" x14ac:dyDescent="0.25">
      <c r="A185">
        <v>177</v>
      </c>
      <c r="B185" t="str">
        <f t="shared" ref="B185:B186" si="492">$D$183&amp;D185</f>
        <v>LE 05b</v>
      </c>
      <c r="D185" s="146" t="s">
        <v>676</v>
      </c>
      <c r="E185" s="826" t="s">
        <v>662</v>
      </c>
      <c r="F185" s="582">
        <v>1</v>
      </c>
      <c r="G185" s="582">
        <v>1</v>
      </c>
      <c r="H185" s="582">
        <v>1</v>
      </c>
      <c r="I185" s="582">
        <v>1</v>
      </c>
      <c r="J185" s="582">
        <v>1</v>
      </c>
      <c r="K185" s="582">
        <v>1</v>
      </c>
      <c r="L185" s="582">
        <v>1</v>
      </c>
      <c r="M185" s="582">
        <v>1</v>
      </c>
      <c r="N185" s="582">
        <v>1</v>
      </c>
      <c r="O185" s="582">
        <v>1</v>
      </c>
      <c r="P185" s="582">
        <v>1</v>
      </c>
      <c r="Q185" s="582">
        <v>1</v>
      </c>
      <c r="R185" s="582">
        <v>1</v>
      </c>
      <c r="T185" s="148">
        <f t="shared" si="429"/>
        <v>1</v>
      </c>
      <c r="U185" s="146"/>
      <c r="V185" s="43"/>
      <c r="W185" s="43"/>
      <c r="X185" s="43"/>
      <c r="Y185" s="147"/>
      <c r="Z185" s="147">
        <f>VLOOKUP(B185,'Manuell filtrering og justering'!$A$7:$H$253,'Manuell filtrering og justering'!$H$1,FALSE)</f>
        <v>1</v>
      </c>
      <c r="AA185" s="148">
        <f t="shared" si="431"/>
        <v>0</v>
      </c>
      <c r="AB185" s="149">
        <f>IF($AC$5='Manuell filtrering og justering'!$J$2,Z185,(T185-AA185))</f>
        <v>1</v>
      </c>
      <c r="AD185" s="150">
        <f t="shared" si="432"/>
        <v>7.8947368421052634E-3</v>
      </c>
      <c r="AE185" s="150">
        <f t="shared" si="444"/>
        <v>0</v>
      </c>
      <c r="AF185" s="150">
        <f t="shared" si="445"/>
        <v>0</v>
      </c>
      <c r="AG185" s="150">
        <f t="shared" si="446"/>
        <v>0</v>
      </c>
      <c r="AI185" s="794">
        <f>IF(AI245=AD_no,0,IF(VLOOKUP(E185,'Pre-Assessment Estimator'!$E$11:$Z$228,'Pre-Assessment Estimator'!$G$2,FALSE)&gt;AB185,AB185,VLOOKUP(E185,'Pre-Assessment Estimator'!$E$11:$Z$228,'Pre-Assessment Estimator'!$G$2,FALSE)))</f>
        <v>0</v>
      </c>
      <c r="AJ185" s="794">
        <f>IF(AJ245=AD_no,0,IF(VLOOKUP(E185,'Pre-Assessment Estimator'!$E$11:$Z$228,'Pre-Assessment Estimator'!$N$2,FALSE)&gt;AB185,AB185,VLOOKUP(E185,'Pre-Assessment Estimator'!$E$11:$Z$228,'Pre-Assessment Estimator'!$N$2,FALSE)))</f>
        <v>0</v>
      </c>
      <c r="AK185" s="794">
        <f>IF(AK245=AD_no,0,IF(VLOOKUP(E185,'Pre-Assessment Estimator'!$E$11:$Z$228,'Pre-Assessment Estimator'!$U$2,FALSE)&gt;AB185,AB185,VLOOKUP(E185,'Pre-Assessment Estimator'!$E$11:$Z$228,'Pre-Assessment Estimator'!$U$2,FALSE)))</f>
        <v>0</v>
      </c>
      <c r="AM185" s="251"/>
      <c r="AN185" s="252"/>
      <c r="AO185" s="252"/>
      <c r="AP185" s="159"/>
      <c r="AQ185" s="164"/>
      <c r="AR185" s="123"/>
      <c r="AS185" s="250"/>
      <c r="AT185" s="159"/>
      <c r="AU185" s="159"/>
      <c r="AV185" s="159"/>
      <c r="AW185" s="164"/>
      <c r="AY185" s="146"/>
      <c r="AZ185" s="43"/>
      <c r="BA185" s="43"/>
      <c r="BB185" s="147"/>
      <c r="BC185" s="147"/>
      <c r="BD185" s="160">
        <f t="shared" si="460"/>
        <v>9</v>
      </c>
      <c r="BE185" s="45" t="str">
        <f t="shared" si="438"/>
        <v>N/A</v>
      </c>
      <c r="BF185" s="163"/>
      <c r="BG185" s="160">
        <f t="shared" si="461"/>
        <v>9</v>
      </c>
      <c r="BH185" s="45" t="str">
        <f t="shared" si="440"/>
        <v>N/A</v>
      </c>
      <c r="BI185" s="163"/>
      <c r="BJ185" s="160">
        <f t="shared" si="462"/>
        <v>9</v>
      </c>
      <c r="BK185" s="45" t="str">
        <f t="shared" si="442"/>
        <v>N/A</v>
      </c>
      <c r="BL185" s="163"/>
      <c r="BO185" s="43"/>
      <c r="BP185" s="43"/>
      <c r="BQ185" s="43" t="str">
        <f t="shared" si="340"/>
        <v/>
      </c>
      <c r="BR185" s="43">
        <f t="shared" si="393"/>
        <v>9</v>
      </c>
      <c r="BS185" s="43">
        <f t="shared" si="394"/>
        <v>9</v>
      </c>
      <c r="BT185" s="43">
        <f t="shared" si="395"/>
        <v>9</v>
      </c>
      <c r="BW185" s="43"/>
      <c r="BX185" s="43"/>
      <c r="BY185" s="43"/>
      <c r="BZ185" s="43"/>
      <c r="CA185" s="43"/>
      <c r="CB185" s="43"/>
    </row>
    <row r="186" spans="1:81" x14ac:dyDescent="0.25">
      <c r="A186">
        <v>178</v>
      </c>
      <c r="B186" t="str">
        <f t="shared" si="492"/>
        <v>LE 05c</v>
      </c>
      <c r="D186" s="146" t="s">
        <v>677</v>
      </c>
      <c r="E186" s="826" t="s">
        <v>663</v>
      </c>
      <c r="F186" s="582">
        <v>1</v>
      </c>
      <c r="G186" s="582">
        <v>1</v>
      </c>
      <c r="H186" s="582">
        <v>1</v>
      </c>
      <c r="I186" s="582">
        <v>1</v>
      </c>
      <c r="J186" s="582">
        <v>1</v>
      </c>
      <c r="K186" s="582">
        <v>1</v>
      </c>
      <c r="L186" s="582">
        <v>1</v>
      </c>
      <c r="M186" s="582">
        <v>1</v>
      </c>
      <c r="N186" s="582">
        <v>1</v>
      </c>
      <c r="O186" s="582">
        <v>1</v>
      </c>
      <c r="P186" s="582">
        <v>1</v>
      </c>
      <c r="Q186" s="582">
        <v>1</v>
      </c>
      <c r="R186" s="582">
        <v>1</v>
      </c>
      <c r="T186" s="148">
        <f t="shared" si="429"/>
        <v>1</v>
      </c>
      <c r="U186" s="146"/>
      <c r="V186" s="43"/>
      <c r="W186" s="43"/>
      <c r="X186" s="43"/>
      <c r="Y186" s="147"/>
      <c r="Z186" s="147">
        <f>VLOOKUP(B186,'Manuell filtrering og justering'!$A$7:$H$253,'Manuell filtrering og justering'!$H$1,FALSE)</f>
        <v>1</v>
      </c>
      <c r="AA186" s="148">
        <f t="shared" si="431"/>
        <v>0</v>
      </c>
      <c r="AB186" s="149">
        <f>IF($AC$5='Manuell filtrering og justering'!$J$2,Z186,(T186-AA186))</f>
        <v>1</v>
      </c>
      <c r="AD186" s="150">
        <f t="shared" si="432"/>
        <v>7.8947368421052634E-3</v>
      </c>
      <c r="AE186" s="150">
        <f t="shared" si="444"/>
        <v>0</v>
      </c>
      <c r="AF186" s="150">
        <f t="shared" si="445"/>
        <v>0</v>
      </c>
      <c r="AG186" s="150">
        <f t="shared" si="446"/>
        <v>0</v>
      </c>
      <c r="AI186" s="794">
        <f>IF(AI245=AD_no,0,IF(VLOOKUP(E186,'Pre-Assessment Estimator'!$E$11:$Z$228,'Pre-Assessment Estimator'!$G$2,FALSE)&gt;AB186,AB186,VLOOKUP(E186,'Pre-Assessment Estimator'!$E$11:$Z$228,'Pre-Assessment Estimator'!$G$2,FALSE)))</f>
        <v>0</v>
      </c>
      <c r="AJ186" s="794">
        <f>IF(AJ245=AD_no,0,IF(VLOOKUP(E186,'Pre-Assessment Estimator'!$E$11:$Z$228,'Pre-Assessment Estimator'!$N$2,FALSE)&gt;AB186,AB186,VLOOKUP(E186,'Pre-Assessment Estimator'!$E$11:$Z$228,'Pre-Assessment Estimator'!$N$2,FALSE)))</f>
        <v>0</v>
      </c>
      <c r="AK186" s="794">
        <f>IF(AK245=AD_no,0,IF(VLOOKUP(E186,'Pre-Assessment Estimator'!$E$11:$Z$228,'Pre-Assessment Estimator'!$U$2,FALSE)&gt;AB186,AB186,VLOOKUP(E186,'Pre-Assessment Estimator'!$E$11:$Z$228,'Pre-Assessment Estimator'!$U$2,FALSE)))</f>
        <v>0</v>
      </c>
      <c r="AM186" s="251"/>
      <c r="AN186" s="252"/>
      <c r="AO186" s="252"/>
      <c r="AP186" s="159"/>
      <c r="AQ186" s="164"/>
      <c r="AR186" s="123"/>
      <c r="AS186" s="250"/>
      <c r="AT186" s="159"/>
      <c r="AU186" s="159"/>
      <c r="AV186" s="159"/>
      <c r="AW186" s="164"/>
      <c r="AY186" s="146"/>
      <c r="AZ186" s="43"/>
      <c r="BA186" s="43"/>
      <c r="BB186" s="147"/>
      <c r="BC186" s="147"/>
      <c r="BD186" s="160">
        <f t="shared" si="460"/>
        <v>9</v>
      </c>
      <c r="BE186" s="45" t="str">
        <f t="shared" si="438"/>
        <v>N/A</v>
      </c>
      <c r="BF186" s="163"/>
      <c r="BG186" s="160">
        <f t="shared" si="461"/>
        <v>9</v>
      </c>
      <c r="BH186" s="45" t="str">
        <f t="shared" si="440"/>
        <v>N/A</v>
      </c>
      <c r="BI186" s="163"/>
      <c r="BJ186" s="160">
        <f t="shared" si="462"/>
        <v>9</v>
      </c>
      <c r="BK186" s="45" t="str">
        <f t="shared" si="442"/>
        <v>N/A</v>
      </c>
      <c r="BL186" s="163"/>
      <c r="BO186" s="43"/>
      <c r="BP186" s="43"/>
      <c r="BQ186" s="43" t="str">
        <f t="shared" si="340"/>
        <v/>
      </c>
      <c r="BR186" s="43">
        <f t="shared" si="393"/>
        <v>9</v>
      </c>
      <c r="BS186" s="43">
        <f t="shared" si="394"/>
        <v>9</v>
      </c>
      <c r="BT186" s="43">
        <f t="shared" si="395"/>
        <v>9</v>
      </c>
      <c r="BW186" s="43"/>
      <c r="BX186" s="43"/>
      <c r="BY186" s="43"/>
      <c r="BZ186" s="43"/>
      <c r="CA186" s="43"/>
      <c r="CB186" s="43"/>
    </row>
    <row r="187" spans="1:81" x14ac:dyDescent="0.25">
      <c r="A187">
        <v>179</v>
      </c>
      <c r="B187" s="121" t="str">
        <f>D187</f>
        <v>LE 06</v>
      </c>
      <c r="C187" s="121"/>
      <c r="D187" s="638" t="s">
        <v>178</v>
      </c>
      <c r="E187" s="636" t="s">
        <v>670</v>
      </c>
      <c r="F187" s="699">
        <f>F188</f>
        <v>1</v>
      </c>
      <c r="G187" s="699">
        <f t="shared" ref="G187:R187" si="493">G188</f>
        <v>1</v>
      </c>
      <c r="H187" s="699">
        <f t="shared" si="493"/>
        <v>1</v>
      </c>
      <c r="I187" s="699">
        <f t="shared" si="493"/>
        <v>1</v>
      </c>
      <c r="J187" s="699">
        <f t="shared" si="493"/>
        <v>1</v>
      </c>
      <c r="K187" s="699">
        <f t="shared" si="493"/>
        <v>1</v>
      </c>
      <c r="L187" s="699">
        <f>L188</f>
        <v>1</v>
      </c>
      <c r="M187" s="699">
        <f t="shared" si="493"/>
        <v>1</v>
      </c>
      <c r="N187" s="699">
        <f t="shared" si="493"/>
        <v>1</v>
      </c>
      <c r="O187" s="699">
        <f t="shared" si="493"/>
        <v>1</v>
      </c>
      <c r="P187" s="699">
        <f t="shared" si="493"/>
        <v>1</v>
      </c>
      <c r="Q187" s="699">
        <f t="shared" si="493"/>
        <v>1</v>
      </c>
      <c r="R187" s="699">
        <f t="shared" si="493"/>
        <v>1</v>
      </c>
      <c r="T187" s="719">
        <f t="shared" si="429"/>
        <v>1</v>
      </c>
      <c r="U187" s="191"/>
      <c r="V187" s="61"/>
      <c r="W187" s="61"/>
      <c r="X187" s="61">
        <f>'Manuell filtrering og justering'!E80</f>
        <v>0</v>
      </c>
      <c r="Y187" s="61"/>
      <c r="Z187" s="714">
        <f t="shared" ref="Z187" si="494">Z188</f>
        <v>1</v>
      </c>
      <c r="AA187" s="719">
        <f t="shared" si="431"/>
        <v>0</v>
      </c>
      <c r="AB187" s="793">
        <f>SUM(AB188)</f>
        <v>1</v>
      </c>
      <c r="AD187" s="150">
        <f t="shared" si="432"/>
        <v>7.8947368421052634E-3</v>
      </c>
      <c r="AE187" s="687">
        <f>SUM(AE188)</f>
        <v>0</v>
      </c>
      <c r="AF187" s="687">
        <f t="shared" ref="AF187" si="495">SUM(AF188)</f>
        <v>0</v>
      </c>
      <c r="AG187" s="687">
        <f t="shared" ref="AG187" si="496">SUM(AG188)</f>
        <v>0</v>
      </c>
      <c r="AI187" s="714">
        <f t="shared" ref="AI187" si="497">AI188</f>
        <v>0</v>
      </c>
      <c r="AJ187" s="714">
        <f t="shared" ref="AJ187" si="498">AJ188</f>
        <v>0</v>
      </c>
      <c r="AK187" s="714">
        <f t="shared" ref="AK187" si="499">AK188</f>
        <v>0</v>
      </c>
      <c r="AM187" s="251"/>
      <c r="AN187" s="252"/>
      <c r="AO187" s="252"/>
      <c r="AP187" s="159"/>
      <c r="AQ187" s="164"/>
      <c r="AR187" s="123"/>
      <c r="AS187" s="250"/>
      <c r="AT187" s="159"/>
      <c r="AU187" s="159"/>
      <c r="AV187" s="159"/>
      <c r="AW187" s="164"/>
      <c r="AY187" s="146"/>
      <c r="AZ187" s="43"/>
      <c r="BA187" s="43"/>
      <c r="BB187" s="147"/>
      <c r="BC187" s="147"/>
      <c r="BD187" s="160">
        <f t="shared" si="460"/>
        <v>9</v>
      </c>
      <c r="BE187" s="45" t="str">
        <f t="shared" si="438"/>
        <v>N/A</v>
      </c>
      <c r="BF187" s="163"/>
      <c r="BG187" s="160">
        <f t="shared" si="461"/>
        <v>9</v>
      </c>
      <c r="BH187" s="45" t="str">
        <f t="shared" si="440"/>
        <v>N/A</v>
      </c>
      <c r="BI187" s="163"/>
      <c r="BJ187" s="160">
        <f t="shared" si="462"/>
        <v>9</v>
      </c>
      <c r="BK187" s="45" t="str">
        <f t="shared" si="442"/>
        <v>N/A</v>
      </c>
      <c r="BL187" s="163"/>
      <c r="BO187" s="43"/>
      <c r="BP187" s="43"/>
      <c r="BQ187" s="43" t="str">
        <f t="shared" si="340"/>
        <v/>
      </c>
      <c r="BR187" s="43">
        <f t="shared" si="393"/>
        <v>9</v>
      </c>
      <c r="BS187" s="43">
        <f t="shared" si="394"/>
        <v>9</v>
      </c>
      <c r="BT187" s="43">
        <f t="shared" si="395"/>
        <v>9</v>
      </c>
      <c r="BW187" s="43" t="str">
        <f>D187</f>
        <v>LE 06</v>
      </c>
      <c r="BX187" s="43" t="str">
        <f>IFERROR(VLOOKUP($E187,'Pre-Assessment Estimator'!$E$11:$AB$228,'Pre-Assessment Estimator'!AB$2,FALSE),"")</f>
        <v>N/A</v>
      </c>
      <c r="BY187" s="43">
        <f>IFERROR(VLOOKUP($E187,'Pre-Assessment Estimator'!$E$11:$AI$228,'Pre-Assessment Estimator'!AI$2,FALSE),"")</f>
        <v>0</v>
      </c>
      <c r="BZ187" s="43">
        <f>IFERROR(VLOOKUP($BX187,$E$294:$H$327,F$292,FALSE),"")</f>
        <v>1</v>
      </c>
      <c r="CA187" s="43">
        <f>IFERROR(VLOOKUP($BX187,$E$294:$H$327,G$292,FALSE),"")</f>
        <v>0</v>
      </c>
      <c r="CB187" s="43"/>
      <c r="CC187" t="str">
        <f>IFERROR(VLOOKUP($BX187,$E$294:$H$327,I$292,FALSE),"")</f>
        <v/>
      </c>
    </row>
    <row r="188" spans="1:81" x14ac:dyDescent="0.25">
      <c r="A188">
        <v>180</v>
      </c>
      <c r="B188" t="str">
        <f t="shared" ref="B188" si="500">$D$187&amp;D188</f>
        <v>LE 06a</v>
      </c>
      <c r="D188" s="146" t="s">
        <v>673</v>
      </c>
      <c r="E188" s="1406" t="s">
        <v>1817</v>
      </c>
      <c r="F188" s="582">
        <v>1</v>
      </c>
      <c r="G188" s="582">
        <v>1</v>
      </c>
      <c r="H188" s="582">
        <v>1</v>
      </c>
      <c r="I188" s="582">
        <v>1</v>
      </c>
      <c r="J188" s="582">
        <v>1</v>
      </c>
      <c r="K188" s="582">
        <v>1</v>
      </c>
      <c r="L188" s="582">
        <v>1</v>
      </c>
      <c r="M188" s="582">
        <v>1</v>
      </c>
      <c r="N188" s="582">
        <v>1</v>
      </c>
      <c r="O188" s="582">
        <v>1</v>
      </c>
      <c r="P188" s="582">
        <v>1</v>
      </c>
      <c r="Q188" s="582">
        <v>1</v>
      </c>
      <c r="R188" s="582">
        <v>1</v>
      </c>
      <c r="T188" s="148">
        <f t="shared" si="429"/>
        <v>1</v>
      </c>
      <c r="U188" s="167"/>
      <c r="V188" s="48"/>
      <c r="W188" s="48"/>
      <c r="X188" s="43"/>
      <c r="Y188" s="147"/>
      <c r="Z188" s="147">
        <f>VLOOKUP(B188,'Manuell filtrering og justering'!$A$7:$H$253,'Manuell filtrering og justering'!$H$1,FALSE)</f>
        <v>1</v>
      </c>
      <c r="AA188" s="148">
        <f t="shared" si="431"/>
        <v>0</v>
      </c>
      <c r="AB188" s="149">
        <f>IF($AC$5='Manuell filtrering og justering'!$J$2,Z188,(T188-AA188))</f>
        <v>1</v>
      </c>
      <c r="AD188" s="150">
        <f t="shared" si="432"/>
        <v>7.8947368421052634E-3</v>
      </c>
      <c r="AE188" s="150">
        <f t="shared" si="444"/>
        <v>0</v>
      </c>
      <c r="AF188" s="150">
        <f t="shared" si="445"/>
        <v>0</v>
      </c>
      <c r="AG188" s="150">
        <f t="shared" si="446"/>
        <v>0</v>
      </c>
      <c r="AI188" s="151">
        <f>IF(VLOOKUP(E188,'Pre-Assessment Estimator'!$E$11:$Z$228,'Pre-Assessment Estimator'!$G$2,FALSE)&gt;AB188,AB188,VLOOKUP(E188,'Pre-Assessment Estimator'!$E$11:$Z$228,'Pre-Assessment Estimator'!$G$2,FALSE))</f>
        <v>0</v>
      </c>
      <c r="AJ188" s="151">
        <f>IF(VLOOKUP(E188,'Pre-Assessment Estimator'!$E$11:$Z$228,'Pre-Assessment Estimator'!$N$2,FALSE)&gt;AB188,AB188,VLOOKUP(E188,'Pre-Assessment Estimator'!$E$11:$Z$228,'Pre-Assessment Estimator'!$N$2,FALSE))</f>
        <v>0</v>
      </c>
      <c r="AK188" s="151">
        <f>IF(VLOOKUP(E188,'Pre-Assessment Estimator'!$E$11:$Z$228,'Pre-Assessment Estimator'!$U$2,FALSE)&gt;AB188,AB188,VLOOKUP(E188,'Pre-Assessment Estimator'!$E$11:$Z$228,'Pre-Assessment Estimator'!$U$2,FALSE))</f>
        <v>0</v>
      </c>
      <c r="AM188" s="251"/>
      <c r="AN188" s="252"/>
      <c r="AO188" s="252"/>
      <c r="AP188" s="159">
        <v>1</v>
      </c>
      <c r="AQ188" s="164">
        <v>1</v>
      </c>
      <c r="AR188" s="123"/>
      <c r="AS188" s="250"/>
      <c r="AT188" s="159"/>
      <c r="AU188" s="159"/>
      <c r="AV188" s="159">
        <v>1</v>
      </c>
      <c r="AW188" s="164">
        <v>1</v>
      </c>
      <c r="AY188" s="146"/>
      <c r="AZ188" s="43"/>
      <c r="BA188" s="43"/>
      <c r="BB188" s="161">
        <f>IF($AB188=0,0,IF($E$6=$H$9,AV188,AP188))</f>
        <v>1</v>
      </c>
      <c r="BC188" s="161">
        <f>IF($AB188=0,0,IF($E$6=$H$9,AW188,AQ188))</f>
        <v>1</v>
      </c>
      <c r="BD188" s="160">
        <f t="shared" si="460"/>
        <v>3</v>
      </c>
      <c r="BE188" s="45" t="str">
        <f t="shared" si="438"/>
        <v>Very Good</v>
      </c>
      <c r="BF188" s="163"/>
      <c r="BG188" s="160">
        <f t="shared" si="461"/>
        <v>3</v>
      </c>
      <c r="BH188" s="45" t="str">
        <f t="shared" si="440"/>
        <v>Very Good</v>
      </c>
      <c r="BI188" s="163"/>
      <c r="BJ188" s="160">
        <f t="shared" si="462"/>
        <v>3</v>
      </c>
      <c r="BK188" s="45" t="str">
        <f t="shared" si="442"/>
        <v>Very Good</v>
      </c>
      <c r="BL188" s="163"/>
      <c r="BO188" s="43"/>
      <c r="BP188" s="43">
        <v>1</v>
      </c>
      <c r="BQ188" s="43">
        <f t="shared" si="340"/>
        <v>1</v>
      </c>
      <c r="BR188" s="43">
        <f t="shared" si="393"/>
        <v>0</v>
      </c>
      <c r="BS188" s="43">
        <f t="shared" si="394"/>
        <v>0</v>
      </c>
      <c r="BT188" s="43">
        <f t="shared" si="395"/>
        <v>0</v>
      </c>
      <c r="BW188" s="63"/>
      <c r="BX188" s="63"/>
      <c r="BY188" s="63"/>
      <c r="BZ188" s="63"/>
      <c r="CA188" s="63"/>
      <c r="CB188" s="63"/>
    </row>
    <row r="189" spans="1:81" x14ac:dyDescent="0.25">
      <c r="A189">
        <v>181</v>
      </c>
      <c r="B189" s="121" t="str">
        <f>D189</f>
        <v>LE 07</v>
      </c>
      <c r="C189" s="121"/>
      <c r="D189" s="638" t="s">
        <v>460</v>
      </c>
      <c r="E189" s="636" t="s">
        <v>671</v>
      </c>
      <c r="F189" s="699">
        <f>SUM(F190:F191)</f>
        <v>2</v>
      </c>
      <c r="G189" s="699">
        <f t="shared" ref="G189:R189" si="501">SUM(G190:G191)</f>
        <v>2</v>
      </c>
      <c r="H189" s="699">
        <f t="shared" si="501"/>
        <v>2</v>
      </c>
      <c r="I189" s="699">
        <f t="shared" si="501"/>
        <v>2</v>
      </c>
      <c r="J189" s="699">
        <f t="shared" si="501"/>
        <v>2</v>
      </c>
      <c r="K189" s="699">
        <f t="shared" si="501"/>
        <v>2</v>
      </c>
      <c r="L189" s="699">
        <f t="shared" si="501"/>
        <v>2</v>
      </c>
      <c r="M189" s="699">
        <f t="shared" si="501"/>
        <v>2</v>
      </c>
      <c r="N189" s="699">
        <f t="shared" si="501"/>
        <v>2</v>
      </c>
      <c r="O189" s="699">
        <f t="shared" si="501"/>
        <v>2</v>
      </c>
      <c r="P189" s="699">
        <f t="shared" si="501"/>
        <v>2</v>
      </c>
      <c r="Q189" s="699">
        <f t="shared" ref="Q189" si="502">SUM(Q190:Q191)</f>
        <v>2</v>
      </c>
      <c r="R189" s="699">
        <f t="shared" si="501"/>
        <v>2</v>
      </c>
      <c r="T189" s="719">
        <f t="shared" si="429"/>
        <v>2</v>
      </c>
      <c r="U189" s="545"/>
      <c r="V189" s="720"/>
      <c r="W189" s="720"/>
      <c r="X189" s="61">
        <f>'Manuell filtrering og justering'!E81</f>
        <v>0</v>
      </c>
      <c r="Y189" s="61"/>
      <c r="Z189" s="714">
        <f t="shared" ref="Z189" si="503">SUM(Z190:Z191)</f>
        <v>2</v>
      </c>
      <c r="AA189" s="719">
        <f t="shared" si="431"/>
        <v>0</v>
      </c>
      <c r="AB189" s="793">
        <f t="shared" ref="AB189" si="504">SUM(AB190:AB191)</f>
        <v>2</v>
      </c>
      <c r="AD189" s="150">
        <f t="shared" si="432"/>
        <v>1.5789473684210527E-2</v>
      </c>
      <c r="AE189" s="687">
        <f>SUM(AE190:AE191)</f>
        <v>0</v>
      </c>
      <c r="AF189" s="687">
        <f t="shared" ref="AF189:AG189" si="505">SUM(AF190:AF191)</f>
        <v>0</v>
      </c>
      <c r="AG189" s="687">
        <f t="shared" si="505"/>
        <v>0</v>
      </c>
      <c r="AI189" s="714">
        <f t="shared" ref="AI189" si="506">SUM(AI190:AI191)</f>
        <v>0</v>
      </c>
      <c r="AJ189" s="714">
        <f t="shared" ref="AJ189" si="507">SUM(AJ190:AJ191)</f>
        <v>0</v>
      </c>
      <c r="AK189" s="714">
        <f t="shared" ref="AK189" si="508">SUM(AK190:AK191)</f>
        <v>0</v>
      </c>
      <c r="AM189" s="251"/>
      <c r="AN189" s="252"/>
      <c r="AO189" s="252"/>
      <c r="AP189" s="252"/>
      <c r="AQ189" s="253"/>
      <c r="AR189" s="123"/>
      <c r="AS189" s="251"/>
      <c r="AT189" s="252"/>
      <c r="AU189" s="252"/>
      <c r="AV189" s="252"/>
      <c r="AW189" s="253"/>
      <c r="AY189" s="146"/>
      <c r="AZ189" s="43"/>
      <c r="BA189" s="43"/>
      <c r="BB189" s="43"/>
      <c r="BC189" s="147"/>
      <c r="BD189" s="160">
        <f t="shared" si="460"/>
        <v>9</v>
      </c>
      <c r="BE189" s="45" t="str">
        <f t="shared" si="438"/>
        <v>N/A</v>
      </c>
      <c r="BF189" s="163"/>
      <c r="BG189" s="160">
        <f t="shared" si="461"/>
        <v>9</v>
      </c>
      <c r="BH189" s="45" t="str">
        <f t="shared" si="440"/>
        <v>N/A</v>
      </c>
      <c r="BI189" s="163"/>
      <c r="BJ189" s="160">
        <f t="shared" si="462"/>
        <v>9</v>
      </c>
      <c r="BK189" s="45" t="str">
        <f t="shared" si="442"/>
        <v>N/A</v>
      </c>
      <c r="BL189" s="163"/>
      <c r="BO189" s="43"/>
      <c r="BP189" s="43"/>
      <c r="BQ189" s="43" t="str">
        <f t="shared" si="340"/>
        <v/>
      </c>
      <c r="BR189" s="43">
        <f t="shared" si="393"/>
        <v>9</v>
      </c>
      <c r="BS189" s="43">
        <f t="shared" si="394"/>
        <v>9</v>
      </c>
      <c r="BT189" s="43">
        <f t="shared" si="395"/>
        <v>9</v>
      </c>
      <c r="BW189" s="63" t="str">
        <f>D189</f>
        <v>LE 07</v>
      </c>
      <c r="BX189" s="63"/>
      <c r="BY189" s="63"/>
      <c r="BZ189" s="63"/>
      <c r="CA189" s="63"/>
      <c r="CB189" s="63"/>
    </row>
    <row r="190" spans="1:81" x14ac:dyDescent="0.25">
      <c r="A190">
        <v>182</v>
      </c>
      <c r="D190" s="146" t="s">
        <v>673</v>
      </c>
      <c r="E190" s="705" t="s">
        <v>961</v>
      </c>
      <c r="F190" s="582"/>
      <c r="G190" s="582"/>
      <c r="H190" s="582"/>
      <c r="I190" s="582"/>
      <c r="J190" s="582"/>
      <c r="K190" s="582"/>
      <c r="L190" s="582"/>
      <c r="M190" s="582"/>
      <c r="N190" s="582"/>
      <c r="O190" s="582"/>
      <c r="P190" s="582"/>
      <c r="Q190" s="582"/>
      <c r="R190" s="582"/>
      <c r="T190" s="148">
        <f t="shared" si="429"/>
        <v>0</v>
      </c>
      <c r="U190" s="167"/>
      <c r="V190" s="48"/>
      <c r="W190" s="48"/>
      <c r="X190" s="43"/>
      <c r="Y190" s="147"/>
      <c r="Z190" s="147"/>
      <c r="AA190" s="148">
        <f t="shared" si="431"/>
        <v>0</v>
      </c>
      <c r="AB190" s="149">
        <f>IF($AC$5='Manuell filtrering og justering'!$J$2,Z190,(T190-AA190))</f>
        <v>0</v>
      </c>
      <c r="AD190" s="150">
        <f t="shared" si="432"/>
        <v>0</v>
      </c>
      <c r="AE190" s="150">
        <f t="shared" si="444"/>
        <v>0</v>
      </c>
      <c r="AF190" s="150">
        <f t="shared" si="445"/>
        <v>0</v>
      </c>
      <c r="AG190" s="150">
        <f t="shared" si="446"/>
        <v>0</v>
      </c>
      <c r="AI190" s="151">
        <f>IF(VLOOKUP(E190,'Pre-Assessment Estimator'!$E$11:$Z$228,'Pre-Assessment Estimator'!$G$2,FALSE)&gt;AB190,AB190,VLOOKUP(E190,'Pre-Assessment Estimator'!$E$11:$Z$228,'Pre-Assessment Estimator'!$G$2,FALSE))</f>
        <v>0</v>
      </c>
      <c r="AJ190" s="151">
        <f>IF(VLOOKUP(E190,'Pre-Assessment Estimator'!$E$11:$Z$228,'Pre-Assessment Estimator'!$N$2,FALSE)&gt;AB190,AB190,VLOOKUP(E190,'Pre-Assessment Estimator'!$E$11:$Z$228,'Pre-Assessment Estimator'!$N$2,FALSE))</f>
        <v>0</v>
      </c>
      <c r="AK190" s="151">
        <f>IF(VLOOKUP(E190,'Pre-Assessment Estimator'!$E$11:$Z$228,'Pre-Assessment Estimator'!$U$2,FALSE)&gt;AB190,AB190,VLOOKUP(E190,'Pre-Assessment Estimator'!$E$11:$Z$228,'Pre-Assessment Estimator'!$U$2,FALSE))</f>
        <v>0</v>
      </c>
      <c r="AM190" s="653"/>
      <c r="AN190" s="654"/>
      <c r="AO190" s="654"/>
      <c r="AP190" s="654"/>
      <c r="AQ190" s="646"/>
      <c r="AR190" s="123"/>
      <c r="AS190" s="653"/>
      <c r="AT190" s="654"/>
      <c r="AU190" s="654"/>
      <c r="AV190" s="654"/>
      <c r="AW190" s="646"/>
      <c r="AY190" s="167"/>
      <c r="AZ190" s="48"/>
      <c r="BA190" s="48"/>
      <c r="BB190" s="48"/>
      <c r="BC190" s="655"/>
      <c r="BD190" s="160">
        <f t="shared" si="460"/>
        <v>9</v>
      </c>
      <c r="BE190" s="45" t="str">
        <f t="shared" si="438"/>
        <v>N/A</v>
      </c>
      <c r="BF190" s="163"/>
      <c r="BG190" s="160">
        <f t="shared" si="461"/>
        <v>9</v>
      </c>
      <c r="BH190" s="45" t="str">
        <f t="shared" si="440"/>
        <v>N/A</v>
      </c>
      <c r="BI190" s="163"/>
      <c r="BJ190" s="160">
        <f t="shared" si="462"/>
        <v>9</v>
      </c>
      <c r="BK190" s="45" t="str">
        <f t="shared" si="442"/>
        <v>N/A</v>
      </c>
      <c r="BL190" s="650"/>
      <c r="BO190" s="43"/>
      <c r="BP190" s="43"/>
      <c r="BQ190" s="43" t="str">
        <f t="shared" si="340"/>
        <v/>
      </c>
      <c r="BR190" s="43">
        <f t="shared" si="393"/>
        <v>9</v>
      </c>
      <c r="BS190" s="43">
        <f t="shared" si="394"/>
        <v>9</v>
      </c>
      <c r="BT190" s="43">
        <f t="shared" si="395"/>
        <v>9</v>
      </c>
      <c r="BW190" s="63"/>
      <c r="BX190" s="63"/>
      <c r="BY190" s="63"/>
      <c r="BZ190" s="63"/>
      <c r="CA190" s="63"/>
      <c r="CB190" s="63"/>
    </row>
    <row r="191" spans="1:81" x14ac:dyDescent="0.25">
      <c r="A191">
        <v>183</v>
      </c>
      <c r="B191" t="str">
        <f t="shared" ref="B191" si="509">$D$189&amp;D191</f>
        <v>LE 07b</v>
      </c>
      <c r="D191" s="146" t="s">
        <v>676</v>
      </c>
      <c r="E191" s="826" t="s">
        <v>666</v>
      </c>
      <c r="F191" s="582">
        <v>2</v>
      </c>
      <c r="G191" s="582">
        <v>2</v>
      </c>
      <c r="H191" s="582">
        <v>2</v>
      </c>
      <c r="I191" s="582">
        <v>2</v>
      </c>
      <c r="J191" s="582">
        <v>2</v>
      </c>
      <c r="K191" s="582">
        <v>2</v>
      </c>
      <c r="L191" s="582">
        <v>2</v>
      </c>
      <c r="M191" s="582">
        <v>2</v>
      </c>
      <c r="N191" s="582">
        <v>2</v>
      </c>
      <c r="O191" s="582">
        <v>2</v>
      </c>
      <c r="P191" s="582">
        <v>2</v>
      </c>
      <c r="Q191" s="582">
        <v>2</v>
      </c>
      <c r="R191" s="582">
        <v>2</v>
      </c>
      <c r="T191" s="148">
        <f t="shared" si="429"/>
        <v>2</v>
      </c>
      <c r="U191" s="167"/>
      <c r="V191" s="48"/>
      <c r="W191" s="48"/>
      <c r="X191" s="43"/>
      <c r="Y191" s="147"/>
      <c r="Z191" s="147">
        <f>VLOOKUP(B191,'Manuell filtrering og justering'!$A$7:$H$253,'Manuell filtrering og justering'!$H$1,FALSE)</f>
        <v>2</v>
      </c>
      <c r="AA191" s="148">
        <f t="shared" si="431"/>
        <v>0</v>
      </c>
      <c r="AB191" s="149">
        <f>IF($AC$5='Manuell filtrering og justering'!$J$2,Z191,(T191-AA191))</f>
        <v>2</v>
      </c>
      <c r="AD191" s="150">
        <f t="shared" si="432"/>
        <v>1.5789473684210527E-2</v>
      </c>
      <c r="AE191" s="150">
        <f t="shared" si="444"/>
        <v>0</v>
      </c>
      <c r="AF191" s="150">
        <f t="shared" si="445"/>
        <v>0</v>
      </c>
      <c r="AG191" s="150">
        <f t="shared" si="446"/>
        <v>0</v>
      </c>
      <c r="AI191" s="794">
        <f>IF(AI247=AD_no,0,IF(VLOOKUP(E191,'Pre-Assessment Estimator'!$E$11:$Z$228,'Pre-Assessment Estimator'!$G$2,FALSE)&gt;AB191,AB191,VLOOKUP(E191,'Pre-Assessment Estimator'!$E$11:$Z$228,'Pre-Assessment Estimator'!$G$2,FALSE)))</f>
        <v>0</v>
      </c>
      <c r="AJ191" s="794">
        <f>IF(AJ247=AD_no,0,IF(VLOOKUP(E191,'Pre-Assessment Estimator'!$E$11:$Z$228,'Pre-Assessment Estimator'!$N$2,FALSE)&gt;AB191,AB191,VLOOKUP(E191,'Pre-Assessment Estimator'!$E$11:$Z$228,'Pre-Assessment Estimator'!$N$2,FALSE)))</f>
        <v>0</v>
      </c>
      <c r="AK191" s="794">
        <f>IF(AK247=AD_no,0,IF(VLOOKUP(E191,'Pre-Assessment Estimator'!$E$11:$Z$228,'Pre-Assessment Estimator'!$U$2,FALSE)&gt;AB191,AB191,VLOOKUP(E191,'Pre-Assessment Estimator'!$E$11:$Z$228,'Pre-Assessment Estimator'!$U$2,FALSE)))</f>
        <v>0</v>
      </c>
      <c r="AM191" s="653"/>
      <c r="AN191" s="654"/>
      <c r="AO191" s="654"/>
      <c r="AP191" s="654"/>
      <c r="AQ191" s="646"/>
      <c r="AR191" s="123"/>
      <c r="AS191" s="653"/>
      <c r="AT191" s="654"/>
      <c r="AU191" s="654"/>
      <c r="AV191" s="654"/>
      <c r="AW191" s="646"/>
      <c r="AY191" s="167"/>
      <c r="AZ191" s="48"/>
      <c r="BA191" s="48"/>
      <c r="BB191" s="48"/>
      <c r="BC191" s="655"/>
      <c r="BD191" s="160">
        <f t="shared" si="460"/>
        <v>9</v>
      </c>
      <c r="BE191" s="45" t="str">
        <f t="shared" si="438"/>
        <v>N/A</v>
      </c>
      <c r="BF191" s="163"/>
      <c r="BG191" s="160">
        <f t="shared" si="461"/>
        <v>9</v>
      </c>
      <c r="BH191" s="45" t="str">
        <f t="shared" si="440"/>
        <v>N/A</v>
      </c>
      <c r="BI191" s="163"/>
      <c r="BJ191" s="160">
        <f t="shared" si="462"/>
        <v>9</v>
      </c>
      <c r="BK191" s="45" t="str">
        <f t="shared" si="442"/>
        <v>N/A</v>
      </c>
      <c r="BL191" s="650"/>
      <c r="BO191" s="43"/>
      <c r="BP191" s="43"/>
      <c r="BQ191" s="43" t="str">
        <f t="shared" si="340"/>
        <v/>
      </c>
      <c r="BR191" s="43">
        <f t="shared" si="393"/>
        <v>9</v>
      </c>
      <c r="BS191" s="43">
        <f t="shared" si="394"/>
        <v>9</v>
      </c>
      <c r="BT191" s="43">
        <f t="shared" si="395"/>
        <v>9</v>
      </c>
      <c r="BW191" s="63"/>
      <c r="BX191" s="63"/>
      <c r="BY191" s="63"/>
      <c r="BZ191" s="63"/>
      <c r="CA191" s="63"/>
      <c r="CB191" s="63"/>
    </row>
    <row r="192" spans="1:81" ht="15.75" thickBot="1" x14ac:dyDescent="0.3">
      <c r="A192">
        <v>184</v>
      </c>
      <c r="B192" s="121" t="str">
        <f>D192</f>
        <v>LE 08</v>
      </c>
      <c r="C192" s="121"/>
      <c r="D192" s="638" t="s">
        <v>461</v>
      </c>
      <c r="E192" s="636" t="s">
        <v>672</v>
      </c>
      <c r="F192" s="699">
        <f>SUM(F193:F196)</f>
        <v>3</v>
      </c>
      <c r="G192" s="699">
        <f t="shared" ref="G192:R192" si="510">SUM(G193:G196)</f>
        <v>3</v>
      </c>
      <c r="H192" s="699">
        <f t="shared" si="510"/>
        <v>3</v>
      </c>
      <c r="I192" s="699">
        <f t="shared" si="510"/>
        <v>3</v>
      </c>
      <c r="J192" s="699">
        <f t="shared" si="510"/>
        <v>3</v>
      </c>
      <c r="K192" s="699">
        <f t="shared" si="510"/>
        <v>3</v>
      </c>
      <c r="L192" s="699">
        <f t="shared" si="510"/>
        <v>3</v>
      </c>
      <c r="M192" s="699">
        <f t="shared" si="510"/>
        <v>3</v>
      </c>
      <c r="N192" s="699">
        <f t="shared" si="510"/>
        <v>3</v>
      </c>
      <c r="O192" s="699">
        <f t="shared" si="510"/>
        <v>3</v>
      </c>
      <c r="P192" s="699">
        <f t="shared" si="510"/>
        <v>3</v>
      </c>
      <c r="Q192" s="699">
        <f t="shared" ref="Q192" si="511">SUM(Q193:Q196)</f>
        <v>3</v>
      </c>
      <c r="R192" s="699">
        <f t="shared" si="510"/>
        <v>3</v>
      </c>
      <c r="T192" s="719">
        <f t="shared" si="429"/>
        <v>3</v>
      </c>
      <c r="U192" s="545"/>
      <c r="V192" s="720"/>
      <c r="W192" s="720"/>
      <c r="X192" s="61">
        <f>'Manuell filtrering og justering'!E82</f>
        <v>0</v>
      </c>
      <c r="Y192" s="61"/>
      <c r="Z192" s="714">
        <f t="shared" ref="Z192" si="512">SUM(Z193:Z196)</f>
        <v>1</v>
      </c>
      <c r="AA192" s="719">
        <f t="shared" si="431"/>
        <v>0</v>
      </c>
      <c r="AB192" s="793">
        <f>SUM(AB193:AB196)</f>
        <v>3</v>
      </c>
      <c r="AD192" s="150">
        <f t="shared" si="432"/>
        <v>2.368421052631579E-2</v>
      </c>
      <c r="AE192" s="687">
        <f>SUM(AE193:AE196)</f>
        <v>0</v>
      </c>
      <c r="AF192" s="687">
        <f t="shared" ref="AF192" si="513">SUM(AF193:AF196)</f>
        <v>0</v>
      </c>
      <c r="AG192" s="687">
        <f t="shared" ref="AG192" si="514">SUM(AG193:AG196)</f>
        <v>0</v>
      </c>
      <c r="AI192" s="714">
        <f t="shared" ref="AI192" si="515">SUM(AI193:AI196)</f>
        <v>0</v>
      </c>
      <c r="AJ192" s="714">
        <f t="shared" ref="AJ192" si="516">SUM(AJ193:AJ196)</f>
        <v>0</v>
      </c>
      <c r="AK192" s="714">
        <f t="shared" ref="AK192" si="517">SUM(AK193:AK196)</f>
        <v>0</v>
      </c>
      <c r="AM192" s="254"/>
      <c r="AN192" s="255"/>
      <c r="AO192" s="255"/>
      <c r="AP192" s="255"/>
      <c r="AQ192" s="256"/>
      <c r="AR192" s="123"/>
      <c r="AS192" s="254"/>
      <c r="AT192" s="255"/>
      <c r="AU192" s="255"/>
      <c r="AV192" s="255"/>
      <c r="AW192" s="256"/>
      <c r="AY192" s="168"/>
      <c r="AZ192" s="170"/>
      <c r="BA192" s="170"/>
      <c r="BB192" s="170"/>
      <c r="BC192" s="171"/>
      <c r="BD192" s="172">
        <f t="shared" ref="BD192:BD196" si="518">IF(BC192=0,9,IF(AI192&gt;=BC192,5,IF(AI192&gt;=BB192,4,IF(AI192&gt;=BA192,3,IF(AI192&gt;=AZ192,2,IF(AI192&lt;AY192,0,1))))))</f>
        <v>9</v>
      </c>
      <c r="BE192" s="45" t="str">
        <f t="shared" si="438"/>
        <v>N/A</v>
      </c>
      <c r="BF192" s="173"/>
      <c r="BG192" s="172">
        <f t="shared" ref="BG192:BG196" si="519">IF(BC192=0,9,IF(AJ192&gt;=BC192,5,IF(AJ192&gt;=BB192,4,IF(AJ192&gt;=BA192,3,IF(AJ192&gt;=AZ192,2,IF(AJ192&lt;AY192,0,1))))))</f>
        <v>9</v>
      </c>
      <c r="BH192" s="45" t="str">
        <f t="shared" si="440"/>
        <v>N/A</v>
      </c>
      <c r="BI192" s="173"/>
      <c r="BJ192" s="172">
        <f t="shared" ref="BJ192:BJ196" si="520">IF(BC192=0,9,IF(AK192&gt;=BC192,5,IF(AK192&gt;=BB192,4,IF(AK192&gt;=BA192,3,IF(AK192&gt;=AZ192,2,IF(AK192&lt;AY192,0,1))))))</f>
        <v>9</v>
      </c>
      <c r="BK192" s="45" t="str">
        <f t="shared" si="442"/>
        <v>N/A</v>
      </c>
      <c r="BL192" s="173"/>
      <c r="BO192" s="43"/>
      <c r="BP192" s="43"/>
      <c r="BQ192" s="43" t="str">
        <f t="shared" si="340"/>
        <v/>
      </c>
      <c r="BR192" s="43">
        <f t="shared" si="393"/>
        <v>9</v>
      </c>
      <c r="BS192" s="43">
        <f t="shared" si="394"/>
        <v>9</v>
      </c>
      <c r="BT192" s="43">
        <f t="shared" si="395"/>
        <v>9</v>
      </c>
      <c r="BW192" s="63" t="str">
        <f>D192</f>
        <v>LE 08</v>
      </c>
      <c r="BX192" s="63"/>
      <c r="BY192" s="63"/>
      <c r="BZ192" s="63"/>
      <c r="CA192" s="63"/>
      <c r="CB192" s="63"/>
    </row>
    <row r="193" spans="1:85" x14ac:dyDescent="0.25">
      <c r="A193">
        <v>185</v>
      </c>
      <c r="D193" s="146" t="s">
        <v>673</v>
      </c>
      <c r="E193" s="705" t="s">
        <v>962</v>
      </c>
      <c r="F193" s="582"/>
      <c r="G193" s="582"/>
      <c r="H193" s="582"/>
      <c r="I193" s="582"/>
      <c r="J193" s="582"/>
      <c r="K193" s="582"/>
      <c r="L193" s="582"/>
      <c r="M193" s="582"/>
      <c r="N193" s="582"/>
      <c r="O193" s="582"/>
      <c r="P193" s="582"/>
      <c r="Q193" s="582"/>
      <c r="R193" s="582"/>
      <c r="T193" s="148">
        <f t="shared" si="429"/>
        <v>0</v>
      </c>
      <c r="U193" s="167"/>
      <c r="V193" s="48"/>
      <c r="W193" s="48"/>
      <c r="X193" s="48"/>
      <c r="Y193" s="655"/>
      <c r="Z193" s="147"/>
      <c r="AA193" s="148">
        <f t="shared" si="431"/>
        <v>0</v>
      </c>
      <c r="AB193" s="149">
        <f>IF($AC$5='Manuell filtrering og justering'!$J$2,Z193,(T193-AA193))</f>
        <v>0</v>
      </c>
      <c r="AD193" s="150">
        <f t="shared" si="432"/>
        <v>0</v>
      </c>
      <c r="AE193" s="150">
        <f t="shared" si="444"/>
        <v>0</v>
      </c>
      <c r="AF193" s="150">
        <f t="shared" si="445"/>
        <v>0</v>
      </c>
      <c r="AG193" s="150">
        <f t="shared" si="446"/>
        <v>0</v>
      </c>
      <c r="AI193" s="151">
        <f>IF(VLOOKUP(E193,'Pre-Assessment Estimator'!$E$11:$Z$228,'Pre-Assessment Estimator'!$G$2,FALSE)&gt;AB193,AB193,VLOOKUP(E193,'Pre-Assessment Estimator'!$E$11:$Z$228,'Pre-Assessment Estimator'!$G$2,FALSE))</f>
        <v>0</v>
      </c>
      <c r="AJ193" s="151">
        <f>IF(VLOOKUP(E193,'Pre-Assessment Estimator'!$E$11:$Z$228,'Pre-Assessment Estimator'!$N$2,FALSE)&gt;AB193,AB193,VLOOKUP(E193,'Pre-Assessment Estimator'!$E$11:$Z$228,'Pre-Assessment Estimator'!$N$2,FALSE))</f>
        <v>0</v>
      </c>
      <c r="AK193" s="151">
        <f>IF(VLOOKUP(E193,'Pre-Assessment Estimator'!$E$11:$Z$228,'Pre-Assessment Estimator'!$U$2,FALSE)&gt;AB193,AB193,VLOOKUP(E193,'Pre-Assessment Estimator'!$E$11:$Z$228,'Pre-Assessment Estimator'!$U$2,FALSE))</f>
        <v>0</v>
      </c>
      <c r="AM193" s="653"/>
      <c r="AN193" s="654"/>
      <c r="AO193" s="654"/>
      <c r="AP193" s="654"/>
      <c r="AQ193" s="646"/>
      <c r="AR193" s="123"/>
      <c r="AS193" s="653"/>
      <c r="AT193" s="654"/>
      <c r="AU193" s="654"/>
      <c r="AV193" s="654"/>
      <c r="AW193" s="646"/>
      <c r="AY193" s="167"/>
      <c r="AZ193" s="48"/>
      <c r="BA193" s="48"/>
      <c r="BB193" s="48"/>
      <c r="BC193" s="655"/>
      <c r="BD193" s="160">
        <f t="shared" si="518"/>
        <v>9</v>
      </c>
      <c r="BE193" s="45" t="str">
        <f t="shared" si="438"/>
        <v>N/A</v>
      </c>
      <c r="BF193" s="163"/>
      <c r="BG193" s="160">
        <f t="shared" si="519"/>
        <v>9</v>
      </c>
      <c r="BH193" s="45" t="str">
        <f t="shared" si="440"/>
        <v>N/A</v>
      </c>
      <c r="BI193" s="163"/>
      <c r="BJ193" s="160">
        <f t="shared" si="520"/>
        <v>9</v>
      </c>
      <c r="BK193" s="45" t="str">
        <f t="shared" si="442"/>
        <v>N/A</v>
      </c>
      <c r="BL193" s="650"/>
      <c r="BO193" s="43"/>
      <c r="BP193" s="43"/>
      <c r="BQ193" s="43" t="str">
        <f t="shared" si="340"/>
        <v/>
      </c>
      <c r="BR193" s="43">
        <f t="shared" si="393"/>
        <v>9</v>
      </c>
      <c r="BS193" s="43">
        <f t="shared" si="394"/>
        <v>9</v>
      </c>
      <c r="BT193" s="43">
        <f t="shared" si="395"/>
        <v>9</v>
      </c>
      <c r="BW193" s="63"/>
      <c r="BX193" s="63"/>
      <c r="BY193" s="63"/>
      <c r="BZ193" s="63"/>
      <c r="CA193" s="63"/>
      <c r="CB193" s="63"/>
    </row>
    <row r="194" spans="1:85" x14ac:dyDescent="0.25">
      <c r="A194">
        <v>186</v>
      </c>
      <c r="B194" t="str">
        <f t="shared" ref="B194:B196" si="521">$D$192&amp;D194</f>
        <v>LE 08b</v>
      </c>
      <c r="D194" s="146" t="s">
        <v>676</v>
      </c>
      <c r="E194" s="826" t="s">
        <v>936</v>
      </c>
      <c r="F194" s="582">
        <v>1</v>
      </c>
      <c r="G194" s="582">
        <v>1</v>
      </c>
      <c r="H194" s="582">
        <v>1</v>
      </c>
      <c r="I194" s="582">
        <v>1</v>
      </c>
      <c r="J194" s="582">
        <v>1</v>
      </c>
      <c r="K194" s="582">
        <v>1</v>
      </c>
      <c r="L194" s="582">
        <v>1</v>
      </c>
      <c r="M194" s="582">
        <v>1</v>
      </c>
      <c r="N194" s="582">
        <v>1</v>
      </c>
      <c r="O194" s="582">
        <v>1</v>
      </c>
      <c r="P194" s="582">
        <v>1</v>
      </c>
      <c r="Q194" s="582">
        <v>1</v>
      </c>
      <c r="R194" s="582">
        <v>1</v>
      </c>
      <c r="T194" s="148">
        <f t="shared" si="429"/>
        <v>1</v>
      </c>
      <c r="U194" s="167"/>
      <c r="V194" s="48"/>
      <c r="W194" s="48"/>
      <c r="X194" s="48"/>
      <c r="Y194" s="655"/>
      <c r="Z194" s="147">
        <f>VLOOKUP(B194,'Manuell filtrering og justering'!$A$7:$H$253,'Manuell filtrering og justering'!$H$1,FALSE)</f>
        <v>1</v>
      </c>
      <c r="AA194" s="148">
        <f t="shared" si="431"/>
        <v>0</v>
      </c>
      <c r="AB194" s="149">
        <f>IF($AC$5='Manuell filtrering og justering'!$J$2,Z194,(T194-AA194))</f>
        <v>1</v>
      </c>
      <c r="AD194" s="150">
        <f t="shared" si="432"/>
        <v>7.8947368421052634E-3</v>
      </c>
      <c r="AE194" s="150">
        <f t="shared" si="444"/>
        <v>0</v>
      </c>
      <c r="AF194" s="150">
        <f t="shared" si="445"/>
        <v>0</v>
      </c>
      <c r="AG194" s="150">
        <f t="shared" si="446"/>
        <v>0</v>
      </c>
      <c r="AI194" s="794">
        <f>IF(AI248=AD_no,0,IF(VLOOKUP(E194,'Pre-Assessment Estimator'!$E$11:$Z$228,'Pre-Assessment Estimator'!$G$2,FALSE)&gt;AB194,AB194,VLOOKUP(E194,'Pre-Assessment Estimator'!$E$11:$Z$228,'Pre-Assessment Estimator'!$G$2,FALSE)))</f>
        <v>0</v>
      </c>
      <c r="AJ194" s="794">
        <f>IF(AJ248=AD_no,0,IF(VLOOKUP(E194,'Pre-Assessment Estimator'!$E$11:$Z$228,'Pre-Assessment Estimator'!$N$2,FALSE)&gt;AB194,AB194,VLOOKUP(E194,'Pre-Assessment Estimator'!$E$11:$Z$228,'Pre-Assessment Estimator'!$N$2,FALSE)))</f>
        <v>0</v>
      </c>
      <c r="AK194" s="794">
        <f>IF(AK248=AD_no,0,IF(VLOOKUP(E194,'Pre-Assessment Estimator'!$E$11:$Z$228,'Pre-Assessment Estimator'!$U$2,FALSE)&gt;AB194,AB194,VLOOKUP(E194,'Pre-Assessment Estimator'!$E$11:$Z$228,'Pre-Assessment Estimator'!$U$2,FALSE)))</f>
        <v>0</v>
      </c>
      <c r="AM194" s="653"/>
      <c r="AN194" s="654"/>
      <c r="AO194" s="654"/>
      <c r="AP194" s="654"/>
      <c r="AQ194" s="646"/>
      <c r="AR194" s="123"/>
      <c r="AS194" s="653"/>
      <c r="AT194" s="654"/>
      <c r="AU194" s="654"/>
      <c r="AV194" s="654"/>
      <c r="AW194" s="646"/>
      <c r="AY194" s="167"/>
      <c r="AZ194" s="48"/>
      <c r="BA194" s="48"/>
      <c r="BB194" s="48"/>
      <c r="BC194" s="655"/>
      <c r="BD194" s="160">
        <f t="shared" si="518"/>
        <v>9</v>
      </c>
      <c r="BE194" s="45" t="str">
        <f t="shared" si="438"/>
        <v>N/A</v>
      </c>
      <c r="BF194" s="163"/>
      <c r="BG194" s="160">
        <f t="shared" si="519"/>
        <v>9</v>
      </c>
      <c r="BH194" s="45" t="str">
        <f t="shared" si="440"/>
        <v>N/A</v>
      </c>
      <c r="BI194" s="163"/>
      <c r="BJ194" s="160">
        <f t="shared" si="520"/>
        <v>9</v>
      </c>
      <c r="BK194" s="45" t="str">
        <f t="shared" si="442"/>
        <v>N/A</v>
      </c>
      <c r="BL194" s="650"/>
      <c r="BO194" s="43"/>
      <c r="BP194" s="43"/>
      <c r="BQ194" s="43" t="str">
        <f t="shared" si="340"/>
        <v/>
      </c>
      <c r="BR194" s="43">
        <f t="shared" si="393"/>
        <v>9</v>
      </c>
      <c r="BS194" s="43">
        <f t="shared" si="394"/>
        <v>9</v>
      </c>
      <c r="BT194" s="43">
        <f t="shared" si="395"/>
        <v>9</v>
      </c>
      <c r="BW194" s="63"/>
      <c r="BX194" s="63"/>
      <c r="BY194" s="63"/>
      <c r="BZ194" s="63"/>
      <c r="CA194" s="63"/>
      <c r="CB194" s="63"/>
    </row>
    <row r="195" spans="1:85" x14ac:dyDescent="0.25">
      <c r="A195">
        <v>187</v>
      </c>
      <c r="B195" t="str">
        <f t="shared" si="521"/>
        <v>LE 08c</v>
      </c>
      <c r="D195" s="167" t="s">
        <v>677</v>
      </c>
      <c r="E195" s="844" t="s">
        <v>668</v>
      </c>
      <c r="F195" s="584">
        <v>1</v>
      </c>
      <c r="G195" s="584">
        <v>1</v>
      </c>
      <c r="H195" s="584">
        <v>1</v>
      </c>
      <c r="I195" s="584">
        <v>1</v>
      </c>
      <c r="J195" s="584">
        <v>1</v>
      </c>
      <c r="K195" s="584">
        <v>1</v>
      </c>
      <c r="L195" s="584">
        <v>1</v>
      </c>
      <c r="M195" s="584">
        <v>1</v>
      </c>
      <c r="N195" s="584">
        <v>1</v>
      </c>
      <c r="O195" s="584">
        <v>1</v>
      </c>
      <c r="P195" s="584">
        <v>1</v>
      </c>
      <c r="Q195" s="584">
        <v>1</v>
      </c>
      <c r="R195" s="584">
        <v>1</v>
      </c>
      <c r="T195" s="148">
        <f t="shared" si="429"/>
        <v>1</v>
      </c>
      <c r="U195" s="167"/>
      <c r="V195" s="48"/>
      <c r="W195" s="48"/>
      <c r="X195" s="48"/>
      <c r="Y195" s="655"/>
      <c r="Z195" s="147">
        <f>VLOOKUP(B195,'Manuell filtrering og justering'!$A$7:$H$253,'Manuell filtrering og justering'!$H$1,FALSE)</f>
        <v>0</v>
      </c>
      <c r="AA195" s="148">
        <f t="shared" si="431"/>
        <v>0</v>
      </c>
      <c r="AB195" s="149">
        <f>IF($AC$5='Manuell filtrering og justering'!$J$2,Z195,(T195-AA195))</f>
        <v>1</v>
      </c>
      <c r="AD195" s="150">
        <f t="shared" ref="AD195" si="522">(LE_Weight/LE_Credits)*AB195</f>
        <v>7.8947368421052634E-3</v>
      </c>
      <c r="AE195" s="150">
        <f t="shared" ref="AE195" si="523">IF(AB195=0,0,(AD195/AB195)*AI195)</f>
        <v>0</v>
      </c>
      <c r="AF195" s="150">
        <f t="shared" ref="AF195" si="524">IF(AB195=0,0,(AD195/AB195)*AJ195)</f>
        <v>0</v>
      </c>
      <c r="AG195" s="150">
        <f t="shared" ref="AG195" si="525">IF(AB195=0,0,(AD195/AB195)*AK195)</f>
        <v>0</v>
      </c>
      <c r="AI195" s="794">
        <f>IF(AI248=AD_no,0,IF(VLOOKUP(E195,'Pre-Assessment Estimator'!$E$11:$Z$228,'Pre-Assessment Estimator'!$G$2,FALSE)&gt;AB195,AB195,VLOOKUP(E195,'Pre-Assessment Estimator'!$E$11:$Z$228,'Pre-Assessment Estimator'!$G$2,FALSE)))</f>
        <v>0</v>
      </c>
      <c r="AJ195" s="794">
        <f>IF(AJ248=AD_no,0,IF(VLOOKUP(E195,'Pre-Assessment Estimator'!$E$11:$Z$228,'Pre-Assessment Estimator'!$N$2,FALSE)&gt;AB195,AB195,VLOOKUP(E195,'Pre-Assessment Estimator'!$E$11:$Z$228,'Pre-Assessment Estimator'!$N$2,FALSE)))</f>
        <v>0</v>
      </c>
      <c r="AK195" s="794">
        <f>IF(AK248=AD_no,0,IF(VLOOKUP(E195,'Pre-Assessment Estimator'!$E$11:$Z$228,'Pre-Assessment Estimator'!$U$2,FALSE)&gt;AB195,AB195,VLOOKUP(E195,'Pre-Assessment Estimator'!$E$11:$Z$228,'Pre-Assessment Estimator'!$U$2,FALSE)))</f>
        <v>0</v>
      </c>
      <c r="AM195" s="653"/>
      <c r="AN195" s="654"/>
      <c r="AO195" s="654"/>
      <c r="AP195" s="654"/>
      <c r="AQ195" s="646"/>
      <c r="AR195" s="123"/>
      <c r="AS195" s="653"/>
      <c r="AT195" s="654"/>
      <c r="AU195" s="654"/>
      <c r="AV195" s="654"/>
      <c r="AW195" s="646"/>
      <c r="AY195" s="167"/>
      <c r="AZ195" s="48"/>
      <c r="BA195" s="48"/>
      <c r="BB195" s="48"/>
      <c r="BC195" s="655"/>
      <c r="BD195" s="160">
        <f t="shared" ref="BD195" si="526">IF(BC195=0,9,IF(AI195&gt;=BC195,5,IF(AI195&gt;=BB195,4,IF(AI195&gt;=BA195,3,IF(AI195&gt;=AZ195,2,IF(AI195&lt;AY195,0,1))))))</f>
        <v>9</v>
      </c>
      <c r="BE195" s="45" t="str">
        <f t="shared" si="438"/>
        <v>N/A</v>
      </c>
      <c r="BF195" s="163"/>
      <c r="BG195" s="160">
        <f t="shared" ref="BG195" si="527">IF(BC195=0,9,IF(AJ195&gt;=BC195,5,IF(AJ195&gt;=BB195,4,IF(AJ195&gt;=BA195,3,IF(AJ195&gt;=AZ195,2,IF(AJ195&lt;AY195,0,1))))))</f>
        <v>9</v>
      </c>
      <c r="BH195" s="45" t="str">
        <f t="shared" si="440"/>
        <v>N/A</v>
      </c>
      <c r="BI195" s="163"/>
      <c r="BJ195" s="160">
        <f t="shared" ref="BJ195" si="528">IF(BC195=0,9,IF(AK195&gt;=BC195,5,IF(AK195&gt;=BB195,4,IF(AK195&gt;=BA195,3,IF(AK195&gt;=AZ195,2,IF(AK195&lt;AY195,0,1))))))</f>
        <v>9</v>
      </c>
      <c r="BK195" s="45" t="str">
        <f t="shared" si="442"/>
        <v>N/A</v>
      </c>
      <c r="BL195" s="650"/>
      <c r="BO195" s="43"/>
      <c r="BP195" s="43"/>
      <c r="BQ195" s="43" t="str">
        <f t="shared" si="340"/>
        <v/>
      </c>
      <c r="BR195" s="43">
        <f t="shared" si="393"/>
        <v>9</v>
      </c>
      <c r="BS195" s="43">
        <f t="shared" si="394"/>
        <v>9</v>
      </c>
      <c r="BT195" s="43">
        <f t="shared" si="395"/>
        <v>9</v>
      </c>
      <c r="BW195" s="63"/>
      <c r="BX195" s="63"/>
      <c r="BY195" s="63"/>
      <c r="BZ195" s="63"/>
      <c r="CA195" s="63"/>
      <c r="CB195" s="63"/>
    </row>
    <row r="196" spans="1:85" ht="15.75" thickBot="1" x14ac:dyDescent="0.3">
      <c r="A196">
        <v>188</v>
      </c>
      <c r="B196" t="str">
        <f t="shared" si="521"/>
        <v>LE 08d</v>
      </c>
      <c r="D196" s="167" t="s">
        <v>675</v>
      </c>
      <c r="E196" s="844" t="s">
        <v>669</v>
      </c>
      <c r="F196" s="584">
        <v>1</v>
      </c>
      <c r="G196" s="584">
        <v>1</v>
      </c>
      <c r="H196" s="584">
        <v>1</v>
      </c>
      <c r="I196" s="584">
        <v>1</v>
      </c>
      <c r="J196" s="584">
        <v>1</v>
      </c>
      <c r="K196" s="584">
        <v>1</v>
      </c>
      <c r="L196" s="584">
        <v>1</v>
      </c>
      <c r="M196" s="584">
        <v>1</v>
      </c>
      <c r="N196" s="584">
        <v>1</v>
      </c>
      <c r="O196" s="584">
        <v>1</v>
      </c>
      <c r="P196" s="584">
        <v>1</v>
      </c>
      <c r="Q196" s="584">
        <v>1</v>
      </c>
      <c r="R196" s="584">
        <v>1</v>
      </c>
      <c r="T196" s="148">
        <f t="shared" si="429"/>
        <v>1</v>
      </c>
      <c r="U196" s="167"/>
      <c r="V196" s="48"/>
      <c r="W196" s="48"/>
      <c r="X196" s="48"/>
      <c r="Y196" s="655"/>
      <c r="Z196" s="147">
        <f>VLOOKUP(B196,'Manuell filtrering og justering'!$A$7:$H$253,'Manuell filtrering og justering'!$H$1,FALSE)</f>
        <v>0</v>
      </c>
      <c r="AA196" s="148">
        <f t="shared" si="431"/>
        <v>0</v>
      </c>
      <c r="AB196" s="149">
        <f>IF($AC$5='Manuell filtrering og justering'!$J$2,Z196,(T196-AA196))</f>
        <v>1</v>
      </c>
      <c r="AD196" s="150">
        <f t="shared" si="432"/>
        <v>7.8947368421052634E-3</v>
      </c>
      <c r="AE196" s="150">
        <f t="shared" si="444"/>
        <v>0</v>
      </c>
      <c r="AF196" s="150">
        <f t="shared" si="445"/>
        <v>0</v>
      </c>
      <c r="AG196" s="150">
        <f t="shared" si="446"/>
        <v>0</v>
      </c>
      <c r="AI196" s="794">
        <f>IF(AI248=AD_no,0,IF(VLOOKUP(E196,'Pre-Assessment Estimator'!$E$11:$Z$228,'Pre-Assessment Estimator'!$G$2,FALSE)&gt;AB196,AB196,VLOOKUP(E196,'Pre-Assessment Estimator'!$E$11:$Z$228,'Pre-Assessment Estimator'!$G$2,FALSE)))</f>
        <v>0</v>
      </c>
      <c r="AJ196" s="794">
        <f>IF(AJ248=AD_no,0,IF(VLOOKUP(E196,'Pre-Assessment Estimator'!$E$11:$Z$228,'Pre-Assessment Estimator'!$N$2,FALSE)&gt;AB196,AB196,VLOOKUP(E196,'Pre-Assessment Estimator'!$E$11:$Z$228,'Pre-Assessment Estimator'!$N$2,FALSE)))</f>
        <v>0</v>
      </c>
      <c r="AK196" s="794">
        <f>IF(AK248=AD_no,0,IF(VLOOKUP(E196,'Pre-Assessment Estimator'!$E$11:$Z$228,'Pre-Assessment Estimator'!$U$2,FALSE)&gt;AB196,AB196,VLOOKUP(E196,'Pre-Assessment Estimator'!$E$11:$Z$228,'Pre-Assessment Estimator'!$U$2,FALSE)))</f>
        <v>0</v>
      </c>
      <c r="AM196" s="653"/>
      <c r="AN196" s="654"/>
      <c r="AO196" s="654"/>
      <c r="AP196" s="654"/>
      <c r="AQ196" s="646"/>
      <c r="AR196" s="123"/>
      <c r="AS196" s="653"/>
      <c r="AT196" s="654"/>
      <c r="AU196" s="654"/>
      <c r="AV196" s="654"/>
      <c r="AW196" s="646"/>
      <c r="AY196" s="167"/>
      <c r="AZ196" s="48"/>
      <c r="BA196" s="48"/>
      <c r="BB196" s="48"/>
      <c r="BC196" s="655"/>
      <c r="BD196" s="160">
        <f t="shared" si="518"/>
        <v>9</v>
      </c>
      <c r="BE196" s="45" t="str">
        <f t="shared" si="438"/>
        <v>N/A</v>
      </c>
      <c r="BF196" s="163"/>
      <c r="BG196" s="160">
        <f t="shared" si="519"/>
        <v>9</v>
      </c>
      <c r="BH196" s="45" t="str">
        <f t="shared" si="440"/>
        <v>N/A</v>
      </c>
      <c r="BI196" s="163"/>
      <c r="BJ196" s="160">
        <f t="shared" si="520"/>
        <v>9</v>
      </c>
      <c r="BK196" s="45" t="str">
        <f t="shared" si="442"/>
        <v>N/A</v>
      </c>
      <c r="BL196" s="650"/>
      <c r="BO196" s="43"/>
      <c r="BP196" s="43"/>
      <c r="BQ196" s="43" t="str">
        <f t="shared" si="340"/>
        <v/>
      </c>
      <c r="BR196" s="43">
        <f t="shared" si="393"/>
        <v>9</v>
      </c>
      <c r="BS196" s="43">
        <f t="shared" si="394"/>
        <v>9</v>
      </c>
      <c r="BT196" s="43">
        <f t="shared" si="395"/>
        <v>9</v>
      </c>
      <c r="BW196" s="63"/>
      <c r="BX196" s="63"/>
      <c r="BY196" s="63"/>
      <c r="BZ196" s="63"/>
      <c r="CA196" s="63"/>
      <c r="CB196" s="63"/>
    </row>
    <row r="197" spans="1:85" ht="15.75" thickBot="1" x14ac:dyDescent="0.3">
      <c r="A197">
        <v>189</v>
      </c>
      <c r="B197" t="s">
        <v>867</v>
      </c>
      <c r="D197" s="174"/>
      <c r="E197" s="50" t="s">
        <v>204</v>
      </c>
      <c r="F197" s="586">
        <f>F169+F171+F175+F179+F183+F187+F189+F192</f>
        <v>19</v>
      </c>
      <c r="G197" s="586">
        <f t="shared" ref="G197:R197" si="529">G169+G171+G175+G179+G183+G187+G189+G192</f>
        <v>19</v>
      </c>
      <c r="H197" s="586">
        <f t="shared" si="529"/>
        <v>19</v>
      </c>
      <c r="I197" s="586">
        <f t="shared" si="529"/>
        <v>19</v>
      </c>
      <c r="J197" s="586">
        <f t="shared" si="529"/>
        <v>19</v>
      </c>
      <c r="K197" s="586">
        <f t="shared" si="529"/>
        <v>19</v>
      </c>
      <c r="L197" s="586">
        <f t="shared" si="529"/>
        <v>19</v>
      </c>
      <c r="M197" s="586">
        <f t="shared" si="529"/>
        <v>19</v>
      </c>
      <c r="N197" s="586">
        <f t="shared" si="529"/>
        <v>19</v>
      </c>
      <c r="O197" s="586">
        <f t="shared" si="529"/>
        <v>19</v>
      </c>
      <c r="P197" s="586">
        <f t="shared" si="529"/>
        <v>19</v>
      </c>
      <c r="Q197" s="843">
        <f t="shared" ref="Q197" si="530">Q169+Q171+Q175+Q179+Q183+Q187+Q189+Q192</f>
        <v>19</v>
      </c>
      <c r="R197" s="843">
        <f t="shared" si="529"/>
        <v>19</v>
      </c>
      <c r="T197" s="195">
        <f t="shared" si="429"/>
        <v>19</v>
      </c>
      <c r="U197" s="176"/>
      <c r="V197" s="177"/>
      <c r="W197" s="177"/>
      <c r="X197" s="177"/>
      <c r="Y197" s="178"/>
      <c r="Z197" s="178"/>
      <c r="AA197" s="587">
        <f t="shared" ref="AA197:AG197" si="531">AA169+AA171+AA175+AA179+AA183+AA187+AA189+AA192</f>
        <v>0</v>
      </c>
      <c r="AB197" s="587">
        <f t="shared" si="531"/>
        <v>19</v>
      </c>
      <c r="AD197" s="180">
        <f t="shared" si="531"/>
        <v>0.15</v>
      </c>
      <c r="AE197" s="180">
        <f t="shared" si="531"/>
        <v>0</v>
      </c>
      <c r="AF197" s="180">
        <f t="shared" si="531"/>
        <v>0</v>
      </c>
      <c r="AG197" s="180">
        <f t="shared" si="531"/>
        <v>0</v>
      </c>
      <c r="AI197" s="72">
        <f t="shared" ref="AI197:AK197" si="532">AI169+AI171+AI175+AI179+AI183+AI187+AI189+AI192</f>
        <v>0</v>
      </c>
      <c r="AJ197" s="72">
        <f t="shared" si="532"/>
        <v>0</v>
      </c>
      <c r="AK197" s="72">
        <f t="shared" si="532"/>
        <v>0</v>
      </c>
      <c r="AM197" s="123"/>
      <c r="AN197" s="123"/>
      <c r="AO197" s="123"/>
      <c r="AP197" s="123"/>
      <c r="AQ197" s="123"/>
      <c r="AR197" s="123"/>
      <c r="AS197" s="123"/>
      <c r="AT197" s="123"/>
      <c r="AU197" s="123"/>
      <c r="AV197" s="123"/>
      <c r="AW197" s="123"/>
      <c r="AZ197" s="181"/>
      <c r="BW197" s="50"/>
      <c r="BX197" s="50" t="str">
        <f>IFERROR(VLOOKUP($E197,'Pre-Assessment Estimator'!$E$11:$AB$228,'Pre-Assessment Estimator'!AB$2,FALSE),"")</f>
        <v/>
      </c>
      <c r="BY197" s="50" t="str">
        <f>IFERROR(VLOOKUP($E197,'Pre-Assessment Estimator'!$E$11:$AI$228,'Pre-Assessment Estimator'!AI$2,FALSE),"")</f>
        <v/>
      </c>
      <c r="BZ197" s="50" t="str">
        <f t="shared" ref="BZ197:CA199" si="533">IFERROR(VLOOKUP($BX197,$E$294:$H$327,F$292,FALSE),"")</f>
        <v/>
      </c>
      <c r="CA197" s="50" t="str">
        <f t="shared" si="533"/>
        <v/>
      </c>
      <c r="CB197" s="50"/>
      <c r="CC197" t="str">
        <f>IFERROR(VLOOKUP($BX197,$E$294:$H$327,I$292,FALSE),"")</f>
        <v/>
      </c>
    </row>
    <row r="198" spans="1:85" ht="15.75" thickBot="1" x14ac:dyDescent="0.3">
      <c r="A198">
        <v>190</v>
      </c>
      <c r="AI198" s="1"/>
      <c r="AJ198" s="1"/>
      <c r="AK198" s="1"/>
      <c r="AM198" s="123"/>
      <c r="AN198" s="123"/>
      <c r="AO198" s="123"/>
      <c r="AP198" s="123"/>
      <c r="AQ198" s="123"/>
      <c r="AR198" s="123"/>
      <c r="AS198" s="123"/>
      <c r="AT198" s="123"/>
      <c r="AU198" s="123"/>
      <c r="AV198" s="123"/>
      <c r="AW198" s="123"/>
      <c r="BX198" t="str">
        <f>IFERROR(VLOOKUP($E198,'Pre-Assessment Estimator'!$E$11:$AB$228,'Pre-Assessment Estimator'!AB$2,FALSE),"")</f>
        <v/>
      </c>
      <c r="BY198" t="str">
        <f>IFERROR(VLOOKUP($E198,'Pre-Assessment Estimator'!$E$11:$AI$228,'Pre-Assessment Estimator'!AI$2,FALSE),"")</f>
        <v/>
      </c>
      <c r="BZ198" t="str">
        <f t="shared" si="533"/>
        <v/>
      </c>
      <c r="CA198" t="str">
        <f t="shared" si="533"/>
        <v/>
      </c>
      <c r="CC198" t="str">
        <f>IFERROR(VLOOKUP($BX198,$E$294:$H$327,I$292,FALSE),"")</f>
        <v/>
      </c>
    </row>
    <row r="199" spans="1:85" ht="60.75" thickBot="1" x14ac:dyDescent="0.3">
      <c r="A199">
        <v>191</v>
      </c>
      <c r="D199" s="132"/>
      <c r="E199" s="133" t="s">
        <v>66</v>
      </c>
      <c r="F199" s="1364" t="str">
        <f>$F$9</f>
        <v>Office</v>
      </c>
      <c r="G199" s="1364" t="str">
        <f>$G$9</f>
        <v>Retail</v>
      </c>
      <c r="H199" s="1365" t="str">
        <f>$H$9</f>
        <v>Residential</v>
      </c>
      <c r="I199" s="1364" t="str">
        <f>$I$9</f>
        <v>Industrial</v>
      </c>
      <c r="J199" s="1366" t="str">
        <f>$J$9</f>
        <v>Healthcare</v>
      </c>
      <c r="K199" s="1366" t="str">
        <f>$K$9</f>
        <v>Prison</v>
      </c>
      <c r="L199" s="1366" t="str">
        <f>$L$9</f>
        <v>Law Court</v>
      </c>
      <c r="M199" s="1367" t="str">
        <f>$M$9</f>
        <v>Residential institution (long term stay)</v>
      </c>
      <c r="N199" s="684" t="str">
        <f>$N$9</f>
        <v>Residential institution (short term stay)</v>
      </c>
      <c r="O199" s="684" t="str">
        <f>$O$9</f>
        <v>Non-residential institution</v>
      </c>
      <c r="P199" s="684" t="str">
        <f>$P$9</f>
        <v>Assembly and leisure</v>
      </c>
      <c r="Q199" s="1366" t="str">
        <f>$Q$9</f>
        <v>Education</v>
      </c>
      <c r="R199" s="659" t="str">
        <f>$R$9</f>
        <v>Other</v>
      </c>
      <c r="T199" s="122" t="str">
        <f>$E$6</f>
        <v>Office</v>
      </c>
      <c r="U199" s="182"/>
      <c r="V199" s="183"/>
      <c r="W199" s="824"/>
      <c r="X199" s="183"/>
      <c r="Y199" s="871" t="s">
        <v>391</v>
      </c>
      <c r="Z199" s="302" t="s">
        <v>317</v>
      </c>
      <c r="AA199" s="131" t="s">
        <v>204</v>
      </c>
      <c r="AB199" s="53" t="s">
        <v>15</v>
      </c>
      <c r="AI199" s="36"/>
      <c r="AJ199" s="54"/>
      <c r="AK199" s="54"/>
      <c r="AM199" s="123"/>
      <c r="AN199" s="123"/>
      <c r="AO199" s="123"/>
      <c r="AP199" s="123"/>
      <c r="AQ199" s="123"/>
      <c r="AR199" s="123"/>
      <c r="AS199" s="123"/>
      <c r="AT199" s="123"/>
      <c r="AU199" s="123"/>
      <c r="AV199" s="123"/>
      <c r="AW199" s="123"/>
      <c r="BO199" s="54"/>
      <c r="BP199" s="54"/>
      <c r="BQ199" s="54"/>
      <c r="BR199" s="54"/>
      <c r="BS199" s="54"/>
      <c r="BT199" s="54"/>
      <c r="BW199" s="47"/>
      <c r="BX199" s="47" t="str">
        <f>E199</f>
        <v>Pollution</v>
      </c>
      <c r="BY199" s="47">
        <f>IFERROR(VLOOKUP($E199,'Pre-Assessment Estimator'!$E$11:$AI$228,'Pre-Assessment Estimator'!AI$2,FALSE),"")</f>
        <v>0</v>
      </c>
      <c r="BZ199" s="47" t="str">
        <f t="shared" si="533"/>
        <v/>
      </c>
      <c r="CA199" s="47" t="str">
        <f t="shared" si="533"/>
        <v/>
      </c>
      <c r="CB199" s="47"/>
      <c r="CC199" t="str">
        <f>IFERROR(VLOOKUP($BX199,$E$294:$H$327,I$292,FALSE),"")</f>
        <v/>
      </c>
    </row>
    <row r="200" spans="1:85" x14ac:dyDescent="0.25">
      <c r="A200">
        <v>192</v>
      </c>
      <c r="B200" s="121" t="str">
        <f>D200</f>
        <v>POL 01</v>
      </c>
      <c r="C200" s="121"/>
      <c r="D200" s="660" t="s">
        <v>179</v>
      </c>
      <c r="E200" s="661" t="s">
        <v>158</v>
      </c>
      <c r="F200" s="709">
        <v>3</v>
      </c>
      <c r="G200" s="709">
        <v>3</v>
      </c>
      <c r="H200" s="709">
        <v>3</v>
      </c>
      <c r="I200" s="709">
        <v>3</v>
      </c>
      <c r="J200" s="709">
        <v>3</v>
      </c>
      <c r="K200" s="709">
        <v>3</v>
      </c>
      <c r="L200" s="709">
        <v>3</v>
      </c>
      <c r="M200" s="709">
        <v>3</v>
      </c>
      <c r="N200" s="709">
        <v>3</v>
      </c>
      <c r="O200" s="709">
        <v>3</v>
      </c>
      <c r="P200" s="709">
        <v>3</v>
      </c>
      <c r="Q200" s="709">
        <v>3</v>
      </c>
      <c r="R200" s="709">
        <v>3</v>
      </c>
      <c r="T200" s="717">
        <f t="shared" ref="T200:T206" si="534">HLOOKUP($E$6,$F$9:$R$231,$A200,FALSE)</f>
        <v>3</v>
      </c>
      <c r="U200" s="191"/>
      <c r="V200" s="818"/>
      <c r="W200" s="131" t="s">
        <v>371</v>
      </c>
      <c r="X200" s="819">
        <f>'Manuell filtrering og justering'!E86</f>
        <v>0</v>
      </c>
      <c r="Y200" s="866"/>
      <c r="Z200" s="733">
        <f>SUM(AB201:AB203)</f>
        <v>3</v>
      </c>
      <c r="AA200" s="719">
        <f t="shared" ref="AA200:AA206" si="535">IF(SUM(U200:Y200)&gt;T200,T200,SUM(U200:Y200))</f>
        <v>0</v>
      </c>
      <c r="AB200" s="793">
        <f>SUM(AB201:AB203)</f>
        <v>3</v>
      </c>
      <c r="AD200" s="150">
        <f t="shared" ref="AD200:AD213" si="536">(Pol_Weight/Pol_Credits)*AB200</f>
        <v>1.7142857142857144E-2</v>
      </c>
      <c r="AE200" s="687">
        <f>IF(SUM(AE201:AE203)&gt;$AD$200,$AD$200,SUM(AE201:AE203))</f>
        <v>0</v>
      </c>
      <c r="AF200" s="687">
        <f>IF(SUM(AF201:AF203)&gt;$AD$200,$AD$200,SUM(AF201:AF203))</f>
        <v>0</v>
      </c>
      <c r="AG200" s="687">
        <f>IF(SUM(AG201:AG203)&gt;$AD$200,$AD$200,SUM(AG201:AG203))</f>
        <v>0</v>
      </c>
      <c r="AI200" s="714">
        <f>IF(SUM(AI201:AI203)&gt;Pol01_credits,Pol01_credits,SUM(AI201:AI203))</f>
        <v>0</v>
      </c>
      <c r="AJ200" s="714">
        <f>IF(SUM(AJ201:AJ203)&gt;Pol01_credits,Pol01_credits,SUM(AJ201:AJ203))</f>
        <v>0</v>
      </c>
      <c r="AK200" s="714">
        <f>IF(SUM(AK201:AK203)&gt;Pol01_credits,Pol01_credits,SUM(AK201:AK203))</f>
        <v>0</v>
      </c>
      <c r="AL200" t="s">
        <v>405</v>
      </c>
      <c r="AM200" s="257"/>
      <c r="AN200" s="258"/>
      <c r="AO200" s="258"/>
      <c r="AP200" s="258"/>
      <c r="AQ200" s="259"/>
      <c r="AR200" s="123"/>
      <c r="AS200" s="257"/>
      <c r="AT200" s="258"/>
      <c r="AU200" s="258"/>
      <c r="AV200" s="258"/>
      <c r="AW200" s="259"/>
      <c r="AY200" s="189"/>
      <c r="AZ200" s="156"/>
      <c r="BA200" s="156"/>
      <c r="BB200" s="156"/>
      <c r="BC200" s="190">
        <f t="shared" ref="BC200:BC223" si="537">IF($E$6=$H$9,AW200,AQ200)</f>
        <v>0</v>
      </c>
      <c r="BD200" s="153">
        <f t="shared" si="458"/>
        <v>9</v>
      </c>
      <c r="BE200" s="45" t="str">
        <f t="shared" ref="BE200:BE213" si="538">VLOOKUP(BD200,$BO$285:$BT$291,6,FALSE)</f>
        <v>N/A</v>
      </c>
      <c r="BF200" s="157"/>
      <c r="BG200" s="153">
        <f>IF(BC200=0,9,IF(AJ200&gt;=BC200,5,IF(AJ200&gt;=BB200,4,IF(AJ200&gt;=BA200,3,IF(AJ200&gt;=AZ200,2,IF(AJ200&lt;AY200,0,1))))))</f>
        <v>9</v>
      </c>
      <c r="BH200" s="45" t="str">
        <f t="shared" ref="BH200:BH213" si="539">VLOOKUP(BG200,$BO$285:$BT$291,6,FALSE)</f>
        <v>N/A</v>
      </c>
      <c r="BI200" s="157"/>
      <c r="BJ200" s="153">
        <f t="shared" si="441"/>
        <v>9</v>
      </c>
      <c r="BK200" s="45" t="str">
        <f t="shared" ref="BK200:BK213" si="540">VLOOKUP(BJ200,$BO$285:$BT$291,6,FALSE)</f>
        <v>N/A</v>
      </c>
      <c r="BL200" s="157"/>
      <c r="BO200" s="43"/>
      <c r="BP200" s="43"/>
      <c r="BQ200" s="43" t="str">
        <f t="shared" si="340"/>
        <v/>
      </c>
      <c r="BR200" s="43">
        <f t="shared" si="393"/>
        <v>9</v>
      </c>
      <c r="BS200" s="43">
        <f t="shared" si="394"/>
        <v>9</v>
      </c>
      <c r="BT200" s="43">
        <f t="shared" si="395"/>
        <v>9</v>
      </c>
      <c r="BW200" s="45" t="str">
        <f>D200</f>
        <v>POL 01</v>
      </c>
      <c r="BX200" s="45" t="str">
        <f>IFERROR(VLOOKUP($E200,'Pre-Assessment Estimator'!$E$11:$AB$228,'Pre-Assessment Estimator'!AB$2,FALSE),"")</f>
        <v>No</v>
      </c>
      <c r="BY200" s="511" t="str">
        <f>IFERROR(VLOOKUP($E200,'Pre-Assessment Estimator'!$E$11:$AI$228,'Pre-Assessment Estimator'!AI$2,FALSE),"")</f>
        <v>Ja</v>
      </c>
      <c r="BZ200" s="45">
        <f>IFERROR(VLOOKUP($BX200,$E$294:$H$327,F$292,FALSE),"")</f>
        <v>1</v>
      </c>
      <c r="CA200" s="514" t="s">
        <v>410</v>
      </c>
      <c r="CB200" s="45"/>
      <c r="CC200" t="str">
        <f>IFERROR(VLOOKUP($BX200,$E$294:$H$327,I$292,FALSE),"")</f>
        <v/>
      </c>
      <c r="CD200" t="s">
        <v>416</v>
      </c>
      <c r="CE200" s="43">
        <f>VLOOKUP(CA200,$CA$4:$CB$5,2,FALSE)</f>
        <v>1</v>
      </c>
      <c r="CG200" s="62">
        <f>IF($BX$5=ais_nei,CE200,IF(AND(CA200=$CA$4,BX200=$CC$4),0,BZ200))</f>
        <v>1</v>
      </c>
    </row>
    <row r="201" spans="1:85" x14ac:dyDescent="0.25">
      <c r="A201">
        <v>193</v>
      </c>
      <c r="B201" t="str">
        <f t="shared" ref="B201:B203" si="541">$D$200&amp;D201</f>
        <v>POL 01a</v>
      </c>
      <c r="D201" s="146" t="s">
        <v>673</v>
      </c>
      <c r="E201" s="683" t="s">
        <v>877</v>
      </c>
      <c r="F201" s="582">
        <v>3</v>
      </c>
      <c r="G201" s="582">
        <v>3</v>
      </c>
      <c r="H201" s="582">
        <v>3</v>
      </c>
      <c r="I201" s="582">
        <v>3</v>
      </c>
      <c r="J201" s="582">
        <v>3</v>
      </c>
      <c r="K201" s="582">
        <v>3</v>
      </c>
      <c r="L201" s="582">
        <v>3</v>
      </c>
      <c r="M201" s="582">
        <v>3</v>
      </c>
      <c r="N201" s="582">
        <v>3</v>
      </c>
      <c r="O201" s="582">
        <v>3</v>
      </c>
      <c r="P201" s="582">
        <v>3</v>
      </c>
      <c r="Q201" s="582">
        <v>3</v>
      </c>
      <c r="R201" s="582">
        <v>3</v>
      </c>
      <c r="T201" s="148">
        <f t="shared" si="534"/>
        <v>3</v>
      </c>
      <c r="U201" s="191">
        <f>IF('Assessment Details'!F24=AD_Yes,Poeng!T201,0)</f>
        <v>0</v>
      </c>
      <c r="V201" s="147"/>
      <c r="W201" s="719">
        <f>IF('Assessment Details'!F24=AD_Yes,Poeng!Z201,0)</f>
        <v>0</v>
      </c>
      <c r="X201" s="204"/>
      <c r="Y201" s="148">
        <f>IF($Y$4=$Y$6,T201,0)</f>
        <v>0</v>
      </c>
      <c r="Z201" s="147">
        <f>VLOOKUP(B201,'Manuell filtrering og justering'!$A$7:$H$253,'Manuell filtrering og justering'!$H$1,FALSE)</f>
        <v>3</v>
      </c>
      <c r="AA201" s="148">
        <f t="shared" si="535"/>
        <v>0</v>
      </c>
      <c r="AB201" s="771">
        <f>IF($AC$5='Manuell filtrering og justering'!$J$2,Z201-W201,(T201-AA201))</f>
        <v>3</v>
      </c>
      <c r="AD201" s="150">
        <f t="shared" si="536"/>
        <v>1.7142857142857144E-2</v>
      </c>
      <c r="AE201" s="150">
        <f t="shared" ref="AE201:AE213" si="542">IF(AB201=0,0,(AD201/AB201)*AI201)</f>
        <v>0</v>
      </c>
      <c r="AF201" s="150">
        <f t="shared" ref="AF201:AF213" si="543">IF(AB201=0,0,(AD201/AB201)*AJ201)</f>
        <v>0</v>
      </c>
      <c r="AG201" s="150">
        <f t="shared" ref="AG201:AG213" si="544">IF(AB201=0,0,(AD201/AB201)*AK201)</f>
        <v>0</v>
      </c>
      <c r="AI201" s="151">
        <f>IF(VLOOKUP(E201,'Pre-Assessment Estimator'!$E$11:$Z$228,'Pre-Assessment Estimator'!$G$2,FALSE)&gt;AB201,AB201,VLOOKUP(E201,'Pre-Assessment Estimator'!$E$11:$Z$228,'Pre-Assessment Estimator'!$G$2,FALSE))</f>
        <v>0</v>
      </c>
      <c r="AJ201" s="151">
        <f>IF(VLOOKUP(E201,'Pre-Assessment Estimator'!$E$11:$Z$228,'Pre-Assessment Estimator'!$N$2,FALSE)&gt;AB201,AB201,VLOOKUP(E201,'Pre-Assessment Estimator'!$E$11:$Z$228,'Pre-Assessment Estimator'!$N$2,FALSE))</f>
        <v>0</v>
      </c>
      <c r="AK201" s="151">
        <f>IF(VLOOKUP(E201,'Pre-Assessment Estimator'!$E$11:$Z$228,'Pre-Assessment Estimator'!$U$2,FALSE)&gt;AB201,AB201,VLOOKUP(E201,'Pre-Assessment Estimator'!$E$11:$Z$228,'Pre-Assessment Estimator'!$U$2,FALSE))</f>
        <v>0</v>
      </c>
      <c r="AM201" s="639"/>
      <c r="AN201" s="640"/>
      <c r="AO201" s="640"/>
      <c r="AP201" s="640"/>
      <c r="AQ201" s="641"/>
      <c r="AR201" s="123"/>
      <c r="AS201" s="639"/>
      <c r="AT201" s="640"/>
      <c r="AU201" s="640"/>
      <c r="AV201" s="640"/>
      <c r="AW201" s="641"/>
      <c r="AY201" s="144"/>
      <c r="AZ201" s="45"/>
      <c r="BA201" s="45"/>
      <c r="BB201" s="45"/>
      <c r="BC201" s="642"/>
      <c r="BD201" s="160">
        <f t="shared" ref="BD201:BD203" si="545">IF(BC201=0,9,IF(AI201&gt;=BC201,5,IF(AI201&gt;=BB201,4,IF(AI201&gt;=BA201,3,IF(AI201&gt;=AZ201,2,IF(AI201&lt;AY201,0,1))))))</f>
        <v>9</v>
      </c>
      <c r="BE201" s="45" t="str">
        <f t="shared" si="538"/>
        <v>N/A</v>
      </c>
      <c r="BF201" s="163"/>
      <c r="BG201" s="160">
        <f t="shared" ref="BG201:BG203" si="546">IF(BC201=0,9,IF(AJ201&gt;=BC201,5,IF(AJ201&gt;=BB201,4,IF(AJ201&gt;=BA201,3,IF(AJ201&gt;=AZ201,2,IF(AJ201&lt;AY201,0,1))))))</f>
        <v>9</v>
      </c>
      <c r="BH201" s="45" t="str">
        <f t="shared" si="539"/>
        <v>N/A</v>
      </c>
      <c r="BI201" s="163"/>
      <c r="BJ201" s="160">
        <f t="shared" ref="BJ201:BJ203" si="547">IF(BC201=0,9,IF(AK201&gt;=BC201,5,IF(AK201&gt;=BB201,4,IF(AK201&gt;=BA201,3,IF(AK201&gt;=AZ201,2,IF(AK201&lt;AY201,0,1))))))</f>
        <v>9</v>
      </c>
      <c r="BK201" s="45" t="str">
        <f t="shared" si="540"/>
        <v>N/A</v>
      </c>
      <c r="BL201" s="634"/>
      <c r="BO201" s="43"/>
      <c r="BP201" s="43"/>
      <c r="BQ201" s="43" t="str">
        <f t="shared" si="340"/>
        <v/>
      </c>
      <c r="BR201" s="43">
        <f t="shared" si="393"/>
        <v>9</v>
      </c>
      <c r="BS201" s="43">
        <f t="shared" si="394"/>
        <v>9</v>
      </c>
      <c r="BT201" s="43">
        <f t="shared" si="395"/>
        <v>9</v>
      </c>
      <c r="BW201" s="45"/>
      <c r="BX201" s="45"/>
      <c r="BY201" s="511"/>
      <c r="BZ201" s="45"/>
      <c r="CA201" s="514"/>
      <c r="CB201" s="45"/>
      <c r="CE201" s="43"/>
      <c r="CG201" s="62"/>
    </row>
    <row r="202" spans="1:85" x14ac:dyDescent="0.25">
      <c r="A202">
        <v>194</v>
      </c>
      <c r="B202" t="str">
        <f t="shared" si="541"/>
        <v>POL 01c</v>
      </c>
      <c r="D202" s="146" t="s">
        <v>677</v>
      </c>
      <c r="E202" s="683" t="s">
        <v>363</v>
      </c>
      <c r="F202" s="582">
        <v>2</v>
      </c>
      <c r="G202" s="582">
        <v>2</v>
      </c>
      <c r="H202" s="582">
        <v>2</v>
      </c>
      <c r="I202" s="582">
        <v>2</v>
      </c>
      <c r="J202" s="582">
        <v>2</v>
      </c>
      <c r="K202" s="582">
        <v>2</v>
      </c>
      <c r="L202" s="582">
        <v>2</v>
      </c>
      <c r="M202" s="582">
        <v>2</v>
      </c>
      <c r="N202" s="582">
        <v>2</v>
      </c>
      <c r="O202" s="582">
        <v>2</v>
      </c>
      <c r="P202" s="582">
        <v>2</v>
      </c>
      <c r="Q202" s="582">
        <v>2</v>
      </c>
      <c r="R202" s="582">
        <v>2</v>
      </c>
      <c r="T202" s="148">
        <f t="shared" si="534"/>
        <v>2</v>
      </c>
      <c r="U202" s="191">
        <f>IF(U201&gt;0,0,T202)</f>
        <v>2</v>
      </c>
      <c r="V202" s="147"/>
      <c r="W202" s="719">
        <f>IF(W201&gt;0,0,Z202)</f>
        <v>2</v>
      </c>
      <c r="X202" s="204"/>
      <c r="Y202" s="148">
        <f>IF($Y$4=$Y$6,T202,0)</f>
        <v>0</v>
      </c>
      <c r="Z202" s="147">
        <f>VLOOKUP(B202,'Manuell filtrering og justering'!$A$7:$H$253,'Manuell filtrering og justering'!$H$1,FALSE)</f>
        <v>2</v>
      </c>
      <c r="AA202" s="148">
        <f t="shared" si="535"/>
        <v>2</v>
      </c>
      <c r="AB202" s="771">
        <f>IF($AC$5='Manuell filtrering og justering'!$J$2,Z202-W202,(T202-AA202))</f>
        <v>0</v>
      </c>
      <c r="AD202" s="150">
        <f t="shared" si="536"/>
        <v>0</v>
      </c>
      <c r="AE202" s="150">
        <f t="shared" si="542"/>
        <v>0</v>
      </c>
      <c r="AF202" s="150">
        <f t="shared" si="543"/>
        <v>0</v>
      </c>
      <c r="AG202" s="150">
        <f t="shared" si="544"/>
        <v>0</v>
      </c>
      <c r="AI202" s="794">
        <f>IF(AI249=AD_no,0,IF(VLOOKUP(E202,'Pre-Assessment Estimator'!$E$11:$Z$228,'Pre-Assessment Estimator'!$G$2,FALSE)&gt;AB202,AB202,VLOOKUP(E202,'Pre-Assessment Estimator'!$E$11:$Z$228,'Pre-Assessment Estimator'!$G$2,FALSE)))</f>
        <v>0</v>
      </c>
      <c r="AJ202" s="794">
        <f>IF(AJ249=AD_no,0,IF(VLOOKUP(E202,'Pre-Assessment Estimator'!$E$11:$Z$228,'Pre-Assessment Estimator'!$N$2,FALSE)&gt;AB202,AB202,VLOOKUP(E202,'Pre-Assessment Estimator'!$E$11:$Z$228,'Pre-Assessment Estimator'!$N$2,FALSE)))</f>
        <v>0</v>
      </c>
      <c r="AK202" s="794">
        <f>IF(AK249=AD_no,0,IF(VLOOKUP(E202,'Pre-Assessment Estimator'!$E$11:$Z$228,'Pre-Assessment Estimator'!$U$2,FALSE)&gt;AB202,AB202,VLOOKUP(E202,'Pre-Assessment Estimator'!$E$11:$Z$228,'Pre-Assessment Estimator'!$U$2,FALSE)))</f>
        <v>0</v>
      </c>
      <c r="AM202" s="639"/>
      <c r="AN202" s="640"/>
      <c r="AO202" s="640"/>
      <c r="AP202" s="640"/>
      <c r="AQ202" s="641"/>
      <c r="AR202" s="123"/>
      <c r="AS202" s="639"/>
      <c r="AT202" s="640"/>
      <c r="AU202" s="640"/>
      <c r="AV202" s="640"/>
      <c r="AW202" s="641"/>
      <c r="AY202" s="144"/>
      <c r="AZ202" s="45"/>
      <c r="BA202" s="45"/>
      <c r="BB202" s="45"/>
      <c r="BC202" s="642"/>
      <c r="BD202" s="160">
        <f t="shared" si="545"/>
        <v>9</v>
      </c>
      <c r="BE202" s="45" t="str">
        <f t="shared" si="538"/>
        <v>N/A</v>
      </c>
      <c r="BF202" s="163"/>
      <c r="BG202" s="160">
        <f t="shared" si="546"/>
        <v>9</v>
      </c>
      <c r="BH202" s="45" t="str">
        <f t="shared" si="539"/>
        <v>N/A</v>
      </c>
      <c r="BI202" s="163"/>
      <c r="BJ202" s="160">
        <f t="shared" si="547"/>
        <v>9</v>
      </c>
      <c r="BK202" s="45" t="str">
        <f t="shared" si="540"/>
        <v>N/A</v>
      </c>
      <c r="BL202" s="634"/>
      <c r="BO202" s="43"/>
      <c r="BP202" s="43"/>
      <c r="BQ202" s="43" t="str">
        <f t="shared" si="340"/>
        <v/>
      </c>
      <c r="BR202" s="43">
        <f t="shared" si="393"/>
        <v>9</v>
      </c>
      <c r="BS202" s="43">
        <f t="shared" si="394"/>
        <v>9</v>
      </c>
      <c r="BT202" s="43">
        <f t="shared" si="395"/>
        <v>9</v>
      </c>
      <c r="BW202" s="45"/>
      <c r="BX202" s="45"/>
      <c r="BY202" s="511"/>
      <c r="BZ202" s="45"/>
      <c r="CA202" s="514"/>
      <c r="CB202" s="45"/>
      <c r="CE202" s="43"/>
      <c r="CG202" s="62"/>
    </row>
    <row r="203" spans="1:85" x14ac:dyDescent="0.25">
      <c r="A203">
        <v>195</v>
      </c>
      <c r="B203" t="str">
        <f t="shared" si="541"/>
        <v>POL 01d</v>
      </c>
      <c r="D203" s="146" t="s">
        <v>675</v>
      </c>
      <c r="E203" s="683" t="s">
        <v>878</v>
      </c>
      <c r="F203" s="582">
        <v>1</v>
      </c>
      <c r="G203" s="582">
        <v>1</v>
      </c>
      <c r="H203" s="582">
        <v>1</v>
      </c>
      <c r="I203" s="582">
        <v>1</v>
      </c>
      <c r="J203" s="582">
        <v>1</v>
      </c>
      <c r="K203" s="582">
        <v>1</v>
      </c>
      <c r="L203" s="582">
        <v>1</v>
      </c>
      <c r="M203" s="582">
        <v>1</v>
      </c>
      <c r="N203" s="582">
        <v>1</v>
      </c>
      <c r="O203" s="582">
        <v>1</v>
      </c>
      <c r="P203" s="582">
        <v>1</v>
      </c>
      <c r="Q203" s="582">
        <v>1</v>
      </c>
      <c r="R203" s="582">
        <v>1</v>
      </c>
      <c r="T203" s="148">
        <f t="shared" si="534"/>
        <v>1</v>
      </c>
      <c r="U203" s="191">
        <f>IF(U201&gt;0,0,T203)</f>
        <v>1</v>
      </c>
      <c r="V203" s="147"/>
      <c r="W203" s="719">
        <f>IF(W201&gt;0,0,Z203)</f>
        <v>1</v>
      </c>
      <c r="X203" s="204"/>
      <c r="Y203" s="148">
        <f>IF($Y$4=$Y$6,T203,0)</f>
        <v>0</v>
      </c>
      <c r="Z203" s="147">
        <f>VLOOKUP(B203,'Manuell filtrering og justering'!$A$7:$H$253,'Manuell filtrering og justering'!$H$1,FALSE)</f>
        <v>1</v>
      </c>
      <c r="AA203" s="148">
        <f t="shared" si="535"/>
        <v>1</v>
      </c>
      <c r="AB203" s="771">
        <f>IF($AC$5='Manuell filtrering og justering'!$J$2,Z203-W203,(T203-AA203))</f>
        <v>0</v>
      </c>
      <c r="AD203" s="150">
        <f t="shared" si="536"/>
        <v>0</v>
      </c>
      <c r="AE203" s="150">
        <f t="shared" si="542"/>
        <v>0</v>
      </c>
      <c r="AF203" s="150">
        <f t="shared" si="543"/>
        <v>0</v>
      </c>
      <c r="AG203" s="150">
        <f t="shared" si="544"/>
        <v>0</v>
      </c>
      <c r="AI203" s="794">
        <f>IF(AI249=AD_no,0,IF(VLOOKUP(E203,'Pre-Assessment Estimator'!$E$11:$Z$228,'Pre-Assessment Estimator'!$G$2,FALSE)&gt;AB203,AB203,VLOOKUP(E203,'Pre-Assessment Estimator'!$E$11:$Z$228,'Pre-Assessment Estimator'!$G$2,FALSE)))</f>
        <v>0</v>
      </c>
      <c r="AJ203" s="794">
        <f>IF(AJ249=AD_no,0,IF(VLOOKUP(E203,'Pre-Assessment Estimator'!$E$11:$Z$228,'Pre-Assessment Estimator'!$N$2,FALSE)&gt;AB203,AB203,VLOOKUP(E203,'Pre-Assessment Estimator'!$E$11:$Z$228,'Pre-Assessment Estimator'!$N$2,FALSE)))</f>
        <v>0</v>
      </c>
      <c r="AK203" s="794">
        <f>IF(AK249=AD_no,0,IF(VLOOKUP(E203,'Pre-Assessment Estimator'!$E$11:$Z$228,'Pre-Assessment Estimator'!$U$2,FALSE)&gt;AB203,AB203,VLOOKUP(E203,'Pre-Assessment Estimator'!$E$11:$Z$228,'Pre-Assessment Estimator'!$U$2,FALSE)))</f>
        <v>0</v>
      </c>
      <c r="AM203" s="639"/>
      <c r="AN203" s="640"/>
      <c r="AO203" s="640"/>
      <c r="AP203" s="640"/>
      <c r="AQ203" s="641"/>
      <c r="AR203" s="123"/>
      <c r="AS203" s="639"/>
      <c r="AT203" s="640"/>
      <c r="AU203" s="640"/>
      <c r="AV203" s="640"/>
      <c r="AW203" s="641"/>
      <c r="AY203" s="144"/>
      <c r="AZ203" s="45"/>
      <c r="BA203" s="45"/>
      <c r="BB203" s="45"/>
      <c r="BC203" s="642"/>
      <c r="BD203" s="160">
        <f t="shared" si="545"/>
        <v>9</v>
      </c>
      <c r="BE203" s="45" t="str">
        <f t="shared" si="538"/>
        <v>N/A</v>
      </c>
      <c r="BF203" s="163"/>
      <c r="BG203" s="160">
        <f t="shared" si="546"/>
        <v>9</v>
      </c>
      <c r="BH203" s="45" t="str">
        <f t="shared" si="539"/>
        <v>N/A</v>
      </c>
      <c r="BI203" s="163"/>
      <c r="BJ203" s="160">
        <f t="shared" si="547"/>
        <v>9</v>
      </c>
      <c r="BK203" s="45" t="str">
        <f t="shared" si="540"/>
        <v>N/A</v>
      </c>
      <c r="BL203" s="634"/>
      <c r="BO203" s="43"/>
      <c r="BP203" s="43"/>
      <c r="BQ203" s="43" t="str">
        <f t="shared" ref="BQ203:BQ251" si="548">IF(BO203&lt;&gt;"",BO203,IF(BP203&lt;&gt;"",BP203,""))</f>
        <v/>
      </c>
      <c r="BR203" s="43">
        <f t="shared" si="393"/>
        <v>9</v>
      </c>
      <c r="BS203" s="43">
        <f t="shared" si="394"/>
        <v>9</v>
      </c>
      <c r="BT203" s="43">
        <f t="shared" si="395"/>
        <v>9</v>
      </c>
      <c r="BW203" s="45"/>
      <c r="BX203" s="45"/>
      <c r="BY203" s="511"/>
      <c r="BZ203" s="45"/>
      <c r="CA203" s="514"/>
      <c r="CB203" s="45"/>
      <c r="CE203" s="43"/>
      <c r="CG203" s="62"/>
    </row>
    <row r="204" spans="1:85" x14ac:dyDescent="0.25">
      <c r="A204">
        <v>196</v>
      </c>
      <c r="B204" s="121" t="str">
        <f>D204</f>
        <v>POL 02</v>
      </c>
      <c r="C204" s="121"/>
      <c r="D204" s="638" t="s">
        <v>180</v>
      </c>
      <c r="E204" s="636" t="s">
        <v>452</v>
      </c>
      <c r="F204" s="709">
        <v>2</v>
      </c>
      <c r="G204" s="709">
        <v>2</v>
      </c>
      <c r="H204" s="709">
        <v>2</v>
      </c>
      <c r="I204" s="709">
        <v>2</v>
      </c>
      <c r="J204" s="709">
        <v>2</v>
      </c>
      <c r="K204" s="709">
        <v>2</v>
      </c>
      <c r="L204" s="709">
        <v>2</v>
      </c>
      <c r="M204" s="709">
        <v>2</v>
      </c>
      <c r="N204" s="709">
        <v>2</v>
      </c>
      <c r="O204" s="709">
        <v>2</v>
      </c>
      <c r="P204" s="709">
        <v>2</v>
      </c>
      <c r="Q204" s="709">
        <v>2</v>
      </c>
      <c r="R204" s="709">
        <v>2</v>
      </c>
      <c r="T204" s="719">
        <f t="shared" si="534"/>
        <v>2</v>
      </c>
      <c r="U204" s="191"/>
      <c r="V204" s="818"/>
      <c r="W204" s="719"/>
      <c r="X204" s="819">
        <f>'Manuell filtrering og justering'!E87</f>
        <v>0</v>
      </c>
      <c r="Y204" s="866"/>
      <c r="Z204" s="733">
        <f>SUM(AB205:AB206)</f>
        <v>2</v>
      </c>
      <c r="AA204" s="719">
        <f t="shared" si="535"/>
        <v>0</v>
      </c>
      <c r="AB204" s="793">
        <f>SUM(AB205:AB206)</f>
        <v>2</v>
      </c>
      <c r="AD204" s="150">
        <f t="shared" si="536"/>
        <v>1.1428571428571429E-2</v>
      </c>
      <c r="AE204" s="687">
        <f>IF(SUM(AE205:AE206)&gt;$AD$204,$AD$204,SUM(AE205:AE206))</f>
        <v>0</v>
      </c>
      <c r="AF204" s="687">
        <f>IF(SUM(AF205:AF206)&gt;$AD$204,$AD$204,SUM(AF205:AF206))</f>
        <v>0</v>
      </c>
      <c r="AG204" s="687">
        <f>IF(SUM(AG205:AG206)&gt;$AD$204,$AD$204,SUM(AG205:AG206))</f>
        <v>0</v>
      </c>
      <c r="AI204" s="714">
        <f>IF(SUM(AI205:AI206)&gt;Pol02_credits,Pol02_credits,SUM(AI205:AI206))</f>
        <v>0</v>
      </c>
      <c r="AJ204" s="714">
        <f>IF(SUM(AJ205:AJ206)&gt;Pol02_credits,Pol02_credits,SUM(AJ205:AJ206))</f>
        <v>0</v>
      </c>
      <c r="AK204" s="714">
        <f>IF(SUM(AK205:AK206)&gt;Pol02_credits,Pol02_credits,SUM(AK205:AK206))</f>
        <v>0</v>
      </c>
      <c r="AL204" t="s">
        <v>405</v>
      </c>
      <c r="AM204" s="251"/>
      <c r="AN204" s="252"/>
      <c r="AO204" s="252"/>
      <c r="AP204" s="252"/>
      <c r="AQ204" s="253"/>
      <c r="AR204" s="123"/>
      <c r="AS204" s="251"/>
      <c r="AT204" s="252"/>
      <c r="AU204" s="252"/>
      <c r="AV204" s="252"/>
      <c r="AW204" s="253"/>
      <c r="AY204" s="146"/>
      <c r="AZ204" s="43"/>
      <c r="BA204" s="43"/>
      <c r="BB204" s="43"/>
      <c r="BC204" s="147">
        <f t="shared" si="537"/>
        <v>0</v>
      </c>
      <c r="BD204" s="160">
        <f t="shared" si="458"/>
        <v>9</v>
      </c>
      <c r="BE204" s="45" t="str">
        <f t="shared" si="538"/>
        <v>N/A</v>
      </c>
      <c r="BF204" s="163"/>
      <c r="BG204" s="160">
        <f>IF(BC204=0,9,IF(AJ204&gt;=BC204,5,IF(AJ204&gt;=BB204,4,IF(AJ204&gt;=BA204,3,IF(AJ204&gt;=AZ204,2,IF(AJ204&lt;AY204,0,1))))))</f>
        <v>9</v>
      </c>
      <c r="BH204" s="45" t="str">
        <f t="shared" si="539"/>
        <v>N/A</v>
      </c>
      <c r="BI204" s="163"/>
      <c r="BJ204" s="160">
        <f t="shared" si="441"/>
        <v>9</v>
      </c>
      <c r="BK204" s="45" t="str">
        <f t="shared" si="540"/>
        <v>N/A</v>
      </c>
      <c r="BL204" s="163"/>
      <c r="BO204" s="43"/>
      <c r="BP204" s="43"/>
      <c r="BQ204" s="43" t="str">
        <f t="shared" si="548"/>
        <v/>
      </c>
      <c r="BR204" s="43">
        <f t="shared" si="393"/>
        <v>9</v>
      </c>
      <c r="BS204" s="43">
        <f t="shared" si="394"/>
        <v>9</v>
      </c>
      <c r="BT204" s="43">
        <f t="shared" si="395"/>
        <v>9</v>
      </c>
      <c r="BW204" s="43" t="str">
        <f>D204</f>
        <v>POL 02</v>
      </c>
      <c r="BX204" s="43" t="str">
        <f>IFERROR(VLOOKUP($E204,'Pre-Assessment Estimator'!$E$11:$AB$228,'Pre-Assessment Estimator'!AB$2,FALSE),"")</f>
        <v>No</v>
      </c>
      <c r="BY204" s="61" t="str">
        <f>IFERROR(VLOOKUP($E204,'Pre-Assessment Estimator'!$E$11:$AI$228,'Pre-Assessment Estimator'!AI$2,FALSE),"")</f>
        <v>Ja</v>
      </c>
      <c r="BZ204" s="43">
        <f>IFERROR(VLOOKUP($BX204,$E$294:$H$327,F$292,FALSE),"")</f>
        <v>1</v>
      </c>
      <c r="CA204" s="514" t="s">
        <v>410</v>
      </c>
      <c r="CB204" s="43"/>
      <c r="CC204" t="str">
        <f>IFERROR(VLOOKUP($BX204,$E$294:$H$327,I$292,FALSE),"")</f>
        <v/>
      </c>
      <c r="CD204" t="s">
        <v>416</v>
      </c>
      <c r="CE204" s="43">
        <f>VLOOKUP(CA204,$CA$4:$CB$5,2,FALSE)</f>
        <v>1</v>
      </c>
      <c r="CG204" s="62">
        <f>IF($BX$5=ais_nei,CE204,IF(AND(CA204=$CA$4,BX204=$CC$4),0,BZ204))</f>
        <v>1</v>
      </c>
    </row>
    <row r="205" spans="1:85" x14ac:dyDescent="0.25">
      <c r="A205">
        <v>197</v>
      </c>
      <c r="B205" t="str">
        <f t="shared" ref="B205:B206" si="549">$D$204&amp;D205</f>
        <v>POL 02a</v>
      </c>
      <c r="D205" s="146" t="s">
        <v>673</v>
      </c>
      <c r="E205" s="683" t="s">
        <v>938</v>
      </c>
      <c r="F205" s="582">
        <v>2</v>
      </c>
      <c r="G205" s="582">
        <v>2</v>
      </c>
      <c r="H205" s="582">
        <v>2</v>
      </c>
      <c r="I205" s="582">
        <v>2</v>
      </c>
      <c r="J205" s="582">
        <v>2</v>
      </c>
      <c r="K205" s="582">
        <v>2</v>
      </c>
      <c r="L205" s="582">
        <v>2</v>
      </c>
      <c r="M205" s="582">
        <v>2</v>
      </c>
      <c r="N205" s="582">
        <v>2</v>
      </c>
      <c r="O205" s="582">
        <v>2</v>
      </c>
      <c r="P205" s="582">
        <v>2</v>
      </c>
      <c r="Q205" s="582">
        <v>2</v>
      </c>
      <c r="R205" s="582">
        <v>2</v>
      </c>
      <c r="T205" s="148">
        <f t="shared" si="534"/>
        <v>2</v>
      </c>
      <c r="U205" s="903">
        <f>IF('Assessment Details'!F25='Assessment Details'!J30,0,IF('Assessment Details'!F25="",0,Poeng!T205))</f>
        <v>0</v>
      </c>
      <c r="V205" s="147"/>
      <c r="W205" s="770">
        <f>IF('Assessment Details'!F25='Assessment Details'!J30,0,IF('Assessment Details'!F25="",0,Poeng!Z205))</f>
        <v>0</v>
      </c>
      <c r="X205" s="204"/>
      <c r="Y205" s="148">
        <f>IF($Y$4=$Y$6,T205,0)</f>
        <v>0</v>
      </c>
      <c r="Z205" s="147">
        <f>VLOOKUP(B205,'Manuell filtrering og justering'!$A$7:$H$253,'Manuell filtrering og justering'!$H$1,FALSE)</f>
        <v>2</v>
      </c>
      <c r="AA205" s="148">
        <f t="shared" si="535"/>
        <v>0</v>
      </c>
      <c r="AB205" s="771">
        <f>IF($AC$5='Manuell filtrering og justering'!$J$2,Z205-W205,(T205-AA205))</f>
        <v>2</v>
      </c>
      <c r="AD205" s="150">
        <f t="shared" si="536"/>
        <v>1.1428571428571429E-2</v>
      </c>
      <c r="AE205" s="150">
        <f t="shared" si="542"/>
        <v>0</v>
      </c>
      <c r="AF205" s="150">
        <f t="shared" si="543"/>
        <v>0</v>
      </c>
      <c r="AG205" s="150">
        <f t="shared" si="544"/>
        <v>0</v>
      </c>
      <c r="AI205" s="151">
        <f>IF(VLOOKUP(E205,'Pre-Assessment Estimator'!$E$11:$Z$228,'Pre-Assessment Estimator'!$G$2,FALSE)&gt;AB205,AB205,VLOOKUP(E205,'Pre-Assessment Estimator'!$E$11:$Z$228,'Pre-Assessment Estimator'!$G$2,FALSE))</f>
        <v>0</v>
      </c>
      <c r="AJ205" s="151">
        <f>IF(VLOOKUP(E205,'Pre-Assessment Estimator'!$E$11:$Z$228,'Pre-Assessment Estimator'!$N$2,FALSE)&gt;AB205,AB205,VLOOKUP(E205,'Pre-Assessment Estimator'!$E$11:$Z$228,'Pre-Assessment Estimator'!$N$2,FALSE))</f>
        <v>0</v>
      </c>
      <c r="AK205" s="151">
        <f>IF(VLOOKUP(E205,'Pre-Assessment Estimator'!$E$11:$Z$228,'Pre-Assessment Estimator'!$U$2,FALSE)&gt;AB205,AB205,VLOOKUP(E205,'Pre-Assessment Estimator'!$E$11:$Z$228,'Pre-Assessment Estimator'!$U$2,FALSE))</f>
        <v>0</v>
      </c>
      <c r="AM205" s="251"/>
      <c r="AN205" s="252"/>
      <c r="AO205" s="252"/>
      <c r="AP205" s="252"/>
      <c r="AQ205" s="253"/>
      <c r="AR205" s="123"/>
      <c r="AS205" s="251"/>
      <c r="AT205" s="252"/>
      <c r="AU205" s="252"/>
      <c r="AV205" s="252"/>
      <c r="AW205" s="253"/>
      <c r="AY205" s="146"/>
      <c r="AZ205" s="43"/>
      <c r="BA205" s="43"/>
      <c r="BB205" s="43"/>
      <c r="BC205" s="147"/>
      <c r="BD205" s="160">
        <f t="shared" si="458"/>
        <v>9</v>
      </c>
      <c r="BE205" s="45" t="str">
        <f t="shared" si="538"/>
        <v>N/A</v>
      </c>
      <c r="BF205" s="163"/>
      <c r="BG205" s="160">
        <f t="shared" ref="BG205:BG210" si="550">IF(BC205=0,9,IF(AJ205&gt;=BC205,5,IF(AJ205&gt;=BB205,4,IF(AJ205&gt;=BA205,3,IF(AJ205&gt;=AZ205,2,IF(AJ205&lt;AY205,0,1))))))</f>
        <v>9</v>
      </c>
      <c r="BH205" s="45" t="str">
        <f t="shared" si="539"/>
        <v>N/A</v>
      </c>
      <c r="BI205" s="163"/>
      <c r="BJ205" s="160">
        <f t="shared" si="441"/>
        <v>9</v>
      </c>
      <c r="BK205" s="45" t="str">
        <f t="shared" si="540"/>
        <v>N/A</v>
      </c>
      <c r="BL205" s="163"/>
      <c r="BO205" s="43"/>
      <c r="BP205" s="43"/>
      <c r="BQ205" s="43" t="str">
        <f t="shared" si="548"/>
        <v/>
      </c>
      <c r="BR205" s="43">
        <f t="shared" si="393"/>
        <v>9</v>
      </c>
      <c r="BS205" s="43">
        <f t="shared" si="394"/>
        <v>9</v>
      </c>
      <c r="BT205" s="43">
        <f t="shared" si="395"/>
        <v>9</v>
      </c>
      <c r="BW205" s="43"/>
      <c r="BX205" s="43"/>
      <c r="BY205" s="61"/>
      <c r="BZ205" s="43"/>
      <c r="CA205" s="514"/>
      <c r="CB205" s="43"/>
      <c r="CG205" s="62"/>
    </row>
    <row r="206" spans="1:85" x14ac:dyDescent="0.25">
      <c r="A206">
        <v>198</v>
      </c>
      <c r="B206" t="str">
        <f t="shared" si="549"/>
        <v>POL 02b</v>
      </c>
      <c r="D206" s="146" t="s">
        <v>676</v>
      </c>
      <c r="E206" s="683" t="s">
        <v>939</v>
      </c>
      <c r="F206" s="582">
        <v>2</v>
      </c>
      <c r="G206" s="582">
        <v>2</v>
      </c>
      <c r="H206" s="582">
        <v>2</v>
      </c>
      <c r="I206" s="582">
        <v>2</v>
      </c>
      <c r="J206" s="582">
        <v>2</v>
      </c>
      <c r="K206" s="582">
        <v>2</v>
      </c>
      <c r="L206" s="582">
        <v>2</v>
      </c>
      <c r="M206" s="582">
        <v>2</v>
      </c>
      <c r="N206" s="582">
        <v>2</v>
      </c>
      <c r="O206" s="582">
        <v>2</v>
      </c>
      <c r="P206" s="582">
        <v>2</v>
      </c>
      <c r="Q206" s="582">
        <v>2</v>
      </c>
      <c r="R206" s="582">
        <v>2</v>
      </c>
      <c r="T206" s="148">
        <f t="shared" si="534"/>
        <v>2</v>
      </c>
      <c r="U206" s="191">
        <f>IF('Assessment Details'!F25='Assessment Details'!J31,0,Poeng!T206)</f>
        <v>2</v>
      </c>
      <c r="V206" s="147"/>
      <c r="W206" s="719">
        <f>IF('Assessment Details'!F25='Assessment Details'!J31,0,Poeng!Z206)</f>
        <v>2</v>
      </c>
      <c r="X206" s="204"/>
      <c r="Y206" s="148">
        <f>IF($Y$4=$Y$6,T206,0)</f>
        <v>0</v>
      </c>
      <c r="Z206" s="147">
        <f>VLOOKUP(B206,'Manuell filtrering og justering'!$A$7:$H$253,'Manuell filtrering og justering'!$H$1,FALSE)</f>
        <v>2</v>
      </c>
      <c r="AA206" s="148">
        <f t="shared" si="535"/>
        <v>2</v>
      </c>
      <c r="AB206" s="771">
        <f>IF($AC$5='Manuell filtrering og justering'!$J$2,Z206-W206,(T206-AA206))</f>
        <v>0</v>
      </c>
      <c r="AD206" s="150">
        <f t="shared" si="536"/>
        <v>0</v>
      </c>
      <c r="AE206" s="150">
        <f t="shared" si="542"/>
        <v>0</v>
      </c>
      <c r="AF206" s="150">
        <f t="shared" si="543"/>
        <v>0</v>
      </c>
      <c r="AG206" s="150">
        <f t="shared" si="544"/>
        <v>0</v>
      </c>
      <c r="AI206" s="151">
        <f>IF(VLOOKUP(E206,'Pre-Assessment Estimator'!$E$11:$Z$228,'Pre-Assessment Estimator'!$G$2,FALSE)&gt;AB206,AB206,VLOOKUP(E206,'Pre-Assessment Estimator'!$E$11:$Z$228,'Pre-Assessment Estimator'!$G$2,FALSE))</f>
        <v>0</v>
      </c>
      <c r="AJ206" s="151">
        <f>IF(VLOOKUP(E206,'Pre-Assessment Estimator'!$E$11:$Z$228,'Pre-Assessment Estimator'!$N$2,FALSE)&gt;AB206,AB206,VLOOKUP(E206,'Pre-Assessment Estimator'!$E$11:$Z$228,'Pre-Assessment Estimator'!$N$2,FALSE))</f>
        <v>0</v>
      </c>
      <c r="AK206" s="151">
        <f>IF(VLOOKUP(E206,'Pre-Assessment Estimator'!$E$11:$Z$228,'Pre-Assessment Estimator'!$U$2,FALSE)&gt;AB206,AB206,VLOOKUP(E206,'Pre-Assessment Estimator'!$E$11:$Z$228,'Pre-Assessment Estimator'!$U$2,FALSE))</f>
        <v>0</v>
      </c>
      <c r="AM206" s="251"/>
      <c r="AN206" s="252"/>
      <c r="AO206" s="252"/>
      <c r="AP206" s="252"/>
      <c r="AQ206" s="253"/>
      <c r="AR206" s="123"/>
      <c r="AS206" s="251"/>
      <c r="AT206" s="252"/>
      <c r="AU206" s="252"/>
      <c r="AV206" s="252"/>
      <c r="AW206" s="253"/>
      <c r="AY206" s="146"/>
      <c r="AZ206" s="43"/>
      <c r="BA206" s="43"/>
      <c r="BB206" s="43"/>
      <c r="BC206" s="147"/>
      <c r="BD206" s="160">
        <f t="shared" si="458"/>
        <v>9</v>
      </c>
      <c r="BE206" s="45" t="str">
        <f t="shared" si="538"/>
        <v>N/A</v>
      </c>
      <c r="BF206" s="163"/>
      <c r="BG206" s="160">
        <f t="shared" si="550"/>
        <v>9</v>
      </c>
      <c r="BH206" s="45" t="str">
        <f t="shared" si="539"/>
        <v>N/A</v>
      </c>
      <c r="BI206" s="163"/>
      <c r="BJ206" s="160">
        <f t="shared" si="441"/>
        <v>9</v>
      </c>
      <c r="BK206" s="45" t="str">
        <f t="shared" si="540"/>
        <v>N/A</v>
      </c>
      <c r="BL206" s="163"/>
      <c r="BO206" s="43"/>
      <c r="BP206" s="43"/>
      <c r="BQ206" s="43" t="str">
        <f t="shared" si="548"/>
        <v/>
      </c>
      <c r="BR206" s="43">
        <f t="shared" si="393"/>
        <v>9</v>
      </c>
      <c r="BS206" s="43">
        <f t="shared" si="394"/>
        <v>9</v>
      </c>
      <c r="BT206" s="43">
        <f t="shared" si="395"/>
        <v>9</v>
      </c>
      <c r="BW206" s="43"/>
      <c r="BX206" s="43"/>
      <c r="BY206" s="61"/>
      <c r="BZ206" s="43"/>
      <c r="CA206" s="514"/>
      <c r="CB206" s="43"/>
      <c r="CG206" s="62"/>
    </row>
    <row r="207" spans="1:85" x14ac:dyDescent="0.25">
      <c r="A207">
        <v>199</v>
      </c>
      <c r="D207" s="523" t="s">
        <v>181</v>
      </c>
      <c r="E207" s="522"/>
      <c r="F207" s="700"/>
      <c r="G207" s="700"/>
      <c r="H207" s="700"/>
      <c r="I207" s="700"/>
      <c r="J207" s="700"/>
      <c r="K207" s="700"/>
      <c r="L207" s="700"/>
      <c r="M207" s="700"/>
      <c r="N207" s="700"/>
      <c r="O207" s="700"/>
      <c r="P207" s="700"/>
      <c r="Q207" s="700"/>
      <c r="R207" s="700"/>
      <c r="T207" s="712"/>
      <c r="U207" s="523"/>
      <c r="V207" s="711"/>
      <c r="W207" s="712"/>
      <c r="X207" s="821"/>
      <c r="Y207" s="865"/>
      <c r="Z207" s="147"/>
      <c r="AA207" s="712"/>
      <c r="AB207" s="713"/>
      <c r="AD207" s="150">
        <f t="shared" si="536"/>
        <v>0</v>
      </c>
      <c r="AE207" s="716"/>
      <c r="AF207" s="716"/>
      <c r="AG207" s="716"/>
      <c r="AI207" s="537"/>
      <c r="AJ207" s="537"/>
      <c r="AK207" s="537"/>
      <c r="AM207" s="251"/>
      <c r="AN207" s="252"/>
      <c r="AO207" s="252"/>
      <c r="AP207" s="252"/>
      <c r="AQ207" s="253"/>
      <c r="AR207" s="123"/>
      <c r="AS207" s="251"/>
      <c r="AT207" s="252"/>
      <c r="AU207" s="252"/>
      <c r="AV207" s="252"/>
      <c r="AW207" s="253"/>
      <c r="AY207" s="146"/>
      <c r="AZ207" s="43"/>
      <c r="BA207" s="43"/>
      <c r="BB207" s="43"/>
      <c r="BC207" s="147">
        <f t="shared" si="537"/>
        <v>0</v>
      </c>
      <c r="BD207" s="160">
        <f t="shared" si="458"/>
        <v>9</v>
      </c>
      <c r="BE207" s="45" t="str">
        <f t="shared" si="538"/>
        <v>N/A</v>
      </c>
      <c r="BF207" s="163"/>
      <c r="BG207" s="160">
        <f t="shared" si="550"/>
        <v>9</v>
      </c>
      <c r="BH207" s="45" t="str">
        <f t="shared" si="539"/>
        <v>N/A</v>
      </c>
      <c r="BI207" s="163"/>
      <c r="BJ207" s="160">
        <f t="shared" si="441"/>
        <v>9</v>
      </c>
      <c r="BK207" s="45" t="str">
        <f t="shared" si="540"/>
        <v>N/A</v>
      </c>
      <c r="BL207" s="163"/>
      <c r="BO207" s="43"/>
      <c r="BP207" s="43"/>
      <c r="BQ207" s="43" t="str">
        <f t="shared" si="548"/>
        <v/>
      </c>
      <c r="BR207" s="43">
        <f t="shared" si="393"/>
        <v>9</v>
      </c>
      <c r="BS207" s="43">
        <f t="shared" si="394"/>
        <v>9</v>
      </c>
      <c r="BT207" s="43">
        <f t="shared" si="395"/>
        <v>9</v>
      </c>
      <c r="BW207" s="43" t="str">
        <f>D207</f>
        <v>POL 03</v>
      </c>
      <c r="BX207" s="43" t="str">
        <f>IFERROR(VLOOKUP($E207,'Pre-Assessment Estimator'!$E$11:$AB$228,'Pre-Assessment Estimator'!AB$2,FALSE),"")</f>
        <v/>
      </c>
      <c r="BY207" s="43" t="str">
        <f>IFERROR(VLOOKUP($E207,'Pre-Assessment Estimator'!$E$11:$AI$228,'Pre-Assessment Estimator'!AI$2,FALSE),"")</f>
        <v/>
      </c>
      <c r="BZ207" s="43" t="str">
        <f>IFERROR(VLOOKUP($BX207,$E$294:$H$327,F$292,FALSE),"")</f>
        <v/>
      </c>
      <c r="CA207" s="43" t="str">
        <f>IFERROR(VLOOKUP($BX207,$E$294:$H$327,G$292,FALSE),"")</f>
        <v/>
      </c>
      <c r="CB207" s="43"/>
      <c r="CC207" t="str">
        <f>IFERROR(VLOOKUP($BX207,$E$294:$H$327,I$292,FALSE),"")</f>
        <v/>
      </c>
    </row>
    <row r="208" spans="1:85" x14ac:dyDescent="0.25">
      <c r="A208">
        <v>200</v>
      </c>
      <c r="B208" s="121" t="str">
        <f>D208</f>
        <v>POL 04</v>
      </c>
      <c r="C208" s="121"/>
      <c r="D208" s="638" t="s">
        <v>182</v>
      </c>
      <c r="E208" s="636" t="s">
        <v>159</v>
      </c>
      <c r="F208" s="709">
        <v>1</v>
      </c>
      <c r="G208" s="709">
        <v>1</v>
      </c>
      <c r="H208" s="709">
        <v>1</v>
      </c>
      <c r="I208" s="709">
        <v>1</v>
      </c>
      <c r="J208" s="709">
        <v>1</v>
      </c>
      <c r="K208" s="709">
        <v>1</v>
      </c>
      <c r="L208" s="709">
        <v>1</v>
      </c>
      <c r="M208" s="709">
        <v>1</v>
      </c>
      <c r="N208" s="709">
        <v>1</v>
      </c>
      <c r="O208" s="709">
        <v>1</v>
      </c>
      <c r="P208" s="709">
        <v>1</v>
      </c>
      <c r="Q208" s="709">
        <v>1</v>
      </c>
      <c r="R208" s="709">
        <v>1</v>
      </c>
      <c r="T208" s="719">
        <f t="shared" ref="T208:T214" si="551">HLOOKUP($E$6,$F$9:$R$231,$A208,FALSE)</f>
        <v>1</v>
      </c>
      <c r="U208" s="191"/>
      <c r="V208" s="818"/>
      <c r="W208" s="719"/>
      <c r="X208" s="819">
        <f>'Manuell filtrering og justering'!E89</f>
        <v>0</v>
      </c>
      <c r="Y208" s="866"/>
      <c r="Z208" s="733">
        <f>SUM(AB209:AB210)</f>
        <v>1</v>
      </c>
      <c r="AA208" s="719">
        <f t="shared" ref="AA208:AA213" si="552">IF(SUM(U208:Y208)&gt;T208,T208,SUM(U208:Y208))</f>
        <v>0</v>
      </c>
      <c r="AB208" s="793">
        <f>SUM(AB209:AB210)</f>
        <v>1</v>
      </c>
      <c r="AD208" s="150">
        <f t="shared" si="536"/>
        <v>5.7142857142857143E-3</v>
      </c>
      <c r="AE208" s="687">
        <f>IF(SUM(AE209:AE210)&gt;$AD$208,$AD$208,SUM(AE209:AE210))</f>
        <v>0</v>
      </c>
      <c r="AF208" s="687">
        <f>IF(SUM(AF209:AF210)&gt;$AD$208,$AD$208,SUM(AF209:AF210))</f>
        <v>0</v>
      </c>
      <c r="AG208" s="687">
        <f>IF(SUM(AG209:AG210)&gt;$AD$208,$AD$208,SUM(AG209:AG210))</f>
        <v>0</v>
      </c>
      <c r="AI208" s="714">
        <f>IF(SUM(AI209:AI210)&gt;Pol04_credits,Pol04_credits,SUM(AI209:AI210))</f>
        <v>0</v>
      </c>
      <c r="AJ208" s="714">
        <f>IF(SUM(AJ209:AJ210)&gt;Pol04_credits,Pol04_credits,SUM(AJ209:AJ210))</f>
        <v>0</v>
      </c>
      <c r="AK208" s="714">
        <f>IF(SUM(AK209:AK210)&gt;Pol04_credits,Pol04_credits,SUM(AK209:AK210))</f>
        <v>0</v>
      </c>
      <c r="AL208" t="s">
        <v>405</v>
      </c>
      <c r="AM208" s="251"/>
      <c r="AN208" s="252"/>
      <c r="AO208" s="252"/>
      <c r="AP208" s="252"/>
      <c r="AQ208" s="253"/>
      <c r="AR208" s="123"/>
      <c r="AS208" s="251"/>
      <c r="AT208" s="252"/>
      <c r="AU208" s="252"/>
      <c r="AV208" s="252"/>
      <c r="AW208" s="253"/>
      <c r="AY208" s="146"/>
      <c r="AZ208" s="43"/>
      <c r="BA208" s="43"/>
      <c r="BB208" s="43"/>
      <c r="BC208" s="147">
        <f t="shared" si="537"/>
        <v>0</v>
      </c>
      <c r="BD208" s="160">
        <f t="shared" ref="BD208:BD210" si="553">IF(BC208=0,9,IF(AI208&gt;=BC208,5,IF(AI208&gt;=BB208,4,IF(AI208&gt;=BA208,3,IF(AI208&gt;=AZ208,2,IF(AI208&lt;AY208,0,1))))))</f>
        <v>9</v>
      </c>
      <c r="BE208" s="45" t="str">
        <f t="shared" si="538"/>
        <v>N/A</v>
      </c>
      <c r="BF208" s="163"/>
      <c r="BG208" s="160">
        <f t="shared" si="550"/>
        <v>9</v>
      </c>
      <c r="BH208" s="45" t="str">
        <f t="shared" si="539"/>
        <v>N/A</v>
      </c>
      <c r="BI208" s="163"/>
      <c r="BJ208" s="160">
        <f t="shared" ref="BJ208:BJ210" si="554">IF(BC208=0,9,IF(AK208&gt;=BC208,5,IF(AK208&gt;=BB208,4,IF(AK208&gt;=BA208,3,IF(AK208&gt;=AZ208,2,IF(AK208&lt;AY208,0,1))))))</f>
        <v>9</v>
      </c>
      <c r="BK208" s="45" t="str">
        <f t="shared" si="540"/>
        <v>N/A</v>
      </c>
      <c r="BL208" s="163"/>
      <c r="BO208" s="43"/>
      <c r="BP208" s="43"/>
      <c r="BQ208" s="43" t="str">
        <f t="shared" si="548"/>
        <v/>
      </c>
      <c r="BR208" s="43">
        <f t="shared" si="393"/>
        <v>9</v>
      </c>
      <c r="BS208" s="43">
        <f t="shared" si="394"/>
        <v>9</v>
      </c>
      <c r="BT208" s="43">
        <f t="shared" si="395"/>
        <v>9</v>
      </c>
      <c r="BW208" s="43" t="str">
        <f>D208</f>
        <v>POL 04</v>
      </c>
      <c r="BX208" s="43" t="str">
        <f>IFERROR(VLOOKUP($E208,'Pre-Assessment Estimator'!$E$11:$AB$228,'Pre-Assessment Estimator'!AB$2,FALSE),"")</f>
        <v>No</v>
      </c>
      <c r="BY208" s="61" t="str">
        <f>IFERROR(VLOOKUP($E208,'Pre-Assessment Estimator'!$E$11:$AI$228,'Pre-Assessment Estimator'!AI$2,FALSE),"")</f>
        <v>Ja</v>
      </c>
      <c r="BZ208" s="43">
        <f>IFERROR(VLOOKUP($BX208,$E$294:$H$327,F$292,FALSE),"")</f>
        <v>1</v>
      </c>
      <c r="CA208" s="514" t="s">
        <v>410</v>
      </c>
      <c r="CB208" s="43"/>
      <c r="CC208" t="str">
        <f>IFERROR(VLOOKUP($BX208,$E$294:$H$327,I$292,FALSE),"")</f>
        <v/>
      </c>
      <c r="CD208" t="s">
        <v>416</v>
      </c>
      <c r="CE208" s="43">
        <f>VLOOKUP(CA208,$CA$4:$CB$5,2,FALSE)</f>
        <v>1</v>
      </c>
      <c r="CG208" s="62">
        <f>IF($BX$5=ais_nei,CE208,IF(AND(CA208=$CA$4,BX208=$CC$4),0,BZ208))</f>
        <v>1</v>
      </c>
    </row>
    <row r="209" spans="1:85" x14ac:dyDescent="0.25">
      <c r="A209">
        <v>201</v>
      </c>
      <c r="B209" t="str">
        <f t="shared" ref="B209:B210" si="555">$D$208&amp;D209</f>
        <v>POL 04a</v>
      </c>
      <c r="D209" s="146" t="s">
        <v>673</v>
      </c>
      <c r="E209" s="683" t="s">
        <v>882</v>
      </c>
      <c r="F209" s="582">
        <v>1</v>
      </c>
      <c r="G209" s="582">
        <v>1</v>
      </c>
      <c r="H209" s="582">
        <v>1</v>
      </c>
      <c r="I209" s="582">
        <v>1</v>
      </c>
      <c r="J209" s="582">
        <v>1</v>
      </c>
      <c r="K209" s="582">
        <v>1</v>
      </c>
      <c r="L209" s="582">
        <v>1</v>
      </c>
      <c r="M209" s="582">
        <v>1</v>
      </c>
      <c r="N209" s="582">
        <v>1</v>
      </c>
      <c r="O209" s="582">
        <v>1</v>
      </c>
      <c r="P209" s="582">
        <v>1</v>
      </c>
      <c r="Q209" s="582">
        <v>1</v>
      </c>
      <c r="R209" s="582">
        <v>1</v>
      </c>
      <c r="T209" s="148">
        <f t="shared" si="551"/>
        <v>1</v>
      </c>
      <c r="U209" s="191">
        <f>IF('Assessment Details'!F18=AD_Yes,Poeng!T209,0)</f>
        <v>0</v>
      </c>
      <c r="V209" s="147"/>
      <c r="W209" s="719">
        <f>IF('Assessment Details'!F18=AD_Yes,Poeng!Z209,0)</f>
        <v>0</v>
      </c>
      <c r="X209" s="204"/>
      <c r="Y209" s="865"/>
      <c r="Z209" s="147">
        <f>VLOOKUP(B209,'Manuell filtrering og justering'!$A$7:$H$253,'Manuell filtrering og justering'!$H$1,FALSE)</f>
        <v>1</v>
      </c>
      <c r="AA209" s="148">
        <f t="shared" si="552"/>
        <v>0</v>
      </c>
      <c r="AB209" s="771">
        <f>IF($AC$5='Manuell filtrering og justering'!$J$2,Z209-W209,(T209-AA209))</f>
        <v>1</v>
      </c>
      <c r="AD209" s="150">
        <f t="shared" si="536"/>
        <v>5.7142857142857143E-3</v>
      </c>
      <c r="AE209" s="150">
        <f t="shared" si="542"/>
        <v>0</v>
      </c>
      <c r="AF209" s="150">
        <f t="shared" si="543"/>
        <v>0</v>
      </c>
      <c r="AG209" s="150">
        <f t="shared" si="544"/>
        <v>0</v>
      </c>
      <c r="AI209" s="151">
        <f>IF(VLOOKUP(E209,'Pre-Assessment Estimator'!$E$11:$Z$228,'Pre-Assessment Estimator'!$G$2,FALSE)&gt;AB209,AB209,VLOOKUP(E209,'Pre-Assessment Estimator'!$E$11:$Z$228,'Pre-Assessment Estimator'!$G$2,FALSE))</f>
        <v>0</v>
      </c>
      <c r="AJ209" s="151">
        <f>IF(VLOOKUP(E209,'Pre-Assessment Estimator'!$E$11:$Z$228,'Pre-Assessment Estimator'!$N$2,FALSE)&gt;AB209,AB209,VLOOKUP(E209,'Pre-Assessment Estimator'!$E$11:$Z$228,'Pre-Assessment Estimator'!$N$2,FALSE))</f>
        <v>0</v>
      </c>
      <c r="AK209" s="151">
        <f>IF(VLOOKUP(E209,'Pre-Assessment Estimator'!$E$11:$Z$228,'Pre-Assessment Estimator'!$U$2,FALSE)&gt;AB209,AB209,VLOOKUP(E209,'Pre-Assessment Estimator'!$E$11:$Z$228,'Pre-Assessment Estimator'!$U$2,FALSE))</f>
        <v>0</v>
      </c>
      <c r="AM209" s="653"/>
      <c r="AN209" s="654"/>
      <c r="AO209" s="654"/>
      <c r="AP209" s="654"/>
      <c r="AQ209" s="646"/>
      <c r="AR209" s="123"/>
      <c r="AS209" s="653"/>
      <c r="AT209" s="654"/>
      <c r="AU209" s="654"/>
      <c r="AV209" s="654"/>
      <c r="AW209" s="646"/>
      <c r="AY209" s="167"/>
      <c r="AZ209" s="48"/>
      <c r="BA209" s="48"/>
      <c r="BB209" s="48"/>
      <c r="BC209" s="655"/>
      <c r="BD209" s="160">
        <f t="shared" si="553"/>
        <v>9</v>
      </c>
      <c r="BE209" s="45" t="str">
        <f t="shared" si="538"/>
        <v>N/A</v>
      </c>
      <c r="BF209" s="163"/>
      <c r="BG209" s="160">
        <f t="shared" si="550"/>
        <v>9</v>
      </c>
      <c r="BH209" s="45" t="str">
        <f t="shared" si="539"/>
        <v>N/A</v>
      </c>
      <c r="BI209" s="163"/>
      <c r="BJ209" s="160">
        <f t="shared" si="554"/>
        <v>9</v>
      </c>
      <c r="BK209" s="45" t="str">
        <f t="shared" si="540"/>
        <v>N/A</v>
      </c>
      <c r="BL209" s="650"/>
      <c r="BO209" s="43"/>
      <c r="BP209" s="43"/>
      <c r="BQ209" s="43" t="str">
        <f t="shared" si="548"/>
        <v/>
      </c>
      <c r="BR209" s="43">
        <f t="shared" si="393"/>
        <v>9</v>
      </c>
      <c r="BS209" s="43">
        <f t="shared" si="394"/>
        <v>9</v>
      </c>
      <c r="BT209" s="43">
        <f t="shared" si="395"/>
        <v>9</v>
      </c>
      <c r="BW209" s="43"/>
      <c r="BX209" s="43"/>
      <c r="BY209" s="61"/>
      <c r="BZ209" s="43"/>
      <c r="CA209" s="514"/>
      <c r="CB209" s="43"/>
      <c r="CE209" s="43"/>
      <c r="CG209" s="62"/>
    </row>
    <row r="210" spans="1:85" x14ac:dyDescent="0.25">
      <c r="A210">
        <v>202</v>
      </c>
      <c r="B210" t="str">
        <f t="shared" si="555"/>
        <v>POL 04b</v>
      </c>
      <c r="D210" s="146" t="s">
        <v>676</v>
      </c>
      <c r="E210" s="683" t="s">
        <v>883</v>
      </c>
      <c r="F210" s="582">
        <v>1</v>
      </c>
      <c r="G210" s="582">
        <v>1</v>
      </c>
      <c r="H210" s="582">
        <v>1</v>
      </c>
      <c r="I210" s="582">
        <v>1</v>
      </c>
      <c r="J210" s="582">
        <v>1</v>
      </c>
      <c r="K210" s="582">
        <v>1</v>
      </c>
      <c r="L210" s="582">
        <v>1</v>
      </c>
      <c r="M210" s="582">
        <v>1</v>
      </c>
      <c r="N210" s="582">
        <v>1</v>
      </c>
      <c r="O210" s="582">
        <v>1</v>
      </c>
      <c r="P210" s="582">
        <v>1</v>
      </c>
      <c r="Q210" s="582">
        <v>1</v>
      </c>
      <c r="R210" s="582">
        <v>1</v>
      </c>
      <c r="T210" s="148">
        <f t="shared" si="551"/>
        <v>1</v>
      </c>
      <c r="U210" s="191">
        <f>IF(U209=1,0,T210)</f>
        <v>1</v>
      </c>
      <c r="V210" s="147"/>
      <c r="W210" s="719">
        <f>IF(W209=1,0,Z210)</f>
        <v>1</v>
      </c>
      <c r="X210" s="204"/>
      <c r="Y210" s="865"/>
      <c r="Z210" s="147">
        <f>VLOOKUP(B210,'Manuell filtrering og justering'!$A$7:$H$253,'Manuell filtrering og justering'!$H$1,FALSE)</f>
        <v>1</v>
      </c>
      <c r="AA210" s="148">
        <f t="shared" si="552"/>
        <v>1</v>
      </c>
      <c r="AB210" s="771">
        <f>IF($AC$5='Manuell filtrering og justering'!$J$2,Z210-W210,(T210-AA210))</f>
        <v>0</v>
      </c>
      <c r="AD210" s="150">
        <f t="shared" si="536"/>
        <v>0</v>
      </c>
      <c r="AE210" s="150">
        <f t="shared" si="542"/>
        <v>0</v>
      </c>
      <c r="AF210" s="150">
        <f t="shared" si="543"/>
        <v>0</v>
      </c>
      <c r="AG210" s="150">
        <f t="shared" si="544"/>
        <v>0</v>
      </c>
      <c r="AI210" s="151">
        <f>IF(VLOOKUP(E210,'Pre-Assessment Estimator'!$E$11:$Z$228,'Pre-Assessment Estimator'!$G$2,FALSE)&gt;AB210,AB210,VLOOKUP(E210,'Pre-Assessment Estimator'!$E$11:$Z$228,'Pre-Assessment Estimator'!$G$2,FALSE))</f>
        <v>0</v>
      </c>
      <c r="AJ210" s="151">
        <f>IF(VLOOKUP(E210,'Pre-Assessment Estimator'!$E$11:$Z$228,'Pre-Assessment Estimator'!$N$2,FALSE)&gt;AB210,AB210,VLOOKUP(E210,'Pre-Assessment Estimator'!$E$11:$Z$228,'Pre-Assessment Estimator'!$N$2,FALSE))</f>
        <v>0</v>
      </c>
      <c r="AK210" s="151">
        <f>IF(VLOOKUP(E210,'Pre-Assessment Estimator'!$E$11:$Z$228,'Pre-Assessment Estimator'!$U$2,FALSE)&gt;AB210,AB210,VLOOKUP(E210,'Pre-Assessment Estimator'!$E$11:$Z$228,'Pre-Assessment Estimator'!$U$2,FALSE))</f>
        <v>0</v>
      </c>
      <c r="AM210" s="653"/>
      <c r="AN210" s="654"/>
      <c r="AO210" s="654"/>
      <c r="AP210" s="654"/>
      <c r="AQ210" s="646"/>
      <c r="AR210" s="123"/>
      <c r="AS210" s="653"/>
      <c r="AT210" s="654"/>
      <c r="AU210" s="654"/>
      <c r="AV210" s="654"/>
      <c r="AW210" s="646"/>
      <c r="AY210" s="167"/>
      <c r="AZ210" s="48"/>
      <c r="BA210" s="48"/>
      <c r="BB210" s="48"/>
      <c r="BC210" s="655"/>
      <c r="BD210" s="160">
        <f t="shared" si="553"/>
        <v>9</v>
      </c>
      <c r="BE210" s="45" t="str">
        <f t="shared" si="538"/>
        <v>N/A</v>
      </c>
      <c r="BF210" s="163"/>
      <c r="BG210" s="160">
        <f t="shared" si="550"/>
        <v>9</v>
      </c>
      <c r="BH210" s="45" t="str">
        <f t="shared" si="539"/>
        <v>N/A</v>
      </c>
      <c r="BI210" s="163"/>
      <c r="BJ210" s="160">
        <f t="shared" si="554"/>
        <v>9</v>
      </c>
      <c r="BK210" s="45" t="str">
        <f t="shared" si="540"/>
        <v>N/A</v>
      </c>
      <c r="BL210" s="650"/>
      <c r="BO210" s="43"/>
      <c r="BP210" s="43"/>
      <c r="BQ210" s="43" t="str">
        <f t="shared" si="548"/>
        <v/>
      </c>
      <c r="BR210" s="43">
        <f t="shared" si="393"/>
        <v>9</v>
      </c>
      <c r="BS210" s="43">
        <f t="shared" si="394"/>
        <v>9</v>
      </c>
      <c r="BT210" s="43">
        <f t="shared" si="395"/>
        <v>9</v>
      </c>
      <c r="BW210" s="43"/>
      <c r="BX210" s="43"/>
      <c r="BY210" s="61"/>
      <c r="BZ210" s="43"/>
      <c r="CA210" s="514"/>
      <c r="CB210" s="43"/>
      <c r="CE210" s="43"/>
      <c r="CG210" s="62"/>
    </row>
    <row r="211" spans="1:85" ht="15.75" thickBot="1" x14ac:dyDescent="0.3">
      <c r="A211">
        <v>203</v>
      </c>
      <c r="B211" s="121" t="str">
        <f>D211</f>
        <v>POL 05</v>
      </c>
      <c r="C211" s="121"/>
      <c r="D211" s="638" t="s">
        <v>183</v>
      </c>
      <c r="E211" s="636" t="s">
        <v>886</v>
      </c>
      <c r="F211" s="709">
        <v>1</v>
      </c>
      <c r="G211" s="709">
        <v>1</v>
      </c>
      <c r="H211" s="908">
        <v>0</v>
      </c>
      <c r="I211" s="709">
        <v>1</v>
      </c>
      <c r="J211" s="709">
        <v>1</v>
      </c>
      <c r="K211" s="709">
        <v>1</v>
      </c>
      <c r="L211" s="709">
        <v>1</v>
      </c>
      <c r="M211" s="709">
        <v>1</v>
      </c>
      <c r="N211" s="709">
        <v>1</v>
      </c>
      <c r="O211" s="709">
        <v>1</v>
      </c>
      <c r="P211" s="709">
        <v>1</v>
      </c>
      <c r="Q211" s="709">
        <v>1</v>
      </c>
      <c r="R211" s="709">
        <v>1</v>
      </c>
      <c r="T211" s="719">
        <f t="shared" si="551"/>
        <v>1</v>
      </c>
      <c r="U211" s="191">
        <f>IF(ADIND_option02n=AD_no,Poeng!T211,0)</f>
        <v>0</v>
      </c>
      <c r="V211" s="818"/>
      <c r="W211" s="719"/>
      <c r="X211" s="819">
        <f>'Manuell filtrering og justering'!E90</f>
        <v>0</v>
      </c>
      <c r="Y211" s="866"/>
      <c r="Z211" s="733">
        <f>SUM(AB212:AB213)</f>
        <v>1</v>
      </c>
      <c r="AA211" s="719">
        <f t="shared" si="552"/>
        <v>0</v>
      </c>
      <c r="AB211" s="793">
        <f>SUM(AB212:AB213)</f>
        <v>1</v>
      </c>
      <c r="AD211" s="150">
        <f t="shared" si="536"/>
        <v>5.7142857142857143E-3</v>
      </c>
      <c r="AE211" s="687">
        <f>IF(SUM(AE212:AE213)&gt;$AD$211,$AD$211,SUM(AE212:AE213))</f>
        <v>0</v>
      </c>
      <c r="AF211" s="687">
        <f>IF(SUM(AF212:AF213)&gt;$AD$211,$AD$211,SUM(AF212:AF213))</f>
        <v>0</v>
      </c>
      <c r="AG211" s="687">
        <f>IF(SUM(AG212:AG213)&gt;$AD$211,$AD$211,SUM(AG212:AG213))</f>
        <v>0</v>
      </c>
      <c r="AI211" s="714">
        <f>IF(SUM(AI212:AI213)&gt;Pol05_credits,Pol05_credits,SUM(AI212:AI213))</f>
        <v>0</v>
      </c>
      <c r="AJ211" s="714">
        <f>IF(SUM(AJ212:AJ213)&gt;Pol05_credits,Pol05_credits,SUM(AJ212:AJ213))</f>
        <v>0</v>
      </c>
      <c r="AK211" s="714">
        <f>IF(SUM(AK212:AK213)&gt;Pol05_credits,Pol05_credits,SUM(AK212:AK213))</f>
        <v>0</v>
      </c>
      <c r="AL211" t="s">
        <v>405</v>
      </c>
      <c r="AM211" s="254"/>
      <c r="AN211" s="255"/>
      <c r="AO211" s="255"/>
      <c r="AP211" s="255"/>
      <c r="AQ211" s="256"/>
      <c r="AR211" s="123"/>
      <c r="AS211" s="254"/>
      <c r="AT211" s="255"/>
      <c r="AU211" s="255"/>
      <c r="AV211" s="255"/>
      <c r="AW211" s="256"/>
      <c r="AY211" s="168"/>
      <c r="AZ211" s="170"/>
      <c r="BA211" s="170"/>
      <c r="BB211" s="170"/>
      <c r="BC211" s="171">
        <f t="shared" si="537"/>
        <v>0</v>
      </c>
      <c r="BD211" s="172">
        <f t="shared" si="458"/>
        <v>9</v>
      </c>
      <c r="BE211" s="45" t="str">
        <f t="shared" si="538"/>
        <v>N/A</v>
      </c>
      <c r="BF211" s="173"/>
      <c r="BG211" s="172">
        <f>IF(BC211=0,9,IF(AJ211&gt;=BC211,5,IF(AJ211&gt;=BB211,4,IF(AJ211&gt;=BA211,3,IF(AJ211&gt;=AZ211,2,IF(AJ211&lt;AY211,0,1))))))</f>
        <v>9</v>
      </c>
      <c r="BH211" s="45" t="str">
        <f t="shared" si="539"/>
        <v>N/A</v>
      </c>
      <c r="BI211" s="173"/>
      <c r="BJ211" s="172">
        <f t="shared" si="441"/>
        <v>9</v>
      </c>
      <c r="BK211" s="45" t="str">
        <f t="shared" si="540"/>
        <v>N/A</v>
      </c>
      <c r="BL211" s="173"/>
      <c r="BO211" s="43"/>
      <c r="BP211" s="43"/>
      <c r="BQ211" s="43" t="str">
        <f t="shared" si="548"/>
        <v/>
      </c>
      <c r="BR211" s="43">
        <f t="shared" si="393"/>
        <v>9</v>
      </c>
      <c r="BS211" s="43">
        <f t="shared" si="394"/>
        <v>9</v>
      </c>
      <c r="BT211" s="43">
        <f t="shared" si="395"/>
        <v>9</v>
      </c>
      <c r="BW211" s="43" t="str">
        <f>D211</f>
        <v>POL 05</v>
      </c>
      <c r="BX211" s="43" t="str">
        <f>IFERROR(VLOOKUP($E211,'Pre-Assessment Estimator'!$E$11:$AB$228,'Pre-Assessment Estimator'!AB$2,FALSE),"")</f>
        <v>No</v>
      </c>
      <c r="BY211" s="61" t="str">
        <f>IFERROR(VLOOKUP($E211,'Pre-Assessment Estimator'!$E$11:$AI$228,'Pre-Assessment Estimator'!AI$2,FALSE),"")</f>
        <v>Ja</v>
      </c>
      <c r="BZ211" s="43">
        <f>IFERROR(VLOOKUP($BX211,$E$294:$H$327,F$292,FALSE),"")</f>
        <v>1</v>
      </c>
      <c r="CA211" s="514" t="s">
        <v>410</v>
      </c>
      <c r="CB211" s="43"/>
      <c r="CC211" t="str">
        <f>IFERROR(VLOOKUP($BX211,$E$294:$H$327,I$292,FALSE),"")</f>
        <v/>
      </c>
      <c r="CD211" t="s">
        <v>383</v>
      </c>
      <c r="CE211" s="43">
        <f>VLOOKUP(CA211,$CA$4:$CB$5,2,FALSE)</f>
        <v>1</v>
      </c>
      <c r="CG211" s="62">
        <f>IF($BX$5=ais_nei,CE211,IF(AND(CA211=$CA$4,BX211=$CC$4),0,BZ211))</f>
        <v>1</v>
      </c>
    </row>
    <row r="212" spans="1:85" x14ac:dyDescent="0.25">
      <c r="A212">
        <v>204</v>
      </c>
      <c r="B212" t="str">
        <f t="shared" ref="B212:B213" si="556">$D$211&amp;D212</f>
        <v>POL 05a</v>
      </c>
      <c r="D212" s="146" t="s">
        <v>673</v>
      </c>
      <c r="E212" s="683" t="s">
        <v>884</v>
      </c>
      <c r="F212" s="582">
        <v>1</v>
      </c>
      <c r="G212" s="582">
        <v>1</v>
      </c>
      <c r="H212" s="759">
        <v>0</v>
      </c>
      <c r="I212" s="582">
        <v>1</v>
      </c>
      <c r="J212" s="582">
        <v>1</v>
      </c>
      <c r="K212" s="582">
        <v>1</v>
      </c>
      <c r="L212" s="582">
        <v>1</v>
      </c>
      <c r="M212" s="582">
        <v>1</v>
      </c>
      <c r="N212" s="582">
        <v>1</v>
      </c>
      <c r="O212" s="582">
        <v>1</v>
      </c>
      <c r="P212" s="582">
        <v>1</v>
      </c>
      <c r="Q212" s="582">
        <v>1</v>
      </c>
      <c r="R212" s="582">
        <v>1</v>
      </c>
      <c r="T212" s="148">
        <f t="shared" si="551"/>
        <v>1</v>
      </c>
      <c r="U212" s="545">
        <f>IF('Assessment Details'!F27=AD_Yes,Poeng!T212,0)</f>
        <v>0</v>
      </c>
      <c r="V212" s="820">
        <f>IF(ADIND_option02n=AD_no,T212,0)</f>
        <v>0</v>
      </c>
      <c r="W212" s="825">
        <f>IF('Assessment Details'!F27=AD_Yes,Poeng!Z212,0)</f>
        <v>0</v>
      </c>
      <c r="X212" s="822"/>
      <c r="Y212" s="148">
        <f>IF($Y$4=$Y$6,T212,0)</f>
        <v>0</v>
      </c>
      <c r="Z212" s="147">
        <f>VLOOKUP(B212,'Manuell filtrering og justering'!$A$7:$H$253,'Manuell filtrering og justering'!$H$1,FALSE)</f>
        <v>1</v>
      </c>
      <c r="AA212" s="148">
        <f t="shared" si="552"/>
        <v>0</v>
      </c>
      <c r="AB212" s="771">
        <f>IF($AC$5='Manuell filtrering og justering'!$J$2,Z212-W212,(T212-AA212))</f>
        <v>1</v>
      </c>
      <c r="AD212" s="150">
        <f t="shared" si="536"/>
        <v>5.7142857142857143E-3</v>
      </c>
      <c r="AE212" s="150">
        <f t="shared" si="542"/>
        <v>0</v>
      </c>
      <c r="AF212" s="150">
        <f t="shared" si="543"/>
        <v>0</v>
      </c>
      <c r="AG212" s="150">
        <f t="shared" si="544"/>
        <v>0</v>
      </c>
      <c r="AI212" s="151">
        <f>IF(VLOOKUP(E212,'Pre-Assessment Estimator'!$E$11:$Z$228,'Pre-Assessment Estimator'!$G$2,FALSE)&gt;AB212,AB212,VLOOKUP(E212,'Pre-Assessment Estimator'!$E$11:$Z$228,'Pre-Assessment Estimator'!$G$2,FALSE))</f>
        <v>0</v>
      </c>
      <c r="AJ212" s="151">
        <f>IF(VLOOKUP(E212,'Pre-Assessment Estimator'!$E$11:$Z$228,'Pre-Assessment Estimator'!$N$2,FALSE)&gt;AB212,AB212,VLOOKUP(E212,'Pre-Assessment Estimator'!$E$11:$Z$228,'Pre-Assessment Estimator'!$N$2,FALSE))</f>
        <v>0</v>
      </c>
      <c r="AK212" s="151">
        <f>IF(VLOOKUP(E212,'Pre-Assessment Estimator'!$E$11:$Z$228,'Pre-Assessment Estimator'!$U$2,FALSE)&gt;AB212,AB212,VLOOKUP(E212,'Pre-Assessment Estimator'!$E$11:$Z$228,'Pre-Assessment Estimator'!$U$2,FALSE))</f>
        <v>0</v>
      </c>
      <c r="AM212" s="653"/>
      <c r="AN212" s="654"/>
      <c r="AO212" s="654"/>
      <c r="AP212" s="654"/>
      <c r="AQ212" s="646"/>
      <c r="AR212" s="123"/>
      <c r="AS212" s="653"/>
      <c r="AT212" s="654"/>
      <c r="AU212" s="654"/>
      <c r="AV212" s="654"/>
      <c r="AW212" s="646"/>
      <c r="AY212" s="167"/>
      <c r="AZ212" s="48"/>
      <c r="BA212" s="48"/>
      <c r="BB212" s="48"/>
      <c r="BC212" s="655"/>
      <c r="BD212" s="160">
        <f t="shared" si="458"/>
        <v>9</v>
      </c>
      <c r="BE212" s="45" t="str">
        <f t="shared" si="538"/>
        <v>N/A</v>
      </c>
      <c r="BF212" s="163"/>
      <c r="BG212" s="160">
        <f t="shared" ref="BG212:BG213" si="557">IF(BC212=0,9,IF(AJ212&gt;=BC212,5,IF(AJ212&gt;=BB212,4,IF(AJ212&gt;=BA212,3,IF(AJ212&gt;=AZ212,2,IF(AJ212&lt;AY212,0,1))))))</f>
        <v>9</v>
      </c>
      <c r="BH212" s="45" t="str">
        <f t="shared" si="539"/>
        <v>N/A</v>
      </c>
      <c r="BI212" s="163"/>
      <c r="BJ212" s="160">
        <f t="shared" si="441"/>
        <v>9</v>
      </c>
      <c r="BK212" s="45" t="str">
        <f t="shared" si="540"/>
        <v>N/A</v>
      </c>
      <c r="BL212" s="650"/>
      <c r="BO212" s="43"/>
      <c r="BP212" s="43"/>
      <c r="BQ212" s="43" t="str">
        <f t="shared" si="548"/>
        <v/>
      </c>
      <c r="BR212" s="43">
        <f t="shared" si="393"/>
        <v>9</v>
      </c>
      <c r="BS212" s="43">
        <f t="shared" si="394"/>
        <v>9</v>
      </c>
      <c r="BT212" s="43">
        <f t="shared" si="395"/>
        <v>9</v>
      </c>
      <c r="BW212" s="63"/>
      <c r="BX212" s="63"/>
      <c r="BY212" s="656"/>
      <c r="BZ212" s="63"/>
      <c r="CA212" s="514"/>
      <c r="CB212" s="63"/>
      <c r="CG212" s="62"/>
    </row>
    <row r="213" spans="1:85" ht="15.75" thickBot="1" x14ac:dyDescent="0.3">
      <c r="A213">
        <v>205</v>
      </c>
      <c r="B213" t="str">
        <f t="shared" si="556"/>
        <v>POL 05b</v>
      </c>
      <c r="D213" s="168" t="s">
        <v>676</v>
      </c>
      <c r="E213" s="683" t="s">
        <v>885</v>
      </c>
      <c r="F213" s="590">
        <v>1</v>
      </c>
      <c r="G213" s="590">
        <v>1</v>
      </c>
      <c r="H213" s="907">
        <v>0</v>
      </c>
      <c r="I213" s="590">
        <v>1</v>
      </c>
      <c r="J213" s="590">
        <v>1</v>
      </c>
      <c r="K213" s="590">
        <v>1</v>
      </c>
      <c r="L213" s="590">
        <v>1</v>
      </c>
      <c r="M213" s="590">
        <v>1</v>
      </c>
      <c r="N213" s="590">
        <v>1</v>
      </c>
      <c r="O213" s="590">
        <v>1</v>
      </c>
      <c r="P213" s="590">
        <v>1</v>
      </c>
      <c r="Q213" s="590">
        <v>1</v>
      </c>
      <c r="R213" s="590">
        <v>1</v>
      </c>
      <c r="T213" s="148">
        <f t="shared" si="551"/>
        <v>1</v>
      </c>
      <c r="U213" s="191">
        <f>IF(U212=1,0,T213)</f>
        <v>1</v>
      </c>
      <c r="V213" s="820">
        <f>IF(ADIND_option02n=AD_no,T213,0)</f>
        <v>0</v>
      </c>
      <c r="W213" s="825">
        <f>IF(W212=1,0,Z213)</f>
        <v>1</v>
      </c>
      <c r="X213" s="822"/>
      <c r="Y213" s="148">
        <f>IF($Y$4=$Y$6,T213,0)</f>
        <v>0</v>
      </c>
      <c r="Z213" s="147">
        <f>VLOOKUP(B213,'Manuell filtrering og justering'!$A$7:$H$253,'Manuell filtrering og justering'!$H$1,FALSE)</f>
        <v>1</v>
      </c>
      <c r="AA213" s="148">
        <f t="shared" si="552"/>
        <v>1</v>
      </c>
      <c r="AB213" s="771">
        <f>IF($AC$5='Manuell filtrering og justering'!$J$2,Z213-W213,(T213-AA213))</f>
        <v>0</v>
      </c>
      <c r="AD213" s="150">
        <f t="shared" si="536"/>
        <v>0</v>
      </c>
      <c r="AE213" s="150">
        <f t="shared" si="542"/>
        <v>0</v>
      </c>
      <c r="AF213" s="150">
        <f t="shared" si="543"/>
        <v>0</v>
      </c>
      <c r="AG213" s="150">
        <f t="shared" si="544"/>
        <v>0</v>
      </c>
      <c r="AI213" s="151">
        <f>IF(VLOOKUP(E213,'Pre-Assessment Estimator'!$E$11:$Z$228,'Pre-Assessment Estimator'!$G$2,FALSE)&gt;AB213,AB213,VLOOKUP(E213,'Pre-Assessment Estimator'!$E$11:$Z$228,'Pre-Assessment Estimator'!$G$2,FALSE))</f>
        <v>0</v>
      </c>
      <c r="AJ213" s="151">
        <f>IF(VLOOKUP(E213,'Pre-Assessment Estimator'!$E$11:$Z$228,'Pre-Assessment Estimator'!$N$2,FALSE)&gt;AB213,AB213,VLOOKUP(E213,'Pre-Assessment Estimator'!$E$11:$Z$228,'Pre-Assessment Estimator'!$N$2,FALSE))</f>
        <v>0</v>
      </c>
      <c r="AK213" s="151">
        <f>IF(VLOOKUP(E213,'Pre-Assessment Estimator'!$E$11:$Z$228,'Pre-Assessment Estimator'!$U$2,FALSE)&gt;AB213,AB213,VLOOKUP(E213,'Pre-Assessment Estimator'!$E$11:$Z$228,'Pre-Assessment Estimator'!$U$2,FALSE))</f>
        <v>0</v>
      </c>
      <c r="AM213" s="653"/>
      <c r="AN213" s="654"/>
      <c r="AO213" s="654"/>
      <c r="AP213" s="654"/>
      <c r="AQ213" s="646"/>
      <c r="AR213" s="123"/>
      <c r="AS213" s="653"/>
      <c r="AT213" s="654"/>
      <c r="AU213" s="654"/>
      <c r="AV213" s="654"/>
      <c r="AW213" s="646"/>
      <c r="AY213" s="167"/>
      <c r="AZ213" s="48"/>
      <c r="BA213" s="48"/>
      <c r="BB213" s="48"/>
      <c r="BC213" s="655"/>
      <c r="BD213" s="160">
        <f t="shared" si="458"/>
        <v>9</v>
      </c>
      <c r="BE213" s="45" t="str">
        <f t="shared" si="538"/>
        <v>N/A</v>
      </c>
      <c r="BF213" s="163"/>
      <c r="BG213" s="160">
        <f t="shared" si="557"/>
        <v>9</v>
      </c>
      <c r="BH213" s="45" t="str">
        <f t="shared" si="539"/>
        <v>N/A</v>
      </c>
      <c r="BI213" s="163"/>
      <c r="BJ213" s="160">
        <f t="shared" si="441"/>
        <v>9</v>
      </c>
      <c r="BK213" s="45" t="str">
        <f t="shared" si="540"/>
        <v>N/A</v>
      </c>
      <c r="BL213" s="650"/>
      <c r="BO213" s="43"/>
      <c r="BP213" s="43"/>
      <c r="BQ213" s="43" t="str">
        <f t="shared" si="548"/>
        <v/>
      </c>
      <c r="BR213" s="43">
        <f t="shared" si="393"/>
        <v>9</v>
      </c>
      <c r="BS213" s="43">
        <f t="shared" si="394"/>
        <v>9</v>
      </c>
      <c r="BT213" s="43">
        <f t="shared" si="395"/>
        <v>9</v>
      </c>
      <c r="BW213" s="63"/>
      <c r="BX213" s="63"/>
      <c r="BY213" s="656"/>
      <c r="BZ213" s="63"/>
      <c r="CA213" s="514"/>
      <c r="CB213" s="63"/>
      <c r="CG213" s="62"/>
    </row>
    <row r="214" spans="1:85" ht="15.75" thickBot="1" x14ac:dyDescent="0.3">
      <c r="A214">
        <v>206</v>
      </c>
      <c r="B214" t="s">
        <v>868</v>
      </c>
      <c r="D214" s="531"/>
      <c r="E214" s="530" t="s">
        <v>204</v>
      </c>
      <c r="F214" s="587">
        <f t="shared" ref="F214:R214" si="558">F200+F204+F208+F211</f>
        <v>7</v>
      </c>
      <c r="G214" s="587">
        <f t="shared" si="558"/>
        <v>7</v>
      </c>
      <c r="H214" s="587">
        <f t="shared" si="558"/>
        <v>6</v>
      </c>
      <c r="I214" s="587">
        <f t="shared" si="558"/>
        <v>7</v>
      </c>
      <c r="J214" s="587">
        <f t="shared" si="558"/>
        <v>7</v>
      </c>
      <c r="K214" s="587">
        <f t="shared" si="558"/>
        <v>7</v>
      </c>
      <c r="L214" s="587">
        <f t="shared" si="558"/>
        <v>7</v>
      </c>
      <c r="M214" s="587">
        <f t="shared" si="558"/>
        <v>7</v>
      </c>
      <c r="N214" s="587">
        <f t="shared" si="558"/>
        <v>7</v>
      </c>
      <c r="O214" s="587">
        <f t="shared" si="558"/>
        <v>7</v>
      </c>
      <c r="P214" s="587">
        <f t="shared" si="558"/>
        <v>7</v>
      </c>
      <c r="Q214" s="587">
        <f t="shared" ref="Q214" si="559">Q200+Q204+Q208+Q211</f>
        <v>7</v>
      </c>
      <c r="R214" s="587">
        <f t="shared" si="558"/>
        <v>7</v>
      </c>
      <c r="T214" s="195">
        <f t="shared" si="551"/>
        <v>7</v>
      </c>
      <c r="U214" s="176"/>
      <c r="V214" s="178"/>
      <c r="W214" s="179"/>
      <c r="X214" s="823"/>
      <c r="Y214" s="868"/>
      <c r="Z214" s="178"/>
      <c r="AA214" s="587">
        <f>AA200+AA204+AA208+AA211</f>
        <v>0</v>
      </c>
      <c r="AB214" s="587">
        <f>AB200+AB204+AB208+AB211</f>
        <v>7</v>
      </c>
      <c r="AD214" s="180">
        <f>AD200+AD204+AD208+AD211</f>
        <v>0.04</v>
      </c>
      <c r="AE214" s="180">
        <f>AE200+AE204+AE208+AE211</f>
        <v>0</v>
      </c>
      <c r="AF214" s="180">
        <f>AF200+AF204+AF208+AF211</f>
        <v>0</v>
      </c>
      <c r="AG214" s="180">
        <f>AG200+AG204+AG208+AG211</f>
        <v>0</v>
      </c>
      <c r="AI214" s="38">
        <f>AI200+AI204+AI208+AI211</f>
        <v>0</v>
      </c>
      <c r="AJ214" s="38">
        <f>AJ200+AJ204+AJ208+AJ211</f>
        <v>0</v>
      </c>
      <c r="AK214" s="38">
        <f>AK200+AK204+AK208+AK211</f>
        <v>0</v>
      </c>
      <c r="AM214" s="123"/>
      <c r="AN214" s="123"/>
      <c r="AO214" s="123"/>
      <c r="AP214" s="123"/>
      <c r="AQ214" s="123"/>
      <c r="AR214" s="123"/>
      <c r="AS214" s="123"/>
      <c r="AT214" s="123"/>
      <c r="AU214" s="123"/>
      <c r="AV214" s="123"/>
      <c r="AW214" s="123"/>
      <c r="AZ214" s="181"/>
      <c r="BW214" s="50"/>
      <c r="BX214" s="50" t="str">
        <f>IFERROR(VLOOKUP($E214,'Pre-Assessment Estimator'!$E$11:$AB$228,'Pre-Assessment Estimator'!AB$2,FALSE),"")</f>
        <v/>
      </c>
      <c r="BY214" s="50" t="str">
        <f>IFERROR(VLOOKUP($E214,'Pre-Assessment Estimator'!$E$11:$AI$228,'Pre-Assessment Estimator'!AI$2,FALSE),"")</f>
        <v/>
      </c>
      <c r="BZ214" s="50" t="str">
        <f t="shared" ref="BZ214:BZ225" si="560">IFERROR(VLOOKUP($BX214,$E$294:$H$327,F$292,FALSE),"")</f>
        <v/>
      </c>
      <c r="CA214" s="50" t="str">
        <f t="shared" ref="CA214:CA225" si="561">IFERROR(VLOOKUP($BX214,$E$294:$H$327,G$292,FALSE),"")</f>
        <v/>
      </c>
      <c r="CB214" s="50"/>
      <c r="CC214" t="str">
        <f t="shared" ref="CC214:CC225" si="562">IFERROR(VLOOKUP($BX214,$E$294:$H$327,I$292,FALSE),"")</f>
        <v/>
      </c>
    </row>
    <row r="215" spans="1:85" ht="15.75" thickBot="1" x14ac:dyDescent="0.3">
      <c r="A215">
        <v>207</v>
      </c>
      <c r="AI215" s="1"/>
      <c r="AJ215" s="1"/>
      <c r="AK215" s="1"/>
      <c r="AM215" s="123"/>
      <c r="AN215" s="123"/>
      <c r="AO215" s="123"/>
      <c r="AP215" s="123"/>
      <c r="AQ215" s="123"/>
      <c r="AR215" s="123"/>
      <c r="AS215" s="123"/>
      <c r="AT215" s="123"/>
      <c r="AU215" s="123"/>
      <c r="AV215" s="123"/>
      <c r="AW215" s="123"/>
      <c r="BX215" t="str">
        <f>IFERROR(VLOOKUP($E215,'Pre-Assessment Estimator'!$E$11:$AB$228,'Pre-Assessment Estimator'!AB$2,FALSE),"")</f>
        <v/>
      </c>
      <c r="BY215" t="str">
        <f>IFERROR(VLOOKUP($E215,'Pre-Assessment Estimator'!$E$11:$AI$228,'Pre-Assessment Estimator'!AI$2,FALSE),"")</f>
        <v/>
      </c>
      <c r="BZ215" t="str">
        <f t="shared" si="560"/>
        <v/>
      </c>
      <c r="CA215" t="str">
        <f t="shared" si="561"/>
        <v/>
      </c>
      <c r="CC215" t="str">
        <f t="shared" si="562"/>
        <v/>
      </c>
    </row>
    <row r="216" spans="1:85" ht="60.75" thickBot="1" x14ac:dyDescent="0.3">
      <c r="A216">
        <v>208</v>
      </c>
      <c r="D216" s="132"/>
      <c r="E216" s="133" t="s">
        <v>214</v>
      </c>
      <c r="F216" s="1364" t="str">
        <f>$F$9</f>
        <v>Office</v>
      </c>
      <c r="G216" s="1364" t="str">
        <f>$G$9</f>
        <v>Retail</v>
      </c>
      <c r="H216" s="1365" t="str">
        <f>$H$9</f>
        <v>Residential</v>
      </c>
      <c r="I216" s="1364" t="str">
        <f>$I$9</f>
        <v>Industrial</v>
      </c>
      <c r="J216" s="1366" t="str">
        <f>$J$9</f>
        <v>Healthcare</v>
      </c>
      <c r="K216" s="1366" t="str">
        <f>$K$9</f>
        <v>Prison</v>
      </c>
      <c r="L216" s="1366" t="str">
        <f>$L$9</f>
        <v>Law Court</v>
      </c>
      <c r="M216" s="1367" t="str">
        <f>$M$9</f>
        <v>Residential institution (long term stay)</v>
      </c>
      <c r="N216" s="684" t="str">
        <f>$N$9</f>
        <v>Residential institution (short term stay)</v>
      </c>
      <c r="O216" s="684" t="str">
        <f>$O$9</f>
        <v>Non-residential institution</v>
      </c>
      <c r="P216" s="684" t="str">
        <f>$P$9</f>
        <v>Assembly and leisure</v>
      </c>
      <c r="Q216" s="1366" t="str">
        <f>$Q$9</f>
        <v>Education</v>
      </c>
      <c r="R216" s="659" t="str">
        <f>$R$9</f>
        <v>Other</v>
      </c>
      <c r="T216" s="122" t="str">
        <f>$E$6</f>
        <v>Office</v>
      </c>
      <c r="U216" s="182"/>
      <c r="V216" s="183"/>
      <c r="W216" s="183"/>
      <c r="X216" s="870"/>
      <c r="Y216" s="882" t="s">
        <v>391</v>
      </c>
      <c r="Z216" s="880" t="s">
        <v>317</v>
      </c>
      <c r="AA216" s="131" t="s">
        <v>204</v>
      </c>
      <c r="AB216" s="53" t="s">
        <v>15</v>
      </c>
      <c r="AI216" s="36"/>
      <c r="AJ216" s="54"/>
      <c r="AK216" s="54"/>
      <c r="AM216" s="123"/>
      <c r="AN216" s="123"/>
      <c r="AO216" s="123"/>
      <c r="AP216" s="123"/>
      <c r="AQ216" s="123"/>
      <c r="AR216" s="123"/>
      <c r="AS216" s="123"/>
      <c r="AT216" s="123"/>
      <c r="AU216" s="123"/>
      <c r="AV216" s="123"/>
      <c r="AW216" s="123"/>
      <c r="BO216" s="54"/>
      <c r="BP216" s="54"/>
      <c r="BQ216" s="54"/>
      <c r="BR216" s="54"/>
      <c r="BS216" s="54"/>
      <c r="BT216" s="54"/>
      <c r="BW216" s="47"/>
      <c r="BX216" s="47" t="str">
        <f>E216</f>
        <v>BREEAM innovation credits</v>
      </c>
      <c r="BY216" s="47" t="str">
        <f>IFERROR(VLOOKUP($E216,'Pre-Assessment Estimator'!$E$11:$AI$228,'Pre-Assessment Estimator'!AI$2,FALSE),"")</f>
        <v/>
      </c>
      <c r="BZ216" s="47" t="str">
        <f t="shared" si="560"/>
        <v/>
      </c>
      <c r="CA216" s="47" t="str">
        <f t="shared" si="561"/>
        <v/>
      </c>
      <c r="CB216" s="47"/>
      <c r="CC216" t="str">
        <f t="shared" si="562"/>
        <v/>
      </c>
    </row>
    <row r="217" spans="1:85" x14ac:dyDescent="0.25">
      <c r="A217">
        <v>209</v>
      </c>
      <c r="B217" t="str">
        <f>D217</f>
        <v>Inn 01</v>
      </c>
      <c r="D217" s="189" t="s">
        <v>184</v>
      </c>
      <c r="E217" s="156" t="str">
        <f>D217&amp;" - "&amp;E262</f>
        <v xml:space="preserve">Inn 01 - Man 03: Reduction of direct emissions from construction sites </v>
      </c>
      <c r="F217" s="588">
        <v>1</v>
      </c>
      <c r="G217" s="588">
        <v>1</v>
      </c>
      <c r="H217" s="588">
        <v>1</v>
      </c>
      <c r="I217" s="588">
        <v>1</v>
      </c>
      <c r="J217" s="588">
        <v>1</v>
      </c>
      <c r="K217" s="588">
        <v>1</v>
      </c>
      <c r="L217" s="588">
        <v>1</v>
      </c>
      <c r="M217" s="588">
        <v>1</v>
      </c>
      <c r="N217" s="588">
        <v>1</v>
      </c>
      <c r="O217" s="588">
        <v>1</v>
      </c>
      <c r="P217" s="588">
        <v>1</v>
      </c>
      <c r="Q217" s="589">
        <v>1</v>
      </c>
      <c r="R217" s="589">
        <v>1</v>
      </c>
      <c r="T217" s="184">
        <f t="shared" ref="T217:T231" si="563">HLOOKUP($E$6,$F$9:$R$231,$A217,FALSE)</f>
        <v>1</v>
      </c>
      <c r="U217" s="146"/>
      <c r="V217" s="43"/>
      <c r="W217" s="43"/>
      <c r="X217" s="147">
        <f>'Manuell filtrering og justering'!E94</f>
        <v>0</v>
      </c>
      <c r="Y217" s="148"/>
      <c r="Z217" s="865">
        <f>VLOOKUP(B217,'Manuell filtrering og justering'!$A$7:$H$253,'Manuell filtrering og justering'!$H$1,FALSE)</f>
        <v>1</v>
      </c>
      <c r="AA217" s="148">
        <f t="shared" ref="AA217:AA230" si="564">IF(SUM(U217:Y217)&gt;T217,T217,SUM(U217:Y217))</f>
        <v>0</v>
      </c>
      <c r="AB217" s="149">
        <f>IF($AC$5='Manuell filtrering og justering'!$J$2,Z217,(T217-AA217))</f>
        <v>1</v>
      </c>
      <c r="AD217" s="150">
        <f>(Inn_Weight/Inn_Credits)*Inn01_credits</f>
        <v>0.01</v>
      </c>
      <c r="AE217" s="150">
        <f t="shared" ref="AE217:AE230" si="565">IF(AB217=0,0,(AD217/AB217)*AI217)</f>
        <v>0</v>
      </c>
      <c r="AF217" s="150">
        <f t="shared" ref="AF217:AF230" si="566">IF(AB217=0,0,(AD217/AB217)*AJ217)</f>
        <v>0</v>
      </c>
      <c r="AG217" s="150">
        <f t="shared" ref="AG217:AG230" si="567">IF(AB217=0,0,(AD217/AB217)*AK217)</f>
        <v>0</v>
      </c>
      <c r="AI217" s="185">
        <f>IF(VLOOKUP(E217,'Pre-Assessment Estimator'!$E$11:$Z$228,'Pre-Assessment Estimator'!$G$2,FALSE)&gt;AB217,AB217,VLOOKUP(E217,'Pre-Assessment Estimator'!$E$11:$Z$228,'Pre-Assessment Estimator'!$G$2,FALSE))</f>
        <v>0</v>
      </c>
      <c r="AJ217" s="151">
        <f>IF(VLOOKUP(E217,'Pre-Assessment Estimator'!$E$11:$Z$228,'Pre-Assessment Estimator'!$N$2,FALSE)&gt;AB217,AB217,VLOOKUP(E217,'Pre-Assessment Estimator'!$E$11:$Z$228,'Pre-Assessment Estimator'!$N$2,FALSE))</f>
        <v>0</v>
      </c>
      <c r="AK217" s="151">
        <f>IF(VLOOKUP(E217,'Pre-Assessment Estimator'!$E$11:$Z$228,'Pre-Assessment Estimator'!$U$2,FALSE)&gt;AB217,AB217,VLOOKUP(E217,'Pre-Assessment Estimator'!$E$11:$Z$228,'Pre-Assessment Estimator'!$U$2,FALSE))</f>
        <v>0</v>
      </c>
      <c r="AM217" s="257"/>
      <c r="AN217" s="258"/>
      <c r="AO217" s="258"/>
      <c r="AP217" s="258"/>
      <c r="AQ217" s="538"/>
      <c r="AR217" s="123"/>
      <c r="AS217" s="257"/>
      <c r="AT217" s="258"/>
      <c r="AU217" s="258"/>
      <c r="AV217" s="258"/>
      <c r="AW217" s="259"/>
      <c r="AY217" s="189"/>
      <c r="AZ217" s="156"/>
      <c r="BA217" s="156"/>
      <c r="BB217" s="156"/>
      <c r="BC217" s="157">
        <f t="shared" si="537"/>
        <v>0</v>
      </c>
      <c r="BD217" s="153">
        <f t="shared" si="458"/>
        <v>9</v>
      </c>
      <c r="BE217" s="45" t="str">
        <f t="shared" ref="BE217:BE230" si="568">VLOOKUP(BD217,$BO$285:$BT$291,6,FALSE)</f>
        <v>N/A</v>
      </c>
      <c r="BF217" s="157"/>
      <c r="BG217" s="153">
        <f t="shared" ref="BG217:BG225" si="569">IF(BC217=0,9,IF(AJ217&gt;=BC217,5,IF(AJ217&gt;=BB217,4,IF(AJ217&gt;=BA217,3,IF(AJ217&gt;=AZ217,2,IF(AJ217&lt;AY217,0,1))))))</f>
        <v>9</v>
      </c>
      <c r="BH217" s="45" t="str">
        <f t="shared" ref="BH217:BH230" si="570">VLOOKUP(BG217,$BO$285:$BT$291,6,FALSE)</f>
        <v>N/A</v>
      </c>
      <c r="BI217" s="157"/>
      <c r="BJ217" s="153">
        <f t="shared" si="441"/>
        <v>9</v>
      </c>
      <c r="BK217" s="45" t="str">
        <f t="shared" ref="BK217:BK230" si="571">VLOOKUP(BJ217,$BO$285:$BT$291,6,FALSE)</f>
        <v>N/A</v>
      </c>
      <c r="BL217" s="157"/>
      <c r="BO217" s="43"/>
      <c r="BP217" s="43"/>
      <c r="BQ217" s="43" t="str">
        <f t="shared" si="548"/>
        <v/>
      </c>
      <c r="BR217" s="43">
        <f t="shared" si="393"/>
        <v>9</v>
      </c>
      <c r="BS217" s="43">
        <f t="shared" si="394"/>
        <v>9</v>
      </c>
      <c r="BT217" s="43">
        <f t="shared" si="395"/>
        <v>9</v>
      </c>
      <c r="BW217" s="45" t="str">
        <f t="shared" ref="BW217:BW225" si="572">D217</f>
        <v>Inn 01</v>
      </c>
      <c r="BX217" s="45" t="str">
        <f>IFERROR(VLOOKUP($E217,'Pre-Assessment Estimator'!$E$11:$AB$228,'Pre-Assessment Estimator'!AB$2,FALSE),"")</f>
        <v>N/A</v>
      </c>
      <c r="BY217" s="45">
        <f>IFERROR(VLOOKUP($E217,'Pre-Assessment Estimator'!$E$11:$AI$228,'Pre-Assessment Estimator'!AI$2,FALSE),"")</f>
        <v>0</v>
      </c>
      <c r="BZ217" s="45">
        <f t="shared" si="560"/>
        <v>1</v>
      </c>
      <c r="CA217" s="45">
        <f t="shared" si="561"/>
        <v>0</v>
      </c>
      <c r="CB217" s="45"/>
      <c r="CC217" t="str">
        <f t="shared" si="562"/>
        <v/>
      </c>
    </row>
    <row r="218" spans="1:85" x14ac:dyDescent="0.25">
      <c r="A218">
        <v>210</v>
      </c>
      <c r="B218" t="str">
        <f t="shared" ref="B218:B230" si="573">D218</f>
        <v>Inn 02</v>
      </c>
      <c r="D218" s="146" t="s">
        <v>185</v>
      </c>
      <c r="E218" s="887" t="str">
        <f>D218&amp;" - "&amp;E263</f>
        <v xml:space="preserve">Inn 02 - Hea 01: View out, high level </v>
      </c>
      <c r="F218" s="582">
        <v>1</v>
      </c>
      <c r="G218" s="582">
        <v>1</v>
      </c>
      <c r="H218" s="582">
        <v>1</v>
      </c>
      <c r="I218" s="582">
        <v>1</v>
      </c>
      <c r="J218" s="582">
        <v>1</v>
      </c>
      <c r="K218" s="582">
        <v>1</v>
      </c>
      <c r="L218" s="582">
        <v>1</v>
      </c>
      <c r="M218" s="582">
        <v>1</v>
      </c>
      <c r="N218" s="582">
        <v>1</v>
      </c>
      <c r="O218" s="582">
        <v>1</v>
      </c>
      <c r="P218" s="582">
        <v>1</v>
      </c>
      <c r="Q218" s="583">
        <v>1</v>
      </c>
      <c r="R218" s="583">
        <v>1</v>
      </c>
      <c r="T218" s="148">
        <f t="shared" si="563"/>
        <v>1</v>
      </c>
      <c r="U218" s="146"/>
      <c r="V218" s="43"/>
      <c r="W218" s="43"/>
      <c r="X218" s="147">
        <f>'Manuell filtrering og justering'!E95</f>
        <v>0</v>
      </c>
      <c r="Y218" s="148"/>
      <c r="Z218" s="865">
        <f>VLOOKUP(B218,'Manuell filtrering og justering'!$A$7:$H$253,'Manuell filtrering og justering'!$H$1,FALSE)</f>
        <v>1</v>
      </c>
      <c r="AA218" s="148">
        <f t="shared" si="564"/>
        <v>0</v>
      </c>
      <c r="AB218" s="149">
        <f>IF($AC$5='Manuell filtrering og justering'!$J$2,Z218,(T218-AA218))</f>
        <v>1</v>
      </c>
      <c r="AD218" s="150">
        <f>(Inn_Weight/Inn_Credits)*Inn02_credits</f>
        <v>0.01</v>
      </c>
      <c r="AE218" s="150">
        <f t="shared" si="565"/>
        <v>0</v>
      </c>
      <c r="AF218" s="150">
        <f t="shared" si="566"/>
        <v>0</v>
      </c>
      <c r="AG218" s="150">
        <f t="shared" si="567"/>
        <v>0</v>
      </c>
      <c r="AI218" s="185">
        <f>IF(VLOOKUP(E218,'Pre-Assessment Estimator'!$E$11:$Z$228,'Pre-Assessment Estimator'!$G$2,FALSE)&gt;AB218,AB218,VLOOKUP(E218,'Pre-Assessment Estimator'!$E$11:$Z$228,'Pre-Assessment Estimator'!$G$2,FALSE))</f>
        <v>0</v>
      </c>
      <c r="AJ218" s="151">
        <f>IF(VLOOKUP(E218,'Pre-Assessment Estimator'!$E$11:$Z$228,'Pre-Assessment Estimator'!$N$2,FALSE)&gt;AB218,AB218,VLOOKUP(E218,'Pre-Assessment Estimator'!$E$11:$Z$228,'Pre-Assessment Estimator'!$N$2,FALSE))</f>
        <v>0</v>
      </c>
      <c r="AK218" s="151">
        <f>IF(VLOOKUP(E218,'Pre-Assessment Estimator'!$E$11:$Z$228,'Pre-Assessment Estimator'!$U$2,FALSE)&gt;AB218,AB218,VLOOKUP(E218,'Pre-Assessment Estimator'!$E$11:$Z$228,'Pre-Assessment Estimator'!$U$2,FALSE))</f>
        <v>0</v>
      </c>
      <c r="AM218" s="251"/>
      <c r="AN218" s="252"/>
      <c r="AO218" s="252"/>
      <c r="AP218" s="252"/>
      <c r="AQ218" s="539"/>
      <c r="AR218" s="123"/>
      <c r="AS218" s="251"/>
      <c r="AT218" s="252"/>
      <c r="AU218" s="252"/>
      <c r="AV218" s="252"/>
      <c r="AW218" s="253"/>
      <c r="AY218" s="146"/>
      <c r="AZ218" s="43"/>
      <c r="BA218" s="43"/>
      <c r="BB218" s="43"/>
      <c r="BC218" s="163">
        <f t="shared" si="537"/>
        <v>0</v>
      </c>
      <c r="BD218" s="160">
        <f t="shared" si="458"/>
        <v>9</v>
      </c>
      <c r="BE218" s="45" t="str">
        <f t="shared" si="568"/>
        <v>N/A</v>
      </c>
      <c r="BF218" s="163"/>
      <c r="BG218" s="160">
        <f t="shared" si="569"/>
        <v>9</v>
      </c>
      <c r="BH218" s="45" t="str">
        <f t="shared" si="570"/>
        <v>N/A</v>
      </c>
      <c r="BI218" s="163"/>
      <c r="BJ218" s="160">
        <f t="shared" si="441"/>
        <v>9</v>
      </c>
      <c r="BK218" s="45" t="str">
        <f t="shared" si="571"/>
        <v>N/A</v>
      </c>
      <c r="BL218" s="163"/>
      <c r="BO218" s="43"/>
      <c r="BP218" s="43"/>
      <c r="BQ218" s="43" t="str">
        <f t="shared" si="548"/>
        <v/>
      </c>
      <c r="BR218" s="43">
        <f t="shared" si="393"/>
        <v>9</v>
      </c>
      <c r="BS218" s="43">
        <f t="shared" si="394"/>
        <v>9</v>
      </c>
      <c r="BT218" s="43">
        <f t="shared" si="395"/>
        <v>9</v>
      </c>
      <c r="BW218" s="43" t="str">
        <f t="shared" si="572"/>
        <v>Inn 02</v>
      </c>
      <c r="BX218" s="43" t="str">
        <f>IFERROR(VLOOKUP($E218,'Pre-Assessment Estimator'!$E$11:$AB$228,'Pre-Assessment Estimator'!AB$2,FALSE),"")</f>
        <v>N/A</v>
      </c>
      <c r="BY218" s="43">
        <f>IFERROR(VLOOKUP($E218,'Pre-Assessment Estimator'!$E$11:$AI$228,'Pre-Assessment Estimator'!AI$2,FALSE),"")</f>
        <v>0</v>
      </c>
      <c r="BZ218" s="43">
        <f t="shared" si="560"/>
        <v>1</v>
      </c>
      <c r="CA218" s="43">
        <f t="shared" si="561"/>
        <v>0</v>
      </c>
      <c r="CB218" s="43"/>
      <c r="CC218" t="str">
        <f t="shared" si="562"/>
        <v/>
      </c>
    </row>
    <row r="219" spans="1:85" x14ac:dyDescent="0.25">
      <c r="A219">
        <v>211</v>
      </c>
      <c r="B219" t="str">
        <f t="shared" si="573"/>
        <v>Inn 03</v>
      </c>
      <c r="D219" s="146" t="s">
        <v>186</v>
      </c>
      <c r="E219" s="43" t="s">
        <v>1827</v>
      </c>
      <c r="F219" s="582">
        <v>1</v>
      </c>
      <c r="G219" s="582">
        <v>1</v>
      </c>
      <c r="H219" s="582">
        <v>1</v>
      </c>
      <c r="I219" s="582">
        <v>1</v>
      </c>
      <c r="J219" s="582">
        <v>1</v>
      </c>
      <c r="K219" s="582">
        <v>1</v>
      </c>
      <c r="L219" s="582">
        <v>1</v>
      </c>
      <c r="M219" s="582">
        <v>1</v>
      </c>
      <c r="N219" s="582">
        <v>1</v>
      </c>
      <c r="O219" s="582">
        <v>1</v>
      </c>
      <c r="P219" s="582">
        <v>1</v>
      </c>
      <c r="Q219" s="583">
        <v>1</v>
      </c>
      <c r="R219" s="583">
        <v>1</v>
      </c>
      <c r="T219" s="148">
        <f t="shared" si="563"/>
        <v>1</v>
      </c>
      <c r="U219" s="146">
        <f>IF(Hea02_credits=0,T219,0)</f>
        <v>0</v>
      </c>
      <c r="V219" s="43"/>
      <c r="W219" s="43"/>
      <c r="X219" s="147">
        <f>'Manuell filtrering og justering'!E96</f>
        <v>0</v>
      </c>
      <c r="Y219" s="148">
        <f>IF($Y$4=$Y$6,T219,0)</f>
        <v>0</v>
      </c>
      <c r="Z219" s="865">
        <f>VLOOKUP(B219,'Manuell filtrering og justering'!$A$7:$H$253,'Manuell filtrering og justering'!$H$1,FALSE)</f>
        <v>1</v>
      </c>
      <c r="AA219" s="148">
        <f t="shared" si="564"/>
        <v>0</v>
      </c>
      <c r="AB219" s="149">
        <f>IF($AC$5='Manuell filtrering og justering'!$J$2,Z219,(T219-AA219))</f>
        <v>1</v>
      </c>
      <c r="AD219" s="150">
        <f>(Inn_Weight/Inn_Credits)*Inn03_credits</f>
        <v>0.01</v>
      </c>
      <c r="AE219" s="150">
        <f t="shared" si="565"/>
        <v>0</v>
      </c>
      <c r="AF219" s="150">
        <f t="shared" si="566"/>
        <v>0</v>
      </c>
      <c r="AG219" s="150">
        <f t="shared" si="567"/>
        <v>0</v>
      </c>
      <c r="AI219" s="185">
        <f>IF(VLOOKUP(E219,'Pre-Assessment Estimator'!$E$11:$Z$228,'Pre-Assessment Estimator'!$G$2,FALSE)&gt;AB219,AB219,VLOOKUP(E219,'Pre-Assessment Estimator'!$E$11:$Z$228,'Pre-Assessment Estimator'!$G$2,FALSE))</f>
        <v>0</v>
      </c>
      <c r="AJ219" s="151">
        <f>IF(VLOOKUP(E219,'Pre-Assessment Estimator'!$E$11:$Z$228,'Pre-Assessment Estimator'!$N$2,FALSE)&gt;AB219,AB219,VLOOKUP(E219,'Pre-Assessment Estimator'!$E$11:$Z$228,'Pre-Assessment Estimator'!$N$2,FALSE))</f>
        <v>0</v>
      </c>
      <c r="AK219" s="151">
        <f>IF(VLOOKUP(E219,'Pre-Assessment Estimator'!$E$11:$Z$228,'Pre-Assessment Estimator'!$U$2,FALSE)&gt;AB219,AB219,VLOOKUP(E219,'Pre-Assessment Estimator'!$E$11:$Z$228,'Pre-Assessment Estimator'!$U$2,FALSE))</f>
        <v>0</v>
      </c>
      <c r="AM219" s="251"/>
      <c r="AN219" s="252"/>
      <c r="AO219" s="252"/>
      <c r="AP219" s="252"/>
      <c r="AQ219" s="539"/>
      <c r="AR219" s="123"/>
      <c r="AS219" s="251"/>
      <c r="AT219" s="252"/>
      <c r="AU219" s="252"/>
      <c r="AV219" s="252"/>
      <c r="AW219" s="253"/>
      <c r="AY219" s="146"/>
      <c r="AZ219" s="43"/>
      <c r="BA219" s="43"/>
      <c r="BB219" s="43"/>
      <c r="BC219" s="163">
        <f t="shared" si="537"/>
        <v>0</v>
      </c>
      <c r="BD219" s="160">
        <f t="shared" si="458"/>
        <v>9</v>
      </c>
      <c r="BE219" s="45" t="str">
        <f t="shared" si="568"/>
        <v>N/A</v>
      </c>
      <c r="BF219" s="163"/>
      <c r="BG219" s="160">
        <f t="shared" si="569"/>
        <v>9</v>
      </c>
      <c r="BH219" s="45" t="str">
        <f t="shared" si="570"/>
        <v>N/A</v>
      </c>
      <c r="BI219" s="163"/>
      <c r="BJ219" s="160">
        <f t="shared" si="441"/>
        <v>9</v>
      </c>
      <c r="BK219" s="45" t="str">
        <f t="shared" si="571"/>
        <v>N/A</v>
      </c>
      <c r="BL219" s="163"/>
      <c r="BO219" s="43"/>
      <c r="BP219" s="43"/>
      <c r="BQ219" s="43" t="str">
        <f t="shared" si="548"/>
        <v/>
      </c>
      <c r="BR219" s="43">
        <f t="shared" si="393"/>
        <v>9</v>
      </c>
      <c r="BS219" s="43">
        <f t="shared" si="394"/>
        <v>9</v>
      </c>
      <c r="BT219" s="43">
        <f t="shared" si="395"/>
        <v>9</v>
      </c>
      <c r="BW219" s="43" t="str">
        <f t="shared" si="572"/>
        <v>Inn 03</v>
      </c>
      <c r="BX219" s="43" t="str">
        <f>IFERROR(VLOOKUP($E219,'Pre-Assessment Estimator'!$E$11:$AB$228,'Pre-Assessment Estimator'!AB$2,FALSE),"")</f>
        <v>N/A</v>
      </c>
      <c r="BY219" s="43">
        <f>IFERROR(VLOOKUP($E219,'Pre-Assessment Estimator'!$E$11:$AI$228,'Pre-Assessment Estimator'!AI$2,FALSE),"")</f>
        <v>0</v>
      </c>
      <c r="BZ219" s="43">
        <f t="shared" si="560"/>
        <v>1</v>
      </c>
      <c r="CA219" s="43">
        <f t="shared" si="561"/>
        <v>0</v>
      </c>
      <c r="CB219" s="43"/>
      <c r="CC219" t="str">
        <f t="shared" si="562"/>
        <v/>
      </c>
    </row>
    <row r="220" spans="1:85" x14ac:dyDescent="0.25">
      <c r="A220">
        <v>212</v>
      </c>
      <c r="B220" t="str">
        <f t="shared" si="573"/>
        <v>Inn 04</v>
      </c>
      <c r="D220" s="146" t="s">
        <v>187</v>
      </c>
      <c r="E220" s="43" t="str">
        <f t="shared" ref="E220:E230" si="574">D220&amp;" - "&amp;E265</f>
        <v xml:space="preserve">Inn 04 - Hea 06: Biofilik design </v>
      </c>
      <c r="F220" s="582">
        <v>1</v>
      </c>
      <c r="G220" s="582">
        <v>1</v>
      </c>
      <c r="H220" s="582">
        <v>1</v>
      </c>
      <c r="I220" s="582">
        <v>1</v>
      </c>
      <c r="J220" s="582">
        <v>1</v>
      </c>
      <c r="K220" s="582">
        <v>1</v>
      </c>
      <c r="L220" s="582">
        <v>1</v>
      </c>
      <c r="M220" s="582">
        <v>1</v>
      </c>
      <c r="N220" s="582">
        <v>1</v>
      </c>
      <c r="O220" s="582">
        <v>1</v>
      </c>
      <c r="P220" s="582">
        <v>1</v>
      </c>
      <c r="Q220" s="583">
        <v>1</v>
      </c>
      <c r="R220" s="583">
        <v>1</v>
      </c>
      <c r="T220" s="148">
        <f t="shared" si="563"/>
        <v>1</v>
      </c>
      <c r="U220" s="146"/>
      <c r="V220" s="43"/>
      <c r="W220" s="43"/>
      <c r="X220" s="147">
        <f>'Manuell filtrering og justering'!E97</f>
        <v>0</v>
      </c>
      <c r="Y220" s="148">
        <f>IF(OR($Y$4=$Y$5,$Y$4=$Y$6),T220,0)</f>
        <v>0</v>
      </c>
      <c r="Z220" s="865">
        <f>VLOOKUP(B220,'Manuell filtrering og justering'!$A$7:$H$253,'Manuell filtrering og justering'!$H$1,FALSE)</f>
        <v>1</v>
      </c>
      <c r="AA220" s="148">
        <f t="shared" si="564"/>
        <v>0</v>
      </c>
      <c r="AB220" s="149">
        <f>IF($AC$5='Manuell filtrering og justering'!$J$2,Z220,(T220-AA220))</f>
        <v>1</v>
      </c>
      <c r="AD220" s="150">
        <f>(Inn_Weight/Inn_Credits)*Inn04_credits</f>
        <v>0.01</v>
      </c>
      <c r="AE220" s="150">
        <f t="shared" si="565"/>
        <v>0</v>
      </c>
      <c r="AF220" s="150">
        <f t="shared" si="566"/>
        <v>0</v>
      </c>
      <c r="AG220" s="150">
        <f t="shared" si="567"/>
        <v>0</v>
      </c>
      <c r="AI220" s="185">
        <f>IF(VLOOKUP(E220,'Pre-Assessment Estimator'!$E$11:$Z$228,'Pre-Assessment Estimator'!$G$2,FALSE)&gt;AB220,AB220,VLOOKUP(E220,'Pre-Assessment Estimator'!$E$11:$Z$228,'Pre-Assessment Estimator'!$G$2,FALSE))</f>
        <v>0</v>
      </c>
      <c r="AJ220" s="151">
        <f>IF(VLOOKUP(E220,'Pre-Assessment Estimator'!$E$11:$Z$228,'Pre-Assessment Estimator'!$N$2,FALSE)&gt;AB220,AB220,VLOOKUP(E220,'Pre-Assessment Estimator'!$E$11:$Z$228,'Pre-Assessment Estimator'!$N$2,FALSE))</f>
        <v>0</v>
      </c>
      <c r="AK220" s="151">
        <f>IF(VLOOKUP(E220,'Pre-Assessment Estimator'!$E$11:$Z$228,'Pre-Assessment Estimator'!$U$2,FALSE)&gt;AB220,AB220,VLOOKUP(E220,'Pre-Assessment Estimator'!$E$11:$Z$228,'Pre-Assessment Estimator'!$U$2,FALSE))</f>
        <v>0</v>
      </c>
      <c r="AM220" s="251"/>
      <c r="AN220" s="252"/>
      <c r="AO220" s="252"/>
      <c r="AP220" s="252"/>
      <c r="AQ220" s="539"/>
      <c r="AR220" s="123"/>
      <c r="AS220" s="251"/>
      <c r="AT220" s="252"/>
      <c r="AU220" s="252"/>
      <c r="AV220" s="252"/>
      <c r="AW220" s="253"/>
      <c r="AY220" s="146"/>
      <c r="AZ220" s="43"/>
      <c r="BA220" s="43"/>
      <c r="BB220" s="43"/>
      <c r="BC220" s="163">
        <f t="shared" si="537"/>
        <v>0</v>
      </c>
      <c r="BD220" s="160">
        <f t="shared" si="458"/>
        <v>9</v>
      </c>
      <c r="BE220" s="45" t="str">
        <f t="shared" si="568"/>
        <v>N/A</v>
      </c>
      <c r="BF220" s="163"/>
      <c r="BG220" s="160">
        <f t="shared" si="569"/>
        <v>9</v>
      </c>
      <c r="BH220" s="45" t="str">
        <f t="shared" si="570"/>
        <v>N/A</v>
      </c>
      <c r="BI220" s="163"/>
      <c r="BJ220" s="160">
        <f t="shared" si="441"/>
        <v>9</v>
      </c>
      <c r="BK220" s="45" t="str">
        <f t="shared" si="571"/>
        <v>N/A</v>
      </c>
      <c r="BL220" s="163"/>
      <c r="BO220" s="43"/>
      <c r="BP220" s="43"/>
      <c r="BQ220" s="43" t="str">
        <f t="shared" si="548"/>
        <v/>
      </c>
      <c r="BR220" s="43">
        <f t="shared" si="393"/>
        <v>9</v>
      </c>
      <c r="BS220" s="43">
        <f t="shared" si="394"/>
        <v>9</v>
      </c>
      <c r="BT220" s="43">
        <f t="shared" si="395"/>
        <v>9</v>
      </c>
      <c r="BW220" s="43" t="str">
        <f t="shared" si="572"/>
        <v>Inn 04</v>
      </c>
      <c r="BX220" s="43" t="str">
        <f>IFERROR(VLOOKUP($E220,'Pre-Assessment Estimator'!$E$11:$AB$228,'Pre-Assessment Estimator'!AB$2,FALSE),"")</f>
        <v>N/A</v>
      </c>
      <c r="BY220" s="43">
        <f>IFERROR(VLOOKUP($E220,'Pre-Assessment Estimator'!$E$11:$AI$228,'Pre-Assessment Estimator'!AI$2,FALSE),"")</f>
        <v>0</v>
      </c>
      <c r="BZ220" s="43">
        <f t="shared" si="560"/>
        <v>1</v>
      </c>
      <c r="CA220" s="43">
        <f t="shared" si="561"/>
        <v>0</v>
      </c>
      <c r="CB220" s="43"/>
      <c r="CC220" t="str">
        <f t="shared" si="562"/>
        <v/>
      </c>
    </row>
    <row r="221" spans="1:85" x14ac:dyDescent="0.25">
      <c r="A221">
        <v>213</v>
      </c>
      <c r="B221" t="str">
        <f t="shared" si="573"/>
        <v>Inn 05</v>
      </c>
      <c r="D221" s="146" t="s">
        <v>188</v>
      </c>
      <c r="E221" s="845" t="str">
        <f t="shared" si="574"/>
        <v xml:space="preserve">Inn 05 - Ene 01: Post-occupancy stage </v>
      </c>
      <c r="F221" s="580">
        <v>2</v>
      </c>
      <c r="G221" s="580">
        <v>2</v>
      </c>
      <c r="H221" s="580">
        <v>2</v>
      </c>
      <c r="I221" s="580">
        <v>2</v>
      </c>
      <c r="J221" s="580">
        <v>2</v>
      </c>
      <c r="K221" s="580">
        <v>2</v>
      </c>
      <c r="L221" s="580">
        <v>2</v>
      </c>
      <c r="M221" s="580">
        <v>2</v>
      </c>
      <c r="N221" s="580">
        <v>2</v>
      </c>
      <c r="O221" s="580">
        <v>2</v>
      </c>
      <c r="P221" s="580">
        <v>2</v>
      </c>
      <c r="Q221" s="581">
        <v>2</v>
      </c>
      <c r="R221" s="581">
        <v>2</v>
      </c>
      <c r="T221" s="148">
        <f t="shared" si="563"/>
        <v>2</v>
      </c>
      <c r="U221" s="146"/>
      <c r="V221" s="43"/>
      <c r="W221" s="43"/>
      <c r="X221" s="147">
        <f>'Manuell filtrering og justering'!E98</f>
        <v>0</v>
      </c>
      <c r="Y221" s="148">
        <f>IF($Y$4=$Y$6,T221,0)</f>
        <v>0</v>
      </c>
      <c r="Z221" s="865">
        <f>VLOOKUP(B221,'Manuell filtrering og justering'!$A$7:$H$253,'Manuell filtrering og justering'!$H$1,FALSE)</f>
        <v>1</v>
      </c>
      <c r="AA221" s="148">
        <f t="shared" si="564"/>
        <v>0</v>
      </c>
      <c r="AB221" s="149">
        <f>IF($AC$5='Manuell filtrering og justering'!$J$2,Z221,(T221-AA221))</f>
        <v>2</v>
      </c>
      <c r="AD221" s="150">
        <f>(Inn_Weight/Inn_Credits)*Inn05_credits</f>
        <v>0.02</v>
      </c>
      <c r="AE221" s="150">
        <f t="shared" si="565"/>
        <v>0</v>
      </c>
      <c r="AF221" s="150">
        <f t="shared" si="566"/>
        <v>0</v>
      </c>
      <c r="AG221" s="150">
        <f t="shared" si="567"/>
        <v>0</v>
      </c>
      <c r="AI221" s="797">
        <f>IF(OR(AI74&lt;&gt;AB74,Ene02_user&lt;&gt;Ene02_credits),0,IF(VLOOKUP(E221,'Pre-Assessment Estimator'!$E$11:$Z$228,'Pre-Assessment Estimator'!$G$2,FALSE)&gt;AB221,AB221,VLOOKUP(E221,'Pre-Assessment Estimator'!$E$11:$Z$228,'Pre-Assessment Estimator'!$G$2,FALSE)))</f>
        <v>0</v>
      </c>
      <c r="AJ221" s="794">
        <f>IF(OR(AJ74&lt;&gt;AB74,AJ75&lt;&gt;Ene02_credits),0,IF(VLOOKUP(E221,'Pre-Assessment Estimator'!$E$11:$Z$228,'Pre-Assessment Estimator'!$N$2,FALSE)&gt;AB221,AB221,VLOOKUP(E221,'Pre-Assessment Estimator'!$E$11:$Z$228,'Pre-Assessment Estimator'!$N$2,FALSE)))</f>
        <v>0</v>
      </c>
      <c r="AK221" s="794">
        <f>IF(OR(AK74&lt;&gt;AB74,AK75&lt;&gt;Ene02_credits),0,IF(VLOOKUP(E221,'Pre-Assessment Estimator'!$E$11:$Z$228,'Pre-Assessment Estimator'!$U$2,FALSE)&gt;AB221,AB221,VLOOKUP(E221,'Pre-Assessment Estimator'!$E$11:$Z$228,'Pre-Assessment Estimator'!$U$2,FALSE)))</f>
        <v>0</v>
      </c>
      <c r="AM221" s="251"/>
      <c r="AN221" s="252"/>
      <c r="AO221" s="252"/>
      <c r="AP221" s="252"/>
      <c r="AQ221" s="539"/>
      <c r="AR221" s="123"/>
      <c r="AS221" s="251"/>
      <c r="AT221" s="252"/>
      <c r="AU221" s="252"/>
      <c r="AV221" s="252"/>
      <c r="AW221" s="253"/>
      <c r="AY221" s="146"/>
      <c r="AZ221" s="43"/>
      <c r="BA221" s="43"/>
      <c r="BB221" s="43"/>
      <c r="BC221" s="163">
        <f t="shared" si="537"/>
        <v>0</v>
      </c>
      <c r="BD221" s="160">
        <f t="shared" si="458"/>
        <v>9</v>
      </c>
      <c r="BE221" s="45" t="str">
        <f t="shared" si="568"/>
        <v>N/A</v>
      </c>
      <c r="BF221" s="163"/>
      <c r="BG221" s="160">
        <f t="shared" si="569"/>
        <v>9</v>
      </c>
      <c r="BH221" s="45" t="str">
        <f t="shared" si="570"/>
        <v>N/A</v>
      </c>
      <c r="BI221" s="163"/>
      <c r="BJ221" s="160">
        <f t="shared" si="441"/>
        <v>9</v>
      </c>
      <c r="BK221" s="45" t="str">
        <f t="shared" si="571"/>
        <v>N/A</v>
      </c>
      <c r="BL221" s="163"/>
      <c r="BO221" s="43"/>
      <c r="BP221" s="43"/>
      <c r="BQ221" s="43" t="str">
        <f t="shared" si="548"/>
        <v/>
      </c>
      <c r="BR221" s="43">
        <f t="shared" si="393"/>
        <v>9</v>
      </c>
      <c r="BS221" s="43">
        <f t="shared" si="394"/>
        <v>9</v>
      </c>
      <c r="BT221" s="43">
        <f t="shared" si="395"/>
        <v>9</v>
      </c>
      <c r="BW221" s="43" t="str">
        <f t="shared" si="572"/>
        <v>Inn 05</v>
      </c>
      <c r="BX221" s="43" t="str">
        <f>IFERROR(VLOOKUP($E221,'Pre-Assessment Estimator'!$E$11:$AB$228,'Pre-Assessment Estimator'!AB$2,FALSE),"")</f>
        <v>N/A</v>
      </c>
      <c r="BY221" s="43">
        <f>IFERROR(VLOOKUP($E221,'Pre-Assessment Estimator'!$E$11:$AI$228,'Pre-Assessment Estimator'!AI$2,FALSE),"")</f>
        <v>0</v>
      </c>
      <c r="BZ221" s="43">
        <f t="shared" si="560"/>
        <v>1</v>
      </c>
      <c r="CA221" s="43">
        <f t="shared" si="561"/>
        <v>0</v>
      </c>
      <c r="CB221" s="43"/>
      <c r="CC221" t="str">
        <f t="shared" si="562"/>
        <v/>
      </c>
    </row>
    <row r="222" spans="1:85" x14ac:dyDescent="0.25">
      <c r="A222">
        <v>214</v>
      </c>
      <c r="B222" t="str">
        <f t="shared" si="573"/>
        <v>Inn 06</v>
      </c>
      <c r="D222" s="146" t="s">
        <v>189</v>
      </c>
      <c r="E222" s="845" t="str">
        <f t="shared" si="574"/>
        <v xml:space="preserve">Inn 06 - Ene 01: Plus house </v>
      </c>
      <c r="F222" s="580">
        <v>1</v>
      </c>
      <c r="G222" s="580">
        <v>1</v>
      </c>
      <c r="H222" s="580">
        <v>1</v>
      </c>
      <c r="I222" s="580">
        <v>1</v>
      </c>
      <c r="J222" s="580">
        <v>1</v>
      </c>
      <c r="K222" s="580">
        <v>1</v>
      </c>
      <c r="L222" s="580">
        <v>1</v>
      </c>
      <c r="M222" s="580">
        <v>1</v>
      </c>
      <c r="N222" s="580">
        <v>1</v>
      </c>
      <c r="O222" s="580">
        <v>1</v>
      </c>
      <c r="P222" s="580">
        <v>1</v>
      </c>
      <c r="Q222" s="581">
        <v>1</v>
      </c>
      <c r="R222" s="581">
        <v>1</v>
      </c>
      <c r="T222" s="148">
        <f t="shared" si="563"/>
        <v>1</v>
      </c>
      <c r="U222" s="146"/>
      <c r="V222" s="43"/>
      <c r="W222" s="43"/>
      <c r="X222" s="147">
        <f>'Manuell filtrering og justering'!E99</f>
        <v>0</v>
      </c>
      <c r="Y222" s="148">
        <f>IF($Y$4=$Y$6,T222,0)</f>
        <v>0</v>
      </c>
      <c r="Z222" s="865">
        <f>VLOOKUP(B222,'Manuell filtrering og justering'!$A$7:$H$253,'Manuell filtrering og justering'!$H$1,FALSE)</f>
        <v>1</v>
      </c>
      <c r="AA222" s="148">
        <f t="shared" si="564"/>
        <v>0</v>
      </c>
      <c r="AB222" s="149">
        <f>IF($AC$5='Manuell filtrering og justering'!$J$2,Z222,(T222-AA222))</f>
        <v>1</v>
      </c>
      <c r="AD222" s="150">
        <f>(Inn_Weight/Inn_Credits)*Inn06_credits</f>
        <v>0.01</v>
      </c>
      <c r="AE222" s="150">
        <f t="shared" si="565"/>
        <v>0</v>
      </c>
      <c r="AF222" s="150">
        <f t="shared" si="566"/>
        <v>0</v>
      </c>
      <c r="AG222" s="150">
        <f t="shared" si="567"/>
        <v>0</v>
      </c>
      <c r="AI222" s="185">
        <f>IF(VLOOKUP(E222,'Pre-Assessment Estimator'!$E$11:$Z$228,'Pre-Assessment Estimator'!$G$2,FALSE)&gt;AB222,AB222,VLOOKUP(E222,'Pre-Assessment Estimator'!$E$11:$Z$228,'Pre-Assessment Estimator'!$G$2,FALSE))</f>
        <v>0</v>
      </c>
      <c r="AJ222" s="151">
        <f>IF(VLOOKUP(E222,'Pre-Assessment Estimator'!$E$11:$Z$228,'Pre-Assessment Estimator'!$N$2,FALSE)&gt;AB222,AB222,VLOOKUP(E222,'Pre-Assessment Estimator'!$E$11:$Z$228,'Pre-Assessment Estimator'!$N$2,FALSE))</f>
        <v>0</v>
      </c>
      <c r="AK222" s="151">
        <f>IF(VLOOKUP(E222,'Pre-Assessment Estimator'!$E$11:$Z$228,'Pre-Assessment Estimator'!$U$2,FALSE)&gt;AB222,AB222,VLOOKUP(E222,'Pre-Assessment Estimator'!$E$11:$Z$228,'Pre-Assessment Estimator'!$U$2,FALSE))</f>
        <v>0</v>
      </c>
      <c r="AM222" s="251"/>
      <c r="AN222" s="252"/>
      <c r="AO222" s="252"/>
      <c r="AP222" s="252"/>
      <c r="AQ222" s="539"/>
      <c r="AR222" s="123"/>
      <c r="AS222" s="251"/>
      <c r="AT222" s="252"/>
      <c r="AU222" s="252"/>
      <c r="AV222" s="252"/>
      <c r="AW222" s="253"/>
      <c r="AY222" s="146"/>
      <c r="AZ222" s="43"/>
      <c r="BA222" s="43"/>
      <c r="BB222" s="43"/>
      <c r="BC222" s="163">
        <f t="shared" si="537"/>
        <v>0</v>
      </c>
      <c r="BD222" s="160">
        <f t="shared" si="458"/>
        <v>9</v>
      </c>
      <c r="BE222" s="45" t="str">
        <f t="shared" si="568"/>
        <v>N/A</v>
      </c>
      <c r="BF222" s="163"/>
      <c r="BG222" s="160">
        <f t="shared" si="569"/>
        <v>9</v>
      </c>
      <c r="BH222" s="45" t="str">
        <f t="shared" si="570"/>
        <v>N/A</v>
      </c>
      <c r="BI222" s="163"/>
      <c r="BJ222" s="160">
        <f t="shared" si="441"/>
        <v>9</v>
      </c>
      <c r="BK222" s="45" t="str">
        <f t="shared" si="571"/>
        <v>N/A</v>
      </c>
      <c r="BL222" s="163"/>
      <c r="BO222" s="43"/>
      <c r="BP222" s="43"/>
      <c r="BQ222" s="43" t="str">
        <f t="shared" si="548"/>
        <v/>
      </c>
      <c r="BR222" s="43">
        <f t="shared" si="393"/>
        <v>9</v>
      </c>
      <c r="BS222" s="43">
        <f t="shared" si="394"/>
        <v>9</v>
      </c>
      <c r="BT222" s="43">
        <f t="shared" si="395"/>
        <v>9</v>
      </c>
      <c r="BW222" s="43" t="str">
        <f t="shared" si="572"/>
        <v>Inn 06</v>
      </c>
      <c r="BX222" s="43" t="str">
        <f>IFERROR(VLOOKUP($E222,'Pre-Assessment Estimator'!$E$11:$AB$228,'Pre-Assessment Estimator'!AB$2,FALSE),"")</f>
        <v>N/A</v>
      </c>
      <c r="BY222" s="43">
        <f>IFERROR(VLOOKUP($E222,'Pre-Assessment Estimator'!$E$11:$AI$228,'Pre-Assessment Estimator'!AI$2,FALSE),"")</f>
        <v>0</v>
      </c>
      <c r="BZ222" s="43">
        <f t="shared" si="560"/>
        <v>1</v>
      </c>
      <c r="CA222" s="43">
        <f t="shared" si="561"/>
        <v>0</v>
      </c>
      <c r="CB222" s="43"/>
      <c r="CC222" t="str">
        <f t="shared" si="562"/>
        <v/>
      </c>
    </row>
    <row r="223" spans="1:85" x14ac:dyDescent="0.25">
      <c r="A223">
        <v>215</v>
      </c>
      <c r="B223" t="str">
        <f t="shared" si="573"/>
        <v>Inn 07</v>
      </c>
      <c r="D223" s="146" t="s">
        <v>190</v>
      </c>
      <c r="E223" s="43" t="str">
        <f t="shared" si="574"/>
        <v>Inn 07 - Wat 01: Highly water efficient components</v>
      </c>
      <c r="F223" s="582">
        <v>1</v>
      </c>
      <c r="G223" s="582">
        <v>1</v>
      </c>
      <c r="H223" s="582">
        <v>1</v>
      </c>
      <c r="I223" s="582">
        <v>1</v>
      </c>
      <c r="J223" s="582">
        <v>1</v>
      </c>
      <c r="K223" s="582">
        <v>1</v>
      </c>
      <c r="L223" s="582">
        <v>1</v>
      </c>
      <c r="M223" s="582">
        <v>1</v>
      </c>
      <c r="N223" s="582">
        <v>1</v>
      </c>
      <c r="O223" s="582">
        <v>1</v>
      </c>
      <c r="P223" s="582">
        <v>1</v>
      </c>
      <c r="Q223" s="583">
        <v>1</v>
      </c>
      <c r="R223" s="583">
        <v>1</v>
      </c>
      <c r="T223" s="148">
        <f t="shared" si="563"/>
        <v>1</v>
      </c>
      <c r="U223" s="146"/>
      <c r="V223" s="43"/>
      <c r="W223" s="43"/>
      <c r="X223" s="147">
        <f>'Manuell filtrering og justering'!E100</f>
        <v>0</v>
      </c>
      <c r="Y223" s="148"/>
      <c r="Z223" s="865">
        <f>VLOOKUP(B223,'Manuell filtrering og justering'!$A$7:$H$253,'Manuell filtrering og justering'!$H$1,FALSE)</f>
        <v>1</v>
      </c>
      <c r="AA223" s="148">
        <f t="shared" si="564"/>
        <v>0</v>
      </c>
      <c r="AB223" s="149">
        <f>IF($AC$5='Manuell filtrering og justering'!$J$2,Z223,(T223-AA223))</f>
        <v>1</v>
      </c>
      <c r="AD223" s="150">
        <f>(Inn_Weight/Inn_Credits)*Inn07_credits</f>
        <v>0.01</v>
      </c>
      <c r="AE223" s="150">
        <f t="shared" si="565"/>
        <v>0</v>
      </c>
      <c r="AF223" s="150">
        <f t="shared" si="566"/>
        <v>0</v>
      </c>
      <c r="AG223" s="150">
        <f t="shared" si="567"/>
        <v>0</v>
      </c>
      <c r="AI223" s="185">
        <f>IF(VLOOKUP(E223,'Pre-Assessment Estimator'!$E$11:$Z$228,'Pre-Assessment Estimator'!$G$2,FALSE)&gt;AB223,AB223,VLOOKUP(E223,'Pre-Assessment Estimator'!$E$11:$Z$228,'Pre-Assessment Estimator'!$G$2,FALSE))</f>
        <v>0</v>
      </c>
      <c r="AJ223" s="151">
        <f>IF(VLOOKUP(E223,'Pre-Assessment Estimator'!$E$11:$Z$228,'Pre-Assessment Estimator'!$N$2,FALSE)&gt;AB223,AB223,VLOOKUP(E223,'Pre-Assessment Estimator'!$E$11:$Z$228,'Pre-Assessment Estimator'!$N$2,FALSE))</f>
        <v>0</v>
      </c>
      <c r="AK223" s="151">
        <f>IF(VLOOKUP(E223,'Pre-Assessment Estimator'!$E$11:$Z$228,'Pre-Assessment Estimator'!$U$2,FALSE)&gt;AB223,AB223,VLOOKUP(E223,'Pre-Assessment Estimator'!$E$11:$Z$228,'Pre-Assessment Estimator'!$U$2,FALSE))</f>
        <v>0</v>
      </c>
      <c r="AM223" s="251"/>
      <c r="AN223" s="252"/>
      <c r="AO223" s="252"/>
      <c r="AP223" s="252"/>
      <c r="AQ223" s="539"/>
      <c r="AR223" s="123"/>
      <c r="AS223" s="251"/>
      <c r="AT223" s="252"/>
      <c r="AU223" s="252"/>
      <c r="AV223" s="252"/>
      <c r="AW223" s="253"/>
      <c r="AY223" s="146"/>
      <c r="AZ223" s="43"/>
      <c r="BA223" s="43"/>
      <c r="BB223" s="43"/>
      <c r="BC223" s="163">
        <f t="shared" si="537"/>
        <v>0</v>
      </c>
      <c r="BD223" s="160">
        <f t="shared" si="458"/>
        <v>9</v>
      </c>
      <c r="BE223" s="45" t="str">
        <f t="shared" si="568"/>
        <v>N/A</v>
      </c>
      <c r="BF223" s="163"/>
      <c r="BG223" s="160">
        <f t="shared" si="569"/>
        <v>9</v>
      </c>
      <c r="BH223" s="45" t="str">
        <f t="shared" si="570"/>
        <v>N/A</v>
      </c>
      <c r="BI223" s="163"/>
      <c r="BJ223" s="160">
        <f t="shared" si="441"/>
        <v>9</v>
      </c>
      <c r="BK223" s="45" t="str">
        <f t="shared" si="571"/>
        <v>N/A</v>
      </c>
      <c r="BL223" s="163"/>
      <c r="BO223" s="43"/>
      <c r="BP223" s="43"/>
      <c r="BQ223" s="43" t="str">
        <f t="shared" si="548"/>
        <v/>
      </c>
      <c r="BR223" s="43">
        <f t="shared" ref="BR223:BR230" si="575">IF(BQ223="",9,(IF(AI223&gt;=BQ223,5,0)))</f>
        <v>9</v>
      </c>
      <c r="BS223" s="43">
        <f t="shared" ref="BS223:BS230" si="576">IF(BQ223="",9,(IF(AJ223&gt;=BQ223,5,0)))</f>
        <v>9</v>
      </c>
      <c r="BT223" s="43">
        <f t="shared" ref="BT223:BT230" si="577">IF(BQ223="",9,(IF(AK223&gt;=BQ223,5,0)))</f>
        <v>9</v>
      </c>
      <c r="BW223" s="43" t="str">
        <f t="shared" si="572"/>
        <v>Inn 07</v>
      </c>
      <c r="BX223" s="43" t="str">
        <f>IFERROR(VLOOKUP($E223,'Pre-Assessment Estimator'!$E$11:$AB$228,'Pre-Assessment Estimator'!AB$2,FALSE),"")</f>
        <v>N/A</v>
      </c>
      <c r="BY223" s="43">
        <f>IFERROR(VLOOKUP($E223,'Pre-Assessment Estimator'!$E$11:$AI$228,'Pre-Assessment Estimator'!AI$2,FALSE),"")</f>
        <v>0</v>
      </c>
      <c r="BZ223" s="43">
        <f t="shared" si="560"/>
        <v>1</v>
      </c>
      <c r="CA223" s="43">
        <f t="shared" si="561"/>
        <v>0</v>
      </c>
      <c r="CB223" s="43"/>
      <c r="CC223" t="str">
        <f t="shared" si="562"/>
        <v/>
      </c>
    </row>
    <row r="224" spans="1:85" x14ac:dyDescent="0.25">
      <c r="A224">
        <v>216</v>
      </c>
      <c r="B224" t="str">
        <f t="shared" si="573"/>
        <v>Inn 08</v>
      </c>
      <c r="D224" s="146" t="s">
        <v>212</v>
      </c>
      <c r="E224" s="43" t="str">
        <f t="shared" si="574"/>
        <v xml:space="preserve">Inn 08 - Mat 01: 60% reduction of greenhouse gas emission </v>
      </c>
      <c r="F224" s="582">
        <v>1</v>
      </c>
      <c r="G224" s="582">
        <v>1</v>
      </c>
      <c r="H224" s="582">
        <v>1</v>
      </c>
      <c r="I224" s="582">
        <v>1</v>
      </c>
      <c r="J224" s="582">
        <v>1</v>
      </c>
      <c r="K224" s="582">
        <v>1</v>
      </c>
      <c r="L224" s="582">
        <v>1</v>
      </c>
      <c r="M224" s="582">
        <v>1</v>
      </c>
      <c r="N224" s="582">
        <v>1</v>
      </c>
      <c r="O224" s="582">
        <v>1</v>
      </c>
      <c r="P224" s="582">
        <v>1</v>
      </c>
      <c r="Q224" s="583">
        <v>1</v>
      </c>
      <c r="R224" s="583">
        <v>1</v>
      </c>
      <c r="T224" s="148">
        <f t="shared" si="563"/>
        <v>1</v>
      </c>
      <c r="U224" s="146"/>
      <c r="V224" s="43"/>
      <c r="W224" s="43"/>
      <c r="X224" s="147">
        <f>'Manuell filtrering og justering'!E101</f>
        <v>0</v>
      </c>
      <c r="Y224" s="148"/>
      <c r="Z224" s="865">
        <f>VLOOKUP(B224,'Manuell filtrering og justering'!$A$7:$H$253,'Manuell filtrering og justering'!$H$1,FALSE)</f>
        <v>1</v>
      </c>
      <c r="AA224" s="148">
        <f t="shared" si="564"/>
        <v>0</v>
      </c>
      <c r="AB224" s="149">
        <f>IF($AC$5='Manuell filtrering og justering'!$J$2,Z224,(T224-AA224))</f>
        <v>1</v>
      </c>
      <c r="AD224" s="150">
        <f>(Inn_Weight/Inn_Credits)*Inn08_credits</f>
        <v>0.01</v>
      </c>
      <c r="AE224" s="150">
        <f t="shared" si="565"/>
        <v>0</v>
      </c>
      <c r="AF224" s="150">
        <f t="shared" si="566"/>
        <v>0</v>
      </c>
      <c r="AG224" s="150">
        <f t="shared" si="567"/>
        <v>0</v>
      </c>
      <c r="AI224" s="185">
        <f>IF(VLOOKUP(E224,'Pre-Assessment Estimator'!$E$11:$Z$228,'Pre-Assessment Estimator'!$G$2,FALSE)&gt;AB224,AB224,VLOOKUP(E224,'Pre-Assessment Estimator'!$E$11:$Z$228,'Pre-Assessment Estimator'!$G$2,FALSE))</f>
        <v>0</v>
      </c>
      <c r="AJ224" s="151">
        <f>IF(VLOOKUP(E224,'Pre-Assessment Estimator'!$E$11:$Z$228,'Pre-Assessment Estimator'!$N$2,FALSE)&gt;AB224,AB224,VLOOKUP(E224,'Pre-Assessment Estimator'!$E$11:$Z$228,'Pre-Assessment Estimator'!$N$2,FALSE))</f>
        <v>0</v>
      </c>
      <c r="AK224" s="151">
        <f>IF(VLOOKUP(E224,'Pre-Assessment Estimator'!$E$11:$Z$228,'Pre-Assessment Estimator'!$U$2,FALSE)&gt;AB224,AB224,VLOOKUP(E224,'Pre-Assessment Estimator'!$E$11:$Z$228,'Pre-Assessment Estimator'!$U$2,FALSE))</f>
        <v>0</v>
      </c>
      <c r="AM224" s="251"/>
      <c r="AN224" s="252"/>
      <c r="AO224" s="252"/>
      <c r="AP224" s="252"/>
      <c r="AQ224" s="539"/>
      <c r="AR224" s="123"/>
      <c r="AS224" s="251"/>
      <c r="AT224" s="252"/>
      <c r="AU224" s="252"/>
      <c r="AV224" s="252"/>
      <c r="AW224" s="253"/>
      <c r="AY224" s="146"/>
      <c r="AZ224" s="43"/>
      <c r="BA224" s="43"/>
      <c r="BB224" s="43"/>
      <c r="BC224" s="163">
        <f>IF($E$6=$H$9,AW224,AQ224)</f>
        <v>0</v>
      </c>
      <c r="BD224" s="160">
        <f t="shared" si="458"/>
        <v>9</v>
      </c>
      <c r="BE224" s="45" t="str">
        <f t="shared" si="568"/>
        <v>N/A</v>
      </c>
      <c r="BF224" s="163"/>
      <c r="BG224" s="160">
        <f t="shared" si="569"/>
        <v>9</v>
      </c>
      <c r="BH224" s="45" t="str">
        <f t="shared" si="570"/>
        <v>N/A</v>
      </c>
      <c r="BI224" s="163"/>
      <c r="BJ224" s="160">
        <f t="shared" si="441"/>
        <v>9</v>
      </c>
      <c r="BK224" s="45" t="str">
        <f t="shared" si="571"/>
        <v>N/A</v>
      </c>
      <c r="BL224" s="163"/>
      <c r="BO224" s="43"/>
      <c r="BP224" s="43"/>
      <c r="BQ224" s="43" t="str">
        <f t="shared" si="548"/>
        <v/>
      </c>
      <c r="BR224" s="43">
        <f t="shared" si="575"/>
        <v>9</v>
      </c>
      <c r="BS224" s="43">
        <f t="shared" si="576"/>
        <v>9</v>
      </c>
      <c r="BT224" s="43">
        <f t="shared" si="577"/>
        <v>9</v>
      </c>
      <c r="BW224" s="43" t="str">
        <f t="shared" si="572"/>
        <v>Inn 08</v>
      </c>
      <c r="BX224" s="43" t="str">
        <f>IFERROR(VLOOKUP($E224,'Pre-Assessment Estimator'!$E$11:$AB$228,'Pre-Assessment Estimator'!AB$2,FALSE),"")</f>
        <v>N/A</v>
      </c>
      <c r="BY224" s="43">
        <f>IFERROR(VLOOKUP($E224,'Pre-Assessment Estimator'!$E$11:$AI$228,'Pre-Assessment Estimator'!AI$2,FALSE),"")</f>
        <v>0</v>
      </c>
      <c r="BZ224" s="43">
        <f t="shared" si="560"/>
        <v>1</v>
      </c>
      <c r="CA224" s="43">
        <f t="shared" si="561"/>
        <v>0</v>
      </c>
      <c r="CB224" s="43"/>
      <c r="CC224" t="str">
        <f t="shared" si="562"/>
        <v/>
      </c>
    </row>
    <row r="225" spans="1:81" x14ac:dyDescent="0.25">
      <c r="A225">
        <v>217</v>
      </c>
      <c r="B225" t="str">
        <f t="shared" si="573"/>
        <v>Inn 09</v>
      </c>
      <c r="D225" s="146" t="s">
        <v>242</v>
      </c>
      <c r="E225" s="43" t="str">
        <f t="shared" si="574"/>
        <v>Inn 09 - Mat 06: FutureBuilt criteria set for circular buildings, point 2.3 reuse of building components</v>
      </c>
      <c r="F225" s="582">
        <v>1</v>
      </c>
      <c r="G225" s="582">
        <v>1</v>
      </c>
      <c r="H225" s="582">
        <v>1</v>
      </c>
      <c r="I225" s="582">
        <v>1</v>
      </c>
      <c r="J225" s="582">
        <v>1</v>
      </c>
      <c r="K225" s="582">
        <v>1</v>
      </c>
      <c r="L225" s="582">
        <v>1</v>
      </c>
      <c r="M225" s="582">
        <v>1</v>
      </c>
      <c r="N225" s="582">
        <v>1</v>
      </c>
      <c r="O225" s="582">
        <v>1</v>
      </c>
      <c r="P225" s="582">
        <v>1</v>
      </c>
      <c r="Q225" s="583">
        <v>1</v>
      </c>
      <c r="R225" s="583">
        <v>1</v>
      </c>
      <c r="T225" s="148">
        <f t="shared" si="563"/>
        <v>1</v>
      </c>
      <c r="U225" s="167"/>
      <c r="V225" s="48"/>
      <c r="W225" s="48"/>
      <c r="X225" s="147">
        <f>'Manuell filtrering og justering'!E102</f>
        <v>0</v>
      </c>
      <c r="Y225" s="148"/>
      <c r="Z225" s="865">
        <f>VLOOKUP(B225,'Manuell filtrering og justering'!$A$7:$H$253,'Manuell filtrering og justering'!$H$1,FALSE)</f>
        <v>1</v>
      </c>
      <c r="AA225" s="148">
        <f t="shared" si="564"/>
        <v>0</v>
      </c>
      <c r="AB225" s="149">
        <f>IF($AC$5='Manuell filtrering og justering'!$J$2,Z225,(T225-AA225))</f>
        <v>1</v>
      </c>
      <c r="AD225" s="150">
        <f>(Inn_Weight/Inn_Credits)*Inn09_credits</f>
        <v>0.01</v>
      </c>
      <c r="AE225" s="150">
        <f t="shared" si="565"/>
        <v>0</v>
      </c>
      <c r="AF225" s="150">
        <f t="shared" si="566"/>
        <v>0</v>
      </c>
      <c r="AG225" s="150">
        <f t="shared" si="567"/>
        <v>0</v>
      </c>
      <c r="AI225" s="185">
        <f>IF(VLOOKUP(E225,'Pre-Assessment Estimator'!$E$11:$Z$228,'Pre-Assessment Estimator'!$G$2,FALSE)&gt;AB225,AB225,VLOOKUP(E225,'Pre-Assessment Estimator'!$E$11:$Z$228,'Pre-Assessment Estimator'!$G$2,FALSE))</f>
        <v>0</v>
      </c>
      <c r="AJ225" s="151">
        <f>IF(VLOOKUP(E225,'Pre-Assessment Estimator'!$E$11:$Z$228,'Pre-Assessment Estimator'!$N$2,FALSE)&gt;AB225,AB225,VLOOKUP(E225,'Pre-Assessment Estimator'!$E$11:$Z$228,'Pre-Assessment Estimator'!$N$2,FALSE))</f>
        <v>0</v>
      </c>
      <c r="AK225" s="151">
        <f>IF(VLOOKUP(E225,'Pre-Assessment Estimator'!$E$11:$Z$228,'Pre-Assessment Estimator'!$U$2,FALSE)&gt;AB225,AB225,VLOOKUP(E225,'Pre-Assessment Estimator'!$E$11:$Z$228,'Pre-Assessment Estimator'!$U$2,FALSE))</f>
        <v>0</v>
      </c>
      <c r="AM225" s="251"/>
      <c r="AN225" s="252"/>
      <c r="AO225" s="252"/>
      <c r="AP225" s="252"/>
      <c r="AQ225" s="539"/>
      <c r="AR225" s="123"/>
      <c r="AS225" s="251"/>
      <c r="AT225" s="252"/>
      <c r="AU225" s="252"/>
      <c r="AV225" s="252"/>
      <c r="AW225" s="253"/>
      <c r="AY225" s="146"/>
      <c r="AZ225" s="43"/>
      <c r="BA225" s="43"/>
      <c r="BB225" s="43"/>
      <c r="BC225" s="163">
        <f>IF($E$6=$H$9,AW225,AQ225)</f>
        <v>0</v>
      </c>
      <c r="BD225" s="160">
        <f t="shared" si="458"/>
        <v>9</v>
      </c>
      <c r="BE225" s="45" t="str">
        <f t="shared" si="568"/>
        <v>N/A</v>
      </c>
      <c r="BF225" s="163"/>
      <c r="BG225" s="160">
        <f t="shared" si="569"/>
        <v>9</v>
      </c>
      <c r="BH225" s="45" t="str">
        <f t="shared" si="570"/>
        <v>N/A</v>
      </c>
      <c r="BI225" s="163"/>
      <c r="BJ225" s="160">
        <f t="shared" si="441"/>
        <v>9</v>
      </c>
      <c r="BK225" s="45" t="str">
        <f t="shared" si="571"/>
        <v>N/A</v>
      </c>
      <c r="BL225" s="163"/>
      <c r="BO225" s="43"/>
      <c r="BP225" s="43"/>
      <c r="BQ225" s="43" t="str">
        <f t="shared" si="548"/>
        <v/>
      </c>
      <c r="BR225" s="43">
        <f t="shared" si="575"/>
        <v>9</v>
      </c>
      <c r="BS225" s="43">
        <f t="shared" si="576"/>
        <v>9</v>
      </c>
      <c r="BT225" s="43">
        <f t="shared" si="577"/>
        <v>9</v>
      </c>
      <c r="BW225" s="43" t="str">
        <f t="shared" si="572"/>
        <v>Inn 09</v>
      </c>
      <c r="BX225" s="43" t="str">
        <f>IFERROR(VLOOKUP($E225,'Pre-Assessment Estimator'!$E$11:$AB$228,'Pre-Assessment Estimator'!AB$2,FALSE),"")</f>
        <v>N/A</v>
      </c>
      <c r="BY225" s="43">
        <f>IFERROR(VLOOKUP($E225,'Pre-Assessment Estimator'!$E$11:$AI$228,'Pre-Assessment Estimator'!AI$2,FALSE),"")</f>
        <v>0</v>
      </c>
      <c r="BZ225" s="43">
        <f t="shared" si="560"/>
        <v>1</v>
      </c>
      <c r="CA225" s="43">
        <f t="shared" si="561"/>
        <v>0</v>
      </c>
      <c r="CB225" s="43"/>
      <c r="CC225" t="str">
        <f t="shared" si="562"/>
        <v/>
      </c>
    </row>
    <row r="226" spans="1:81" x14ac:dyDescent="0.25">
      <c r="A226">
        <v>218</v>
      </c>
      <c r="B226" t="str">
        <f t="shared" si="573"/>
        <v>Inn 10</v>
      </c>
      <c r="D226" s="191" t="s">
        <v>453</v>
      </c>
      <c r="E226" s="43" t="str">
        <f t="shared" si="574"/>
        <v xml:space="preserve">Inn 10 - Wst 01: Especially low amount of construction waste </v>
      </c>
      <c r="F226" s="582">
        <v>1</v>
      </c>
      <c r="G226" s="582">
        <v>1</v>
      </c>
      <c r="H226" s="582">
        <v>1</v>
      </c>
      <c r="I226" s="582">
        <v>1</v>
      </c>
      <c r="J226" s="582">
        <v>1</v>
      </c>
      <c r="K226" s="582">
        <v>1</v>
      </c>
      <c r="L226" s="582">
        <v>1</v>
      </c>
      <c r="M226" s="582">
        <v>1</v>
      </c>
      <c r="N226" s="582">
        <v>1</v>
      </c>
      <c r="O226" s="582">
        <v>1</v>
      </c>
      <c r="P226" s="582">
        <v>1</v>
      </c>
      <c r="Q226" s="583">
        <v>1</v>
      </c>
      <c r="R226" s="583">
        <v>1</v>
      </c>
      <c r="T226" s="148">
        <f t="shared" si="563"/>
        <v>1</v>
      </c>
      <c r="U226" s="167"/>
      <c r="V226" s="48"/>
      <c r="W226" s="48"/>
      <c r="X226" s="147">
        <f>'Manuell filtrering og justering'!E103</f>
        <v>0</v>
      </c>
      <c r="Y226" s="148"/>
      <c r="Z226" s="865">
        <f>VLOOKUP(B226,'Manuell filtrering og justering'!$A$7:$H$253,'Manuell filtrering og justering'!$H$1,FALSE)</f>
        <v>1</v>
      </c>
      <c r="AA226" s="148">
        <f t="shared" si="564"/>
        <v>0</v>
      </c>
      <c r="AB226" s="149">
        <f>IF($AC$5='Manuell filtrering og justering'!$J$2,Z226,(T226-AA226))</f>
        <v>1</v>
      </c>
      <c r="AD226" s="150">
        <f>(Inn_Weight/Inn_Credits)*Inn10_credits</f>
        <v>0.01</v>
      </c>
      <c r="AE226" s="150">
        <f t="shared" si="565"/>
        <v>0</v>
      </c>
      <c r="AF226" s="150">
        <f t="shared" si="566"/>
        <v>0</v>
      </c>
      <c r="AG226" s="150">
        <f t="shared" si="567"/>
        <v>0</v>
      </c>
      <c r="AI226" s="185">
        <f>IF(VLOOKUP(E226,'Pre-Assessment Estimator'!$E$11:$Z$228,'Pre-Assessment Estimator'!$G$2,FALSE)&gt;AB226,AB226,VLOOKUP(E226,'Pre-Assessment Estimator'!$E$11:$Z$228,'Pre-Assessment Estimator'!$G$2,FALSE))</f>
        <v>0</v>
      </c>
      <c r="AJ226" s="151">
        <f>IF(VLOOKUP(E226,'Pre-Assessment Estimator'!$E$11:$Z$228,'Pre-Assessment Estimator'!$N$2,FALSE)&gt;AB226,AB226,VLOOKUP(E226,'Pre-Assessment Estimator'!$E$11:$Z$228,'Pre-Assessment Estimator'!$N$2,FALSE))</f>
        <v>0</v>
      </c>
      <c r="AK226" s="151">
        <f>IF(VLOOKUP(E226,'Pre-Assessment Estimator'!$E$11:$Z$228,'Pre-Assessment Estimator'!$U$2,FALSE)&gt;AB226,AB226,VLOOKUP(E226,'Pre-Assessment Estimator'!$E$11:$Z$228,'Pre-Assessment Estimator'!$U$2,FALSE))</f>
        <v>0</v>
      </c>
      <c r="AM226" s="251"/>
      <c r="AN226" s="252"/>
      <c r="AO226" s="252"/>
      <c r="AP226" s="252"/>
      <c r="AQ226" s="539"/>
      <c r="AR226" s="123"/>
      <c r="AS226" s="251"/>
      <c r="AT226" s="252"/>
      <c r="AU226" s="252"/>
      <c r="AV226" s="252"/>
      <c r="AW226" s="253"/>
      <c r="AY226" s="146"/>
      <c r="AZ226" s="43"/>
      <c r="BA226" s="43"/>
      <c r="BB226" s="43"/>
      <c r="BC226" s="163">
        <f t="shared" ref="BC226:BC229" si="578">IF($E$6=$H$9,AW226,AQ226)</f>
        <v>0</v>
      </c>
      <c r="BD226" s="160">
        <f t="shared" ref="BD226:BD229" si="579">IF(BC226=0,9,IF(AI226&gt;=BC226,5,IF(AI226&gt;=BB226,4,IF(AI226&gt;=BA226,3,IF(AI226&gt;=AZ226,2,IF(AI226&lt;AY226,0,1))))))</f>
        <v>9</v>
      </c>
      <c r="BE226" s="45" t="str">
        <f t="shared" si="568"/>
        <v>N/A</v>
      </c>
      <c r="BF226" s="163"/>
      <c r="BG226" s="160">
        <f t="shared" ref="BG226:BG229" si="580">IF(BC226=0,9,IF(AJ226&gt;=BC226,5,IF(AJ226&gt;=BB226,4,IF(AJ226&gt;=BA226,3,IF(AJ226&gt;=AZ226,2,IF(AJ226&lt;AY226,0,1))))))</f>
        <v>9</v>
      </c>
      <c r="BH226" s="45" t="str">
        <f t="shared" si="570"/>
        <v>N/A</v>
      </c>
      <c r="BI226" s="163"/>
      <c r="BJ226" s="160">
        <f t="shared" ref="BJ226:BJ229" si="581">IF(BC226=0,9,IF(AK226&gt;=BC226,5,IF(AK226&gt;=BB226,4,IF(AK226&gt;=BA226,3,IF(AK226&gt;=AZ226,2,IF(AK226&lt;AY226,0,1))))))</f>
        <v>9</v>
      </c>
      <c r="BK226" s="45" t="str">
        <f t="shared" si="571"/>
        <v>N/A</v>
      </c>
      <c r="BL226" s="163"/>
      <c r="BO226" s="43"/>
      <c r="BP226" s="43"/>
      <c r="BQ226" s="43" t="str">
        <f t="shared" si="548"/>
        <v/>
      </c>
      <c r="BR226" s="43">
        <f t="shared" si="575"/>
        <v>9</v>
      </c>
      <c r="BS226" s="43">
        <f t="shared" si="576"/>
        <v>9</v>
      </c>
      <c r="BT226" s="43">
        <f t="shared" si="577"/>
        <v>9</v>
      </c>
      <c r="BW226" s="63"/>
      <c r="BX226" s="63"/>
      <c r="BY226" s="63"/>
      <c r="BZ226" s="63"/>
      <c r="CA226" s="63"/>
      <c r="CB226" s="63"/>
    </row>
    <row r="227" spans="1:81" x14ac:dyDescent="0.25">
      <c r="A227">
        <v>219</v>
      </c>
      <c r="B227" t="str">
        <f t="shared" si="573"/>
        <v>Inn 11</v>
      </c>
      <c r="D227" s="191" t="s">
        <v>454</v>
      </c>
      <c r="E227" s="43" t="str">
        <f t="shared" si="574"/>
        <v>Inn 11 - LE 02: Wider sustainability for the site</v>
      </c>
      <c r="F227" s="582">
        <v>1</v>
      </c>
      <c r="G227" s="582">
        <v>1</v>
      </c>
      <c r="H227" s="582">
        <v>1</v>
      </c>
      <c r="I227" s="582">
        <v>1</v>
      </c>
      <c r="J227" s="582">
        <v>1</v>
      </c>
      <c r="K227" s="582">
        <v>1</v>
      </c>
      <c r="L227" s="582">
        <v>1</v>
      </c>
      <c r="M227" s="582">
        <v>1</v>
      </c>
      <c r="N227" s="582">
        <v>1</v>
      </c>
      <c r="O227" s="582">
        <v>1</v>
      </c>
      <c r="P227" s="582">
        <v>1</v>
      </c>
      <c r="Q227" s="583">
        <v>1</v>
      </c>
      <c r="R227" s="583">
        <v>1</v>
      </c>
      <c r="T227" s="148">
        <f t="shared" si="563"/>
        <v>1</v>
      </c>
      <c r="U227" s="167"/>
      <c r="V227" s="48"/>
      <c r="W227" s="48"/>
      <c r="X227" s="147">
        <f>'Manuell filtrering og justering'!E104</f>
        <v>0</v>
      </c>
      <c r="Y227" s="148"/>
      <c r="Z227" s="865">
        <f>VLOOKUP(B227,'Manuell filtrering og justering'!$A$7:$H$253,'Manuell filtrering og justering'!$H$1,FALSE)</f>
        <v>1</v>
      </c>
      <c r="AA227" s="148">
        <f t="shared" si="564"/>
        <v>0</v>
      </c>
      <c r="AB227" s="149">
        <f>IF($AC$5='Manuell filtrering og justering'!$J$2,Z227,(T227-AA227))</f>
        <v>1</v>
      </c>
      <c r="AD227" s="150">
        <f>(Inn_Weight/Inn_Credits)*Inn11_credits</f>
        <v>0.01</v>
      </c>
      <c r="AE227" s="150">
        <f t="shared" si="565"/>
        <v>0</v>
      </c>
      <c r="AF227" s="150">
        <f t="shared" si="566"/>
        <v>0</v>
      </c>
      <c r="AG227" s="150">
        <f t="shared" si="567"/>
        <v>0</v>
      </c>
      <c r="AI227" s="185">
        <f>IF(VLOOKUP(E227,'Pre-Assessment Estimator'!$E$11:$Z$228,'Pre-Assessment Estimator'!$G$2,FALSE)&gt;AB227,AB227,VLOOKUP(E227,'Pre-Assessment Estimator'!$E$11:$Z$228,'Pre-Assessment Estimator'!$G$2,FALSE))</f>
        <v>0</v>
      </c>
      <c r="AJ227" s="151">
        <f>IF(VLOOKUP(E227,'Pre-Assessment Estimator'!$E$11:$Z$228,'Pre-Assessment Estimator'!$N$2,FALSE)&gt;AB227,AB227,VLOOKUP(E227,'Pre-Assessment Estimator'!$E$11:$Z$228,'Pre-Assessment Estimator'!$N$2,FALSE))</f>
        <v>0</v>
      </c>
      <c r="AK227" s="151">
        <f>IF(VLOOKUP(E227,'Pre-Assessment Estimator'!$E$11:$Z$228,'Pre-Assessment Estimator'!$U$2,FALSE)&gt;AB227,AB227,VLOOKUP(E227,'Pre-Assessment Estimator'!$E$11:$Z$228,'Pre-Assessment Estimator'!$U$2,FALSE))</f>
        <v>0</v>
      </c>
      <c r="AM227" s="251"/>
      <c r="AN227" s="252"/>
      <c r="AO227" s="252"/>
      <c r="AP227" s="252"/>
      <c r="AQ227" s="539"/>
      <c r="AR227" s="123"/>
      <c r="AS227" s="251"/>
      <c r="AT227" s="252"/>
      <c r="AU227" s="252"/>
      <c r="AV227" s="252"/>
      <c r="AW227" s="253"/>
      <c r="AY227" s="146"/>
      <c r="AZ227" s="43"/>
      <c r="BA227" s="43"/>
      <c r="BB227" s="43"/>
      <c r="BC227" s="163">
        <f t="shared" si="578"/>
        <v>0</v>
      </c>
      <c r="BD227" s="160">
        <f t="shared" si="579"/>
        <v>9</v>
      </c>
      <c r="BE227" s="45" t="str">
        <f t="shared" si="568"/>
        <v>N/A</v>
      </c>
      <c r="BF227" s="163"/>
      <c r="BG227" s="160">
        <f t="shared" si="580"/>
        <v>9</v>
      </c>
      <c r="BH227" s="45" t="str">
        <f t="shared" si="570"/>
        <v>N/A</v>
      </c>
      <c r="BI227" s="163"/>
      <c r="BJ227" s="160">
        <f t="shared" si="581"/>
        <v>9</v>
      </c>
      <c r="BK227" s="45" t="str">
        <f t="shared" si="571"/>
        <v>N/A</v>
      </c>
      <c r="BL227" s="163"/>
      <c r="BO227" s="43"/>
      <c r="BP227" s="43"/>
      <c r="BQ227" s="43" t="str">
        <f t="shared" si="548"/>
        <v/>
      </c>
      <c r="BR227" s="43">
        <f t="shared" si="575"/>
        <v>9</v>
      </c>
      <c r="BS227" s="43">
        <f t="shared" si="576"/>
        <v>9</v>
      </c>
      <c r="BT227" s="43">
        <f t="shared" si="577"/>
        <v>9</v>
      </c>
      <c r="BW227" s="63"/>
      <c r="BX227" s="63"/>
      <c r="BY227" s="63"/>
      <c r="BZ227" s="63"/>
      <c r="CA227" s="63"/>
      <c r="CB227" s="63"/>
    </row>
    <row r="228" spans="1:81" x14ac:dyDescent="0.25">
      <c r="A228">
        <v>220</v>
      </c>
      <c r="B228" t="str">
        <f t="shared" si="573"/>
        <v>Inn 12</v>
      </c>
      <c r="D228" s="191" t="s">
        <v>455</v>
      </c>
      <c r="E228" s="43" t="str">
        <f t="shared" si="574"/>
        <v>Inn 12 - LE 04: Significant net gain of biodiversity</v>
      </c>
      <c r="F228" s="582">
        <v>1</v>
      </c>
      <c r="G228" s="582">
        <v>1</v>
      </c>
      <c r="H228" s="582">
        <v>1</v>
      </c>
      <c r="I228" s="582">
        <v>1</v>
      </c>
      <c r="J228" s="582">
        <v>1</v>
      </c>
      <c r="K228" s="582">
        <v>1</v>
      </c>
      <c r="L228" s="582">
        <v>1</v>
      </c>
      <c r="M228" s="582">
        <v>1</v>
      </c>
      <c r="N228" s="582">
        <v>1</v>
      </c>
      <c r="O228" s="582">
        <v>1</v>
      </c>
      <c r="P228" s="582">
        <v>1</v>
      </c>
      <c r="Q228" s="583">
        <v>1</v>
      </c>
      <c r="R228" s="583">
        <v>1</v>
      </c>
      <c r="T228" s="148">
        <f t="shared" si="563"/>
        <v>1</v>
      </c>
      <c r="U228" s="167"/>
      <c r="V228" s="48"/>
      <c r="W228" s="48"/>
      <c r="X228" s="147">
        <f>'Manuell filtrering og justering'!E105</f>
        <v>0</v>
      </c>
      <c r="Y228" s="148"/>
      <c r="Z228" s="865">
        <f>VLOOKUP(B228,'Manuell filtrering og justering'!$A$7:$H$253,'Manuell filtrering og justering'!$H$1,FALSE)</f>
        <v>1</v>
      </c>
      <c r="AA228" s="148">
        <f t="shared" si="564"/>
        <v>0</v>
      </c>
      <c r="AB228" s="149">
        <f>IF($AC$5='Manuell filtrering og justering'!$J$2,Z228,(T228-AA228))</f>
        <v>1</v>
      </c>
      <c r="AD228" s="150">
        <f>(Inn_Weight/Inn_Credits)*Inn12_credits</f>
        <v>0.01</v>
      </c>
      <c r="AE228" s="150">
        <f t="shared" si="565"/>
        <v>0</v>
      </c>
      <c r="AF228" s="150">
        <f t="shared" si="566"/>
        <v>0</v>
      </c>
      <c r="AG228" s="150">
        <f t="shared" si="567"/>
        <v>0</v>
      </c>
      <c r="AI228" s="185">
        <f>IF(VLOOKUP(E228,'Pre-Assessment Estimator'!$E$11:$Z$228,'Pre-Assessment Estimator'!$G$2,FALSE)&gt;AB228,AB228,VLOOKUP(E228,'Pre-Assessment Estimator'!$E$11:$Z$228,'Pre-Assessment Estimator'!$G$2,FALSE))</f>
        <v>0</v>
      </c>
      <c r="AJ228" s="151">
        <f>IF(VLOOKUP(E228,'Pre-Assessment Estimator'!$E$11:$Z$228,'Pre-Assessment Estimator'!$N$2,FALSE)&gt;AB228,AB228,VLOOKUP(E228,'Pre-Assessment Estimator'!$E$11:$Z$228,'Pre-Assessment Estimator'!$N$2,FALSE))</f>
        <v>0</v>
      </c>
      <c r="AK228" s="151">
        <f>IF(VLOOKUP(E228,'Pre-Assessment Estimator'!$E$11:$Z$228,'Pre-Assessment Estimator'!$U$2,FALSE)&gt;AB228,AB228,VLOOKUP(E228,'Pre-Assessment Estimator'!$E$11:$Z$228,'Pre-Assessment Estimator'!$U$2,FALSE))</f>
        <v>0</v>
      </c>
      <c r="AM228" s="251"/>
      <c r="AN228" s="252"/>
      <c r="AO228" s="252"/>
      <c r="AP228" s="252"/>
      <c r="AQ228" s="539"/>
      <c r="AR228" s="123"/>
      <c r="AS228" s="251"/>
      <c r="AT228" s="252"/>
      <c r="AU228" s="252"/>
      <c r="AV228" s="252"/>
      <c r="AW228" s="253"/>
      <c r="AY228" s="146"/>
      <c r="AZ228" s="43"/>
      <c r="BA228" s="43"/>
      <c r="BB228" s="43"/>
      <c r="BC228" s="163">
        <f t="shared" si="578"/>
        <v>0</v>
      </c>
      <c r="BD228" s="160">
        <f t="shared" si="579"/>
        <v>9</v>
      </c>
      <c r="BE228" s="45" t="str">
        <f t="shared" si="568"/>
        <v>N/A</v>
      </c>
      <c r="BF228" s="163"/>
      <c r="BG228" s="160">
        <f t="shared" si="580"/>
        <v>9</v>
      </c>
      <c r="BH228" s="45" t="str">
        <f t="shared" si="570"/>
        <v>N/A</v>
      </c>
      <c r="BI228" s="163"/>
      <c r="BJ228" s="160">
        <f t="shared" si="581"/>
        <v>9</v>
      </c>
      <c r="BK228" s="45" t="str">
        <f t="shared" si="571"/>
        <v>N/A</v>
      </c>
      <c r="BL228" s="163"/>
      <c r="BO228" s="43"/>
      <c r="BP228" s="43"/>
      <c r="BQ228" s="43" t="str">
        <f t="shared" si="548"/>
        <v/>
      </c>
      <c r="BR228" s="43">
        <f t="shared" si="575"/>
        <v>9</v>
      </c>
      <c r="BS228" s="43">
        <f t="shared" si="576"/>
        <v>9</v>
      </c>
      <c r="BT228" s="43">
        <f t="shared" si="577"/>
        <v>9</v>
      </c>
      <c r="BW228" s="63"/>
      <c r="BX228" s="63"/>
      <c r="BY228" s="63"/>
      <c r="BZ228" s="63"/>
      <c r="CA228" s="63"/>
      <c r="CB228" s="63"/>
    </row>
    <row r="229" spans="1:81" ht="15.75" thickBot="1" x14ac:dyDescent="0.3">
      <c r="A229">
        <v>221</v>
      </c>
      <c r="B229" t="str">
        <f t="shared" si="573"/>
        <v>Inn 13</v>
      </c>
      <c r="D229" s="191" t="s">
        <v>456</v>
      </c>
      <c r="E229" s="43" t="str">
        <f t="shared" si="574"/>
        <v>Inn 13 - LE 06: Responding to climate change</v>
      </c>
      <c r="F229" s="582">
        <v>1</v>
      </c>
      <c r="G229" s="582">
        <v>1</v>
      </c>
      <c r="H229" s="582">
        <v>1</v>
      </c>
      <c r="I229" s="582">
        <v>1</v>
      </c>
      <c r="J229" s="582">
        <v>1</v>
      </c>
      <c r="K229" s="582">
        <v>1</v>
      </c>
      <c r="L229" s="582">
        <v>1</v>
      </c>
      <c r="M229" s="582">
        <v>1</v>
      </c>
      <c r="N229" s="582">
        <v>1</v>
      </c>
      <c r="O229" s="582">
        <v>1</v>
      </c>
      <c r="P229" s="582">
        <v>1</v>
      </c>
      <c r="Q229" s="583">
        <v>1</v>
      </c>
      <c r="R229" s="583">
        <v>1</v>
      </c>
      <c r="T229" s="148">
        <f t="shared" si="563"/>
        <v>1</v>
      </c>
      <c r="U229" s="167"/>
      <c r="V229" s="48"/>
      <c r="W229" s="48"/>
      <c r="X229" s="147">
        <f>'Manuell filtrering og justering'!E106</f>
        <v>0</v>
      </c>
      <c r="Y229" s="148"/>
      <c r="Z229" s="865">
        <f>VLOOKUP(B229,'Manuell filtrering og justering'!$A$7:$H$253,'Manuell filtrering og justering'!$H$1,FALSE)</f>
        <v>1</v>
      </c>
      <c r="AA229" s="148">
        <f t="shared" si="564"/>
        <v>0</v>
      </c>
      <c r="AB229" s="149">
        <f>IF($AC$5='Manuell filtrering og justering'!$J$2,Z229,(T229-AA229))</f>
        <v>1</v>
      </c>
      <c r="AD229" s="150">
        <f>(Inn_Weight/Inn_Credits)*Inn13_credits</f>
        <v>0.01</v>
      </c>
      <c r="AE229" s="150">
        <f t="shared" si="565"/>
        <v>0</v>
      </c>
      <c r="AF229" s="150">
        <f t="shared" si="566"/>
        <v>0</v>
      </c>
      <c r="AG229" s="150">
        <f t="shared" si="567"/>
        <v>0</v>
      </c>
      <c r="AI229" s="185">
        <f>IF(VLOOKUP(E229,'Pre-Assessment Estimator'!$E$11:$Z$228,'Pre-Assessment Estimator'!$G$2,FALSE)&gt;AB229,AB229,VLOOKUP(E229,'Pre-Assessment Estimator'!$E$11:$Z$228,'Pre-Assessment Estimator'!$G$2,FALSE))</f>
        <v>0</v>
      </c>
      <c r="AJ229" s="151">
        <f>IF(VLOOKUP(E229,'Pre-Assessment Estimator'!$E$11:$Z$228,'Pre-Assessment Estimator'!$N$2,FALSE)&gt;AB229,AB229,VLOOKUP(E229,'Pre-Assessment Estimator'!$E$11:$Z$228,'Pre-Assessment Estimator'!$N$2,FALSE))</f>
        <v>0</v>
      </c>
      <c r="AK229" s="151">
        <f>IF(VLOOKUP(E229,'Pre-Assessment Estimator'!$E$11:$Z$228,'Pre-Assessment Estimator'!$U$2,FALSE)&gt;AB229,AB229,VLOOKUP(E229,'Pre-Assessment Estimator'!$E$11:$Z$228,'Pre-Assessment Estimator'!$U$2,FALSE))</f>
        <v>0</v>
      </c>
      <c r="AM229" s="254"/>
      <c r="AN229" s="255"/>
      <c r="AO229" s="255"/>
      <c r="AP229" s="255"/>
      <c r="AQ229" s="540"/>
      <c r="AR229" s="123"/>
      <c r="AS229" s="254"/>
      <c r="AT229" s="255"/>
      <c r="AU229" s="255"/>
      <c r="AV229" s="255"/>
      <c r="AW229" s="256"/>
      <c r="AY229" s="168"/>
      <c r="AZ229" s="170"/>
      <c r="BA229" s="170"/>
      <c r="BB229" s="170"/>
      <c r="BC229" s="173">
        <f t="shared" si="578"/>
        <v>0</v>
      </c>
      <c r="BD229" s="172">
        <f t="shared" si="579"/>
        <v>9</v>
      </c>
      <c r="BE229" s="45" t="str">
        <f t="shared" si="568"/>
        <v>N/A</v>
      </c>
      <c r="BF229" s="173"/>
      <c r="BG229" s="172">
        <f t="shared" si="580"/>
        <v>9</v>
      </c>
      <c r="BH229" s="45" t="str">
        <f t="shared" si="570"/>
        <v>N/A</v>
      </c>
      <c r="BI229" s="173"/>
      <c r="BJ229" s="172">
        <f t="shared" si="581"/>
        <v>9</v>
      </c>
      <c r="BK229" s="45" t="str">
        <f t="shared" si="571"/>
        <v>N/A</v>
      </c>
      <c r="BL229" s="173"/>
      <c r="BO229" s="43"/>
      <c r="BP229" s="43"/>
      <c r="BQ229" s="43" t="str">
        <f t="shared" si="548"/>
        <v/>
      </c>
      <c r="BR229" s="43">
        <f t="shared" si="575"/>
        <v>9</v>
      </c>
      <c r="BS229" s="43">
        <f t="shared" si="576"/>
        <v>9</v>
      </c>
      <c r="BT229" s="43">
        <f t="shared" si="577"/>
        <v>9</v>
      </c>
      <c r="BW229" s="63"/>
      <c r="BX229" s="63"/>
      <c r="BY229" s="63"/>
      <c r="BZ229" s="63"/>
      <c r="CA229" s="63"/>
      <c r="CB229" s="63"/>
    </row>
    <row r="230" spans="1:81" ht="15.75" thickBot="1" x14ac:dyDescent="0.3">
      <c r="A230">
        <v>222</v>
      </c>
      <c r="B230" t="str">
        <f t="shared" si="573"/>
        <v>Inn 14</v>
      </c>
      <c r="D230" s="536" t="s">
        <v>678</v>
      </c>
      <c r="E230" s="170" t="str">
        <f t="shared" si="574"/>
        <v>Inn 14 - LE 08: Wider approach to surface water management</v>
      </c>
      <c r="F230" s="590">
        <v>1</v>
      </c>
      <c r="G230" s="590">
        <v>1</v>
      </c>
      <c r="H230" s="590">
        <v>1</v>
      </c>
      <c r="I230" s="590">
        <v>1</v>
      </c>
      <c r="J230" s="590">
        <v>1</v>
      </c>
      <c r="K230" s="590">
        <v>1</v>
      </c>
      <c r="L230" s="590">
        <v>1</v>
      </c>
      <c r="M230" s="590">
        <v>1</v>
      </c>
      <c r="N230" s="590">
        <v>1</v>
      </c>
      <c r="O230" s="590">
        <v>1</v>
      </c>
      <c r="P230" s="590">
        <v>1</v>
      </c>
      <c r="Q230" s="591">
        <v>1</v>
      </c>
      <c r="R230" s="591">
        <v>1</v>
      </c>
      <c r="T230" s="657">
        <f t="shared" si="563"/>
        <v>1</v>
      </c>
      <c r="U230" s="167"/>
      <c r="V230" s="48"/>
      <c r="W230" s="48"/>
      <c r="X230" s="655"/>
      <c r="Y230" s="886"/>
      <c r="Z230" s="865">
        <f>VLOOKUP(B230,'Manuell filtrering og justering'!$A$7:$H$253,'Manuell filtrering og justering'!$H$1,FALSE)</f>
        <v>1</v>
      </c>
      <c r="AA230" s="148">
        <f t="shared" si="564"/>
        <v>0</v>
      </c>
      <c r="AB230" s="149">
        <f>IF($AC$5='Manuell filtrering og justering'!$J$2,Z230,(T230-AA230))</f>
        <v>1</v>
      </c>
      <c r="AD230" s="150">
        <f>(Inn_Weight/Inn_Credits)*AB230</f>
        <v>0.01</v>
      </c>
      <c r="AE230" s="150">
        <f t="shared" si="565"/>
        <v>0</v>
      </c>
      <c r="AF230" s="150">
        <f t="shared" si="566"/>
        <v>0</v>
      </c>
      <c r="AG230" s="150">
        <f t="shared" si="567"/>
        <v>0</v>
      </c>
      <c r="AI230" s="185">
        <f>IF(VLOOKUP(E230,'Pre-Assessment Estimator'!$E$11:$Z$228,'Pre-Assessment Estimator'!$G$2,FALSE)&gt;AB230,AB230,VLOOKUP(E230,'Pre-Assessment Estimator'!$E$11:$Z$228,'Pre-Assessment Estimator'!$G$2,FALSE))</f>
        <v>0</v>
      </c>
      <c r="AJ230" s="151">
        <f>IF(VLOOKUP(E230,'Pre-Assessment Estimator'!$E$11:$Z$228,'Pre-Assessment Estimator'!$N$2,FALSE)&gt;AB230,AB230,VLOOKUP(E230,'Pre-Assessment Estimator'!$E$11:$Z$228,'Pre-Assessment Estimator'!$N$2,FALSE))</f>
        <v>0</v>
      </c>
      <c r="AK230" s="151">
        <f>IF(VLOOKUP(E230,'Pre-Assessment Estimator'!$E$11:$Z$228,'Pre-Assessment Estimator'!$U$2,FALSE)&gt;AB230,AB230,VLOOKUP(E230,'Pre-Assessment Estimator'!$E$11:$Z$228,'Pre-Assessment Estimator'!$U$2,FALSE))</f>
        <v>0</v>
      </c>
      <c r="AM230" s="251"/>
      <c r="AN230" s="252"/>
      <c r="AO230" s="252"/>
      <c r="AP230" s="252"/>
      <c r="AQ230" s="539"/>
      <c r="AR230" s="123"/>
      <c r="AS230" s="251"/>
      <c r="AT230" s="252"/>
      <c r="AU230" s="252"/>
      <c r="AV230" s="252"/>
      <c r="AW230" s="253"/>
      <c r="AY230" s="146"/>
      <c r="AZ230" s="43"/>
      <c r="BA230" s="43"/>
      <c r="BB230" s="43"/>
      <c r="BC230" s="163">
        <f t="shared" ref="BC230" si="582">IF($E$6=$H$9,AW230,AQ230)</f>
        <v>0</v>
      </c>
      <c r="BD230" s="160">
        <f t="shared" ref="BD230" si="583">IF(BC230=0,9,IF(AI230&gt;=BC230,5,IF(AI230&gt;=BB230,4,IF(AI230&gt;=BA230,3,IF(AI230&gt;=AZ230,2,IF(AI230&lt;AY230,0,1))))))</f>
        <v>9</v>
      </c>
      <c r="BE230" s="45" t="str">
        <f t="shared" si="568"/>
        <v>N/A</v>
      </c>
      <c r="BF230" s="163"/>
      <c r="BG230" s="160">
        <f t="shared" ref="BG230" si="584">IF(BC230=0,9,IF(AJ230&gt;=BC230,5,IF(AJ230&gt;=BB230,4,IF(AJ230&gt;=BA230,3,IF(AJ230&gt;=AZ230,2,IF(AJ230&lt;AY230,0,1))))))</f>
        <v>9</v>
      </c>
      <c r="BH230" s="45" t="str">
        <f t="shared" si="570"/>
        <v>N/A</v>
      </c>
      <c r="BI230" s="163"/>
      <c r="BJ230" s="160">
        <f t="shared" ref="BJ230" si="585">IF(BC230=0,9,IF(AK230&gt;=BC230,5,IF(AK230&gt;=BB230,4,IF(AK230&gt;=BA230,3,IF(AK230&gt;=AZ230,2,IF(AK230&lt;AY230,0,1))))))</f>
        <v>9</v>
      </c>
      <c r="BK230" s="45" t="str">
        <f t="shared" si="571"/>
        <v>N/A</v>
      </c>
      <c r="BL230" s="163"/>
      <c r="BO230" s="43"/>
      <c r="BP230" s="43"/>
      <c r="BQ230" s="43" t="str">
        <f t="shared" si="548"/>
        <v/>
      </c>
      <c r="BR230" s="43">
        <f t="shared" si="575"/>
        <v>9</v>
      </c>
      <c r="BS230" s="43">
        <f t="shared" si="576"/>
        <v>9</v>
      </c>
      <c r="BT230" s="43">
        <f t="shared" si="577"/>
        <v>9</v>
      </c>
      <c r="BW230" s="63"/>
      <c r="BX230" s="63"/>
      <c r="BY230" s="63"/>
      <c r="BZ230" s="63"/>
      <c r="CA230" s="63"/>
      <c r="CB230" s="63"/>
    </row>
    <row r="231" spans="1:81" ht="15.75" thickBot="1" x14ac:dyDescent="0.3">
      <c r="A231">
        <v>223</v>
      </c>
      <c r="B231" t="s">
        <v>869</v>
      </c>
      <c r="D231" s="531" t="s">
        <v>204</v>
      </c>
      <c r="E231" s="530"/>
      <c r="F231" s="587">
        <f>IF(SUM(F217:F230)&gt;10,10,SUM(F217:F230))</f>
        <v>10</v>
      </c>
      <c r="G231" s="587">
        <f t="shared" ref="G231:R231" si="586">IF(SUM(G217:G230)&gt;10,10,SUM(G217:G230))</f>
        <v>10</v>
      </c>
      <c r="H231" s="587">
        <f t="shared" si="586"/>
        <v>10</v>
      </c>
      <c r="I231" s="587">
        <f t="shared" si="586"/>
        <v>10</v>
      </c>
      <c r="J231" s="587">
        <f t="shared" si="586"/>
        <v>10</v>
      </c>
      <c r="K231" s="587">
        <f t="shared" si="586"/>
        <v>10</v>
      </c>
      <c r="L231" s="587">
        <f t="shared" si="586"/>
        <v>10</v>
      </c>
      <c r="M231" s="587">
        <f t="shared" si="586"/>
        <v>10</v>
      </c>
      <c r="N231" s="587">
        <f t="shared" si="586"/>
        <v>10</v>
      </c>
      <c r="O231" s="587">
        <f t="shared" si="586"/>
        <v>10</v>
      </c>
      <c r="P231" s="587">
        <f t="shared" si="586"/>
        <v>10</v>
      </c>
      <c r="Q231" s="587">
        <f t="shared" ref="Q231" si="587">IF(SUM(Q217:Q230)&gt;10,10,SUM(Q217:Q230))</f>
        <v>10</v>
      </c>
      <c r="R231" s="587">
        <f t="shared" si="586"/>
        <v>10</v>
      </c>
      <c r="T231" s="195">
        <f t="shared" si="563"/>
        <v>10</v>
      </c>
      <c r="U231" s="176"/>
      <c r="V231" s="177"/>
      <c r="W231" s="177"/>
      <c r="X231" s="178"/>
      <c r="Y231" s="179"/>
      <c r="Z231" s="868"/>
      <c r="AA231" s="179">
        <f>SUM(AA217:AA230)</f>
        <v>0</v>
      </c>
      <c r="AB231" s="196">
        <f>IF(SUM(AB217:AB230)&gt;10,10,SUM(AB217:AB230))</f>
        <v>10</v>
      </c>
      <c r="AD231" s="201">
        <f>IF(SUM(AD217:AD230)&gt;0.1,0.1,(SUM(AD217:AD230)))</f>
        <v>0.1</v>
      </c>
      <c r="AE231" s="201">
        <f>IF(SUM(AE217:AE230)&gt;0.1,0.1,(SUM(AE217:AE230)))</f>
        <v>0</v>
      </c>
      <c r="AF231" s="201">
        <f>IF(SUM(AF217:AF230)&gt;0.1,0.1,(SUM(AF217:AF230)))</f>
        <v>0</v>
      </c>
      <c r="AG231" s="201">
        <f>IF(SUM(AG217:AG230)&gt;0.1,0.1,(SUM(AG217:AG230)))</f>
        <v>0</v>
      </c>
      <c r="AI231" s="38">
        <f>IF(SUM(AI217:AI230)&gt;10,10,SUM(AI217:AI230))</f>
        <v>0</v>
      </c>
      <c r="AJ231" s="38">
        <f>IF(SUM(AJ217:AJ230)&gt;10,10,SUM(AJ217:AJ230))</f>
        <v>0</v>
      </c>
      <c r="AK231" s="38">
        <f>IF(SUM(AK217:AK230)&gt;10,10,SUM(AK217:AK230))</f>
        <v>0</v>
      </c>
      <c r="BC231" s="125"/>
      <c r="BD231" s="125"/>
      <c r="BW231" s="50"/>
      <c r="BX231" s="50" t="str">
        <f>IFERROR(VLOOKUP($E231,'Pre-Assessment Estimator'!$E$11:$AB$228,'Pre-Assessment Estimator'!AB$2,FALSE),"")</f>
        <v/>
      </c>
      <c r="BY231" s="50" t="str">
        <f>IFERROR(VLOOKUP($E231,'Pre-Assessment Estimator'!$E$11:$AI$228,'Pre-Assessment Estimator'!AI$2,FALSE),"")</f>
        <v/>
      </c>
      <c r="BZ231" s="50" t="str">
        <f t="shared" ref="BZ231:CA233" si="588">IFERROR(VLOOKUP($BX231,$E$294:$H$327,F$292,FALSE),"")</f>
        <v/>
      </c>
      <c r="CA231" s="50" t="str">
        <f t="shared" si="588"/>
        <v/>
      </c>
      <c r="CB231" s="50"/>
      <c r="CC231" t="str">
        <f>IFERROR(VLOOKUP($BX231,$E$294:$H$327,I$292,FALSE),"")</f>
        <v/>
      </c>
    </row>
    <row r="232" spans="1:81" ht="15.75" thickBot="1" x14ac:dyDescent="0.3">
      <c r="A232">
        <v>224</v>
      </c>
      <c r="BC232" s="125"/>
      <c r="BD232" s="125"/>
      <c r="BX232" t="str">
        <f>IFERROR(VLOOKUP($E232,'Pre-Assessment Estimator'!$E$11:$AB$228,'Pre-Assessment Estimator'!AB$2,FALSE),"")</f>
        <v/>
      </c>
      <c r="BY232" t="str">
        <f>IFERROR(VLOOKUP($E232,'Pre-Assessment Estimator'!$E$11:$AI$228,'Pre-Assessment Estimator'!AI$2,FALSE),"")</f>
        <v/>
      </c>
      <c r="BZ232" t="str">
        <f t="shared" si="588"/>
        <v/>
      </c>
      <c r="CA232" t="str">
        <f t="shared" si="588"/>
        <v/>
      </c>
      <c r="CC232" t="str">
        <f>IFERROR(VLOOKUP($BX232,$E$294:$H$327,I$292,FALSE),"")</f>
        <v/>
      </c>
    </row>
    <row r="233" spans="1:81" ht="60.75" thickBot="1" x14ac:dyDescent="0.3">
      <c r="A233">
        <v>225</v>
      </c>
      <c r="D233" s="132"/>
      <c r="E233" s="133" t="s">
        <v>221</v>
      </c>
      <c r="F233" s="1364" t="str">
        <f>$F$9</f>
        <v>Office</v>
      </c>
      <c r="G233" s="1364" t="str">
        <f>$G$9</f>
        <v>Retail</v>
      </c>
      <c r="H233" s="1365" t="str">
        <f>$H$9</f>
        <v>Residential</v>
      </c>
      <c r="I233" s="1364" t="str">
        <f>$I$9</f>
        <v>Industrial</v>
      </c>
      <c r="J233" s="1366" t="str">
        <f>$J$9</f>
        <v>Healthcare</v>
      </c>
      <c r="K233" s="1366" t="str">
        <f>$K$9</f>
        <v>Prison</v>
      </c>
      <c r="L233" s="1366" t="str">
        <f>$L$9</f>
        <v>Law Court</v>
      </c>
      <c r="M233" s="1367" t="str">
        <f>$M$9</f>
        <v>Residential institution (long term stay)</v>
      </c>
      <c r="N233" s="684" t="str">
        <f>$N$9</f>
        <v>Residential institution (short term stay)</v>
      </c>
      <c r="O233" s="684" t="str">
        <f>$O$9</f>
        <v>Non-residential institution</v>
      </c>
      <c r="P233" s="684" t="str">
        <f>$P$9</f>
        <v>Assembly and leisure</v>
      </c>
      <c r="Q233" s="1366" t="str">
        <f>$Q$9</f>
        <v>Education</v>
      </c>
      <c r="R233" s="659" t="str">
        <f>$R$9</f>
        <v>Other</v>
      </c>
      <c r="T233" s="122" t="str">
        <f>$E$6</f>
        <v>Office</v>
      </c>
      <c r="U233" s="202"/>
      <c r="V233" s="203"/>
      <c r="W233" s="183"/>
      <c r="X233" s="183"/>
      <c r="Y233" s="871" t="s">
        <v>391</v>
      </c>
      <c r="Z233" s="302" t="s">
        <v>317</v>
      </c>
      <c r="AA233" s="131" t="s">
        <v>204</v>
      </c>
      <c r="AB233" s="53" t="s">
        <v>15</v>
      </c>
      <c r="AI233" s="36"/>
      <c r="AJ233" s="54"/>
      <c r="AK233" s="54"/>
      <c r="BC233" s="125"/>
      <c r="BD233" s="125"/>
      <c r="BO233" s="54"/>
      <c r="BP233" s="54"/>
      <c r="BQ233" s="54"/>
      <c r="BR233" s="54"/>
      <c r="BS233" s="54"/>
      <c r="BT233" s="54"/>
      <c r="BW233" s="47"/>
      <c r="BX233" s="47" t="str">
        <f>E233</f>
        <v>Spesialtilfeller</v>
      </c>
      <c r="BY233" s="47" t="str">
        <f>IFERROR(VLOOKUP($E233,'Pre-Assessment Estimator'!$E$11:$AI$228,'Pre-Assessment Estimator'!AI$2,FALSE),"")</f>
        <v/>
      </c>
      <c r="BZ233" s="47" t="str">
        <f t="shared" si="588"/>
        <v/>
      </c>
      <c r="CA233" s="47" t="str">
        <f t="shared" si="588"/>
        <v/>
      </c>
      <c r="CB233" s="47"/>
      <c r="CC233" t="str">
        <f>IFERROR(VLOOKUP($BX233,$E$294:$H$327,I$292,FALSE),"")</f>
        <v/>
      </c>
    </row>
    <row r="234" spans="1:81" ht="15.75" thickBot="1" x14ac:dyDescent="0.3">
      <c r="A234">
        <v>226</v>
      </c>
      <c r="B234" t="s">
        <v>708</v>
      </c>
      <c r="C234" t="s">
        <v>111</v>
      </c>
      <c r="D234" s="548" t="s">
        <v>708</v>
      </c>
      <c r="E234" s="726" t="s">
        <v>1828</v>
      </c>
      <c r="F234" s="588" t="s">
        <v>222</v>
      </c>
      <c r="G234" s="588" t="s">
        <v>222</v>
      </c>
      <c r="H234" s="588" t="s">
        <v>222</v>
      </c>
      <c r="I234" s="588" t="s">
        <v>222</v>
      </c>
      <c r="J234" s="588" t="s">
        <v>222</v>
      </c>
      <c r="K234" s="588" t="s">
        <v>222</v>
      </c>
      <c r="L234" s="588" t="s">
        <v>222</v>
      </c>
      <c r="M234" s="588" t="s">
        <v>222</v>
      </c>
      <c r="N234" s="588" t="s">
        <v>222</v>
      </c>
      <c r="O234" s="588" t="s">
        <v>222</v>
      </c>
      <c r="P234" s="588" t="s">
        <v>222</v>
      </c>
      <c r="Q234" s="589" t="s">
        <v>222</v>
      </c>
      <c r="R234" s="589" t="s">
        <v>222</v>
      </c>
      <c r="T234" s="184" t="str">
        <f t="shared" ref="T234:T252" si="589">HLOOKUP($E$6,$F$9:$R$252,$A234,FALSE)</f>
        <v>Yes/No</v>
      </c>
      <c r="U234" s="148"/>
      <c r="V234" s="204"/>
      <c r="W234" s="43"/>
      <c r="X234" s="43"/>
      <c r="Y234" s="147"/>
      <c r="Z234" s="147"/>
      <c r="AA234" s="148"/>
      <c r="AB234" s="184" t="str">
        <f t="shared" ref="AB234:AB248" si="590">T234</f>
        <v>Yes/No</v>
      </c>
      <c r="AD234" s="150"/>
      <c r="AE234" s="205" t="s">
        <v>223</v>
      </c>
      <c r="AF234" s="205" t="s">
        <v>223</v>
      </c>
      <c r="AG234" s="205" t="s">
        <v>223</v>
      </c>
      <c r="AI234" s="185" t="str">
        <f>IF(VLOOKUP(E234,'Pre-Assessment Estimator'!$E$11:$AB$228,'Pre-Assessment Estimator'!$G$2,FALSE)&gt;AB234,AB234,VLOOKUP(E234,'Pre-Assessment Estimator'!$E$11:$AB$228,'Pre-Assessment Estimator'!$G$2,FALSE))</f>
        <v>Please select</v>
      </c>
      <c r="AJ234" s="151">
        <f>IF(VLOOKUP(E234,'Pre-Assessment Estimator'!$E$11:$AB$228,'Pre-Assessment Estimator'!$N$2,FALSE)&gt;AB234,AB234,VLOOKUP(E234,'Pre-Assessment Estimator'!$E$11:$AB$228,'Pre-Assessment Estimator'!$N$2,FALSE))</f>
        <v>0</v>
      </c>
      <c r="AK234" s="151">
        <f>IF(VLOOKUP(E234,'Pre-Assessment Estimator'!$E$11:$AB$228,'Pre-Assessment Estimator'!$U$2,FALSE)&gt;AB234,AB234,VLOOKUP(E234,'Pre-Assessment Estimator'!$E$11:$AB$228,'Pre-Assessment Estimator'!$U$2,FALSE))</f>
        <v>0</v>
      </c>
      <c r="AM234" s="186" t="s">
        <v>12</v>
      </c>
      <c r="AN234" s="187" t="s">
        <v>12</v>
      </c>
      <c r="AO234" s="187" t="s">
        <v>12</v>
      </c>
      <c r="AP234" s="187" t="s">
        <v>12</v>
      </c>
      <c r="AQ234" s="188" t="s">
        <v>12</v>
      </c>
      <c r="AS234" s="186" t="s">
        <v>12</v>
      </c>
      <c r="AT234" s="187" t="s">
        <v>12</v>
      </c>
      <c r="AU234" s="187" t="s">
        <v>12</v>
      </c>
      <c r="AV234" s="187" t="s">
        <v>12</v>
      </c>
      <c r="AW234" s="188" t="s">
        <v>12</v>
      </c>
      <c r="AY234" s="153" t="str">
        <f t="shared" ref="AY234" si="591">IF($E$6=$H$9,AS234,AM234)</f>
        <v>Yes</v>
      </c>
      <c r="AZ234" s="154" t="str">
        <f t="shared" ref="AZ234" si="592">IF($E$6=$H$9,AT234,AN234)</f>
        <v>Yes</v>
      </c>
      <c r="BA234" s="154" t="str">
        <f t="shared" ref="BA234" si="593">IF($E$6=$H$9,AU234,AO234)</f>
        <v>Yes</v>
      </c>
      <c r="BB234" s="154" t="str">
        <f t="shared" ref="BB234" si="594">IF($E$6=$H$9,AV234,AP234)</f>
        <v>Yes</v>
      </c>
      <c r="BC234" s="835" t="str">
        <f t="shared" ref="BC234" si="595">IF($E$6=$H$9,AW234,AQ234)</f>
        <v>Yes</v>
      </c>
      <c r="BD234" s="160">
        <f>IF(AI234="Yes",5,0)</f>
        <v>0</v>
      </c>
      <c r="BE234" s="45" t="str">
        <f t="shared" ref="BE234" si="596">VLOOKUP(BD234,$BO$285:$BT$291,6,FALSE)</f>
        <v>Unclassified</v>
      </c>
      <c r="BF234" s="157"/>
      <c r="BG234" s="160">
        <f t="shared" ref="BG234" si="597">IF(AJ234="Yes",5,0)</f>
        <v>0</v>
      </c>
      <c r="BH234" s="45" t="str">
        <f t="shared" ref="BH234" si="598">VLOOKUP(BG234,$BO$285:$BT$291,6,FALSE)</f>
        <v>Unclassified</v>
      </c>
      <c r="BI234" s="157"/>
      <c r="BJ234" s="160">
        <f t="shared" ref="BJ234" si="599">IF(AK234="Yes",5,0)</f>
        <v>0</v>
      </c>
      <c r="BK234" s="45" t="str">
        <f t="shared" ref="BK234" si="600">VLOOKUP(BJ234,$BO$285:$BT$291,6,FALSE)</f>
        <v>Unclassified</v>
      </c>
      <c r="BL234" s="157"/>
      <c r="BO234" s="43"/>
      <c r="BP234" s="43"/>
      <c r="BQ234" s="43" t="str">
        <f t="shared" si="548"/>
        <v/>
      </c>
      <c r="BR234" s="43">
        <f t="shared" ref="BR234:BR249" si="601">IF(BQ234="",9,(IF(AI234=AD_Yes,5,0)))</f>
        <v>9</v>
      </c>
      <c r="BS234" s="43">
        <f t="shared" ref="BS234:BS249" si="602">IF(BQ234="",9,(IF(AJ234=AD_Yes,5,0)))</f>
        <v>9</v>
      </c>
      <c r="BT234" s="43">
        <f t="shared" ref="BT234:BT249" si="603">IF(BQ234="",9,(IF(AK234=AD_Yes,5,0)))</f>
        <v>9</v>
      </c>
      <c r="BW234" s="43"/>
      <c r="BX234" s="43"/>
      <c r="BY234" s="43"/>
      <c r="BZ234" s="43"/>
      <c r="CA234" s="43"/>
      <c r="CB234" s="43"/>
    </row>
    <row r="235" spans="1:81" x14ac:dyDescent="0.25">
      <c r="A235">
        <v>227</v>
      </c>
      <c r="B235" t="s">
        <v>1824</v>
      </c>
      <c r="C235" t="s">
        <v>111</v>
      </c>
      <c r="D235" s="830" t="s">
        <v>1824</v>
      </c>
      <c r="E235" s="831" t="s">
        <v>1825</v>
      </c>
      <c r="F235" s="704" t="s">
        <v>222</v>
      </c>
      <c r="G235" s="704" t="s">
        <v>222</v>
      </c>
      <c r="H235" s="704" t="s">
        <v>222</v>
      </c>
      <c r="I235" s="704" t="s">
        <v>222</v>
      </c>
      <c r="J235" s="704" t="s">
        <v>222</v>
      </c>
      <c r="K235" s="704" t="s">
        <v>222</v>
      </c>
      <c r="L235" s="704" t="s">
        <v>222</v>
      </c>
      <c r="M235" s="704" t="s">
        <v>222</v>
      </c>
      <c r="N235" s="704" t="s">
        <v>222</v>
      </c>
      <c r="O235" s="704" t="s">
        <v>222</v>
      </c>
      <c r="P235" s="704" t="s">
        <v>222</v>
      </c>
      <c r="Q235" s="832" t="s">
        <v>222</v>
      </c>
      <c r="R235" s="832" t="s">
        <v>222</v>
      </c>
      <c r="T235" s="184" t="str">
        <f t="shared" si="589"/>
        <v>Yes/No</v>
      </c>
      <c r="U235" s="148"/>
      <c r="V235" s="204"/>
      <c r="W235" s="43"/>
      <c r="X235" s="43"/>
      <c r="Y235" s="147"/>
      <c r="Z235" s="147"/>
      <c r="AA235" s="148"/>
      <c r="AB235" s="184" t="str">
        <f t="shared" si="590"/>
        <v>Yes/No</v>
      </c>
      <c r="AD235" s="150"/>
      <c r="AE235" s="205" t="s">
        <v>223</v>
      </c>
      <c r="AF235" s="205" t="s">
        <v>223</v>
      </c>
      <c r="AG235" s="205" t="s">
        <v>223</v>
      </c>
      <c r="AI235" s="185" t="str">
        <f>IF(VLOOKUP(E235,'Pre-Assessment Estimator'!$E$11:$AB$228,'Pre-Assessment Estimator'!$G$2,FALSE)&gt;AB235,AB235,VLOOKUP(E235,'Pre-Assessment Estimator'!$E$11:$AB$228,'Pre-Assessment Estimator'!$G$2,FALSE))</f>
        <v>Please select</v>
      </c>
      <c r="AJ235" s="151">
        <f>IF(VLOOKUP(E235,'Pre-Assessment Estimator'!$E$11:$AB$228,'Pre-Assessment Estimator'!$N$2,FALSE)&gt;AB235,AB235,VLOOKUP(E235,'Pre-Assessment Estimator'!$E$11:$AB$228,'Pre-Assessment Estimator'!$N$2,FALSE))</f>
        <v>0</v>
      </c>
      <c r="AK235" s="151">
        <f>IF(VLOOKUP(E235,'Pre-Assessment Estimator'!$E$11:$AB$228,'Pre-Assessment Estimator'!$U$2,FALSE)&gt;AB235,AB235,VLOOKUP(E235,'Pre-Assessment Estimator'!$E$11:$AB$228,'Pre-Assessment Estimator'!$U$2,FALSE))</f>
        <v>0</v>
      </c>
      <c r="AM235" s="833" t="s">
        <v>12</v>
      </c>
      <c r="AN235" s="46" t="s">
        <v>12</v>
      </c>
      <c r="AO235" s="46" t="s">
        <v>12</v>
      </c>
      <c r="AP235" s="46" t="s">
        <v>12</v>
      </c>
      <c r="AQ235" s="834" t="s">
        <v>12</v>
      </c>
      <c r="AS235" s="833" t="s">
        <v>12</v>
      </c>
      <c r="AT235" s="46" t="s">
        <v>12</v>
      </c>
      <c r="AU235" s="46" t="s">
        <v>12</v>
      </c>
      <c r="AV235" s="46" t="s">
        <v>12</v>
      </c>
      <c r="AW235" s="834" t="s">
        <v>12</v>
      </c>
      <c r="AY235" s="153" t="str">
        <f t="shared" ref="AY235" si="604">IF($E$6=$H$9,AS235,AM235)</f>
        <v>Yes</v>
      </c>
      <c r="AZ235" s="154" t="str">
        <f t="shared" ref="AZ235" si="605">IF($E$6=$H$9,AT235,AN235)</f>
        <v>Yes</v>
      </c>
      <c r="BA235" s="154" t="str">
        <f t="shared" ref="BA235" si="606">IF($E$6=$H$9,AU235,AO235)</f>
        <v>Yes</v>
      </c>
      <c r="BB235" s="154" t="str">
        <f t="shared" ref="BB235" si="607">IF($E$6=$H$9,AV235,AP235)</f>
        <v>Yes</v>
      </c>
      <c r="BC235" s="835" t="str">
        <f t="shared" ref="BC235" si="608">IF($E$6=$H$9,AW235,AQ235)</f>
        <v>Yes</v>
      </c>
      <c r="BD235" s="160">
        <f>IF(AI235="Yes",5,0)</f>
        <v>0</v>
      </c>
      <c r="BE235" s="45" t="str">
        <f t="shared" ref="BE235" si="609">VLOOKUP(BD235,$BO$285:$BT$291,6,FALSE)</f>
        <v>Unclassified</v>
      </c>
      <c r="BF235" s="157"/>
      <c r="BG235" s="160">
        <f t="shared" ref="BG235" si="610">IF(AJ235="Yes",5,0)</f>
        <v>0</v>
      </c>
      <c r="BH235" s="45" t="str">
        <f t="shared" ref="BH235" si="611">VLOOKUP(BG235,$BO$285:$BT$291,6,FALSE)</f>
        <v>Unclassified</v>
      </c>
      <c r="BI235" s="157"/>
      <c r="BJ235" s="160">
        <f t="shared" ref="BJ235" si="612">IF(AK235="Yes",5,0)</f>
        <v>0</v>
      </c>
      <c r="BK235" s="45" t="str">
        <f t="shared" ref="BK235" si="613">VLOOKUP(BJ235,$BO$285:$BT$291,6,FALSE)</f>
        <v>Unclassified</v>
      </c>
      <c r="BL235" s="157"/>
      <c r="BO235" s="43"/>
      <c r="BP235" s="43"/>
      <c r="BQ235" s="43"/>
      <c r="BR235" s="43">
        <f t="shared" ref="BR235" si="614">IF(BQ235="",9,(IF(AI235=AD_Yes,5,0)))</f>
        <v>9</v>
      </c>
      <c r="BS235" s="43">
        <f t="shared" ref="BS235" si="615">IF(BQ235="",9,(IF(AJ235=AD_Yes,5,0)))</f>
        <v>9</v>
      </c>
      <c r="BT235" s="43">
        <f t="shared" ref="BT235" si="616">IF(BQ235="",9,(IF(AK235=AD_Yes,5,0)))</f>
        <v>9</v>
      </c>
      <c r="BW235" s="48"/>
      <c r="BX235" s="48"/>
      <c r="BY235" s="48"/>
      <c r="BZ235" s="48"/>
      <c r="CA235" s="48"/>
      <c r="CB235" s="48"/>
    </row>
    <row r="236" spans="1:81" x14ac:dyDescent="0.25">
      <c r="A236">
        <v>228</v>
      </c>
      <c r="B236" t="s">
        <v>713</v>
      </c>
      <c r="C236" t="s">
        <v>112</v>
      </c>
      <c r="D236" s="830" t="s">
        <v>713</v>
      </c>
      <c r="E236" s="831" t="s">
        <v>588</v>
      </c>
      <c r="F236" s="704" t="s">
        <v>222</v>
      </c>
      <c r="G236" s="704" t="s">
        <v>222</v>
      </c>
      <c r="H236" s="704" t="s">
        <v>222</v>
      </c>
      <c r="I236" s="704" t="s">
        <v>222</v>
      </c>
      <c r="J236" s="704" t="s">
        <v>222</v>
      </c>
      <c r="K236" s="704" t="s">
        <v>222</v>
      </c>
      <c r="L236" s="704" t="s">
        <v>222</v>
      </c>
      <c r="M236" s="704" t="s">
        <v>222</v>
      </c>
      <c r="N236" s="704" t="s">
        <v>222</v>
      </c>
      <c r="O236" s="704" t="s">
        <v>222</v>
      </c>
      <c r="P236" s="704" t="s">
        <v>222</v>
      </c>
      <c r="Q236" s="832" t="s">
        <v>222</v>
      </c>
      <c r="R236" s="832" t="s">
        <v>222</v>
      </c>
      <c r="T236" s="184" t="str">
        <f t="shared" si="589"/>
        <v>Yes/No</v>
      </c>
      <c r="U236" s="148"/>
      <c r="V236" s="204"/>
      <c r="W236" s="43"/>
      <c r="X236" s="43"/>
      <c r="Y236" s="147"/>
      <c r="Z236" s="147"/>
      <c r="AA236" s="148"/>
      <c r="AB236" s="760" t="str">
        <f>IF(Hea02_credits=0,0,T236)</f>
        <v>Yes/No</v>
      </c>
      <c r="AD236" s="150"/>
      <c r="AE236" s="205" t="s">
        <v>223</v>
      </c>
      <c r="AF236" s="205" t="s">
        <v>223</v>
      </c>
      <c r="AG236" s="205" t="s">
        <v>223</v>
      </c>
      <c r="AI236" s="185" t="str">
        <f>IF(VLOOKUP(E236,'Pre-Assessment Estimator'!$E$11:$AB$228,'Pre-Assessment Estimator'!$G$2,FALSE)&gt;AB236,AB236,VLOOKUP(E236,'Pre-Assessment Estimator'!$E$11:$AB$228,'Pre-Assessment Estimator'!$G$2,FALSE))</f>
        <v>Yes</v>
      </c>
      <c r="AJ236" s="151">
        <f>IF(VLOOKUP(E236,'Pre-Assessment Estimator'!$E$11:$AB$228,'Pre-Assessment Estimator'!$N$2,FALSE)&gt;AB236,AB236,VLOOKUP(E236,'Pre-Assessment Estimator'!$E$11:$AB$228,'Pre-Assessment Estimator'!$N$2,FALSE))</f>
        <v>0</v>
      </c>
      <c r="AK236" s="151">
        <f>IF(VLOOKUP(E236,'Pre-Assessment Estimator'!$E$11:$AB$228,'Pre-Assessment Estimator'!$U$2,FALSE)&gt;AB236,AB236,VLOOKUP(E236,'Pre-Assessment Estimator'!$E$11:$AB$228,'Pre-Assessment Estimator'!$U$2,FALSE))</f>
        <v>0</v>
      </c>
      <c r="AM236" s="271" t="s">
        <v>12</v>
      </c>
      <c r="AN236" s="44" t="s">
        <v>12</v>
      </c>
      <c r="AO236" s="44" t="s">
        <v>12</v>
      </c>
      <c r="AP236" s="44" t="s">
        <v>12</v>
      </c>
      <c r="AQ236" s="158" t="s">
        <v>12</v>
      </c>
      <c r="AS236" s="833" t="s">
        <v>12</v>
      </c>
      <c r="AT236" s="46" t="s">
        <v>12</v>
      </c>
      <c r="AU236" s="46" t="s">
        <v>12</v>
      </c>
      <c r="AV236" s="46" t="s">
        <v>12</v>
      </c>
      <c r="AW236" s="834" t="s">
        <v>12</v>
      </c>
      <c r="AY236" s="632" t="str">
        <f t="shared" ref="AY236:BB237" si="617">IF($E$6=$H$9,AS236,AM236)</f>
        <v>Yes</v>
      </c>
      <c r="AZ236" s="633" t="str">
        <f t="shared" si="617"/>
        <v>Yes</v>
      </c>
      <c r="BA236" s="633" t="str">
        <f t="shared" si="617"/>
        <v>Yes</v>
      </c>
      <c r="BB236" s="633" t="str">
        <f t="shared" si="617"/>
        <v>Yes</v>
      </c>
      <c r="BC236" s="651" t="str">
        <f t="shared" ref="BC236:BC248" si="618">IF($E$6=$H$9,AW236,AQ236)</f>
        <v>Yes</v>
      </c>
      <c r="BD236" s="160">
        <f>IF(Hea02_credits=0,9,IF(AND(AI236="Yes"),5,0))</f>
        <v>5</v>
      </c>
      <c r="BE236" s="45" t="str">
        <f t="shared" ref="BE236:BE251" si="619">VLOOKUP(BD236,$BO$285:$BT$291,6,FALSE)</f>
        <v>Outstanding</v>
      </c>
      <c r="BF236" s="634"/>
      <c r="BG236" s="160">
        <f>IF(Hea02_credits=0,9,IF(AND(AJ236="Yes"),5,0))</f>
        <v>0</v>
      </c>
      <c r="BH236" s="45" t="str">
        <f t="shared" ref="BH236:BH251" si="620">VLOOKUP(BG236,$BO$285:$BT$291,6,FALSE)</f>
        <v>Unclassified</v>
      </c>
      <c r="BI236" s="634"/>
      <c r="BJ236" s="160">
        <f>IF(Hea02_credits=0,9,IF(AND(AK236="Yes"),5,0))</f>
        <v>0</v>
      </c>
      <c r="BK236" s="45" t="str">
        <f t="shared" ref="BK236:BK251" si="621">VLOOKUP(BJ236,$BO$285:$BT$291,6,FALSE)</f>
        <v>Unclassified</v>
      </c>
      <c r="BL236" s="634"/>
      <c r="BO236" s="43"/>
      <c r="BP236" s="43"/>
      <c r="BQ236" s="43" t="str">
        <f t="shared" si="548"/>
        <v/>
      </c>
      <c r="BR236" s="43">
        <f t="shared" si="601"/>
        <v>9</v>
      </c>
      <c r="BS236" s="43">
        <f t="shared" si="602"/>
        <v>9</v>
      </c>
      <c r="BT236" s="43">
        <f t="shared" si="603"/>
        <v>9</v>
      </c>
      <c r="BW236" s="48"/>
      <c r="BX236" s="48"/>
      <c r="BY236" s="48">
        <f>IFERROR(VLOOKUP($E236,'Pre-Assessment Estimator'!$E$11:$AI$228,'Pre-Assessment Estimator'!AI$2,FALSE),"")</f>
        <v>0</v>
      </c>
      <c r="BZ236" s="48" t="str">
        <f>IFERROR(VLOOKUP($BX236,$E$294:$H$327,F$292,FALSE),"")</f>
        <v/>
      </c>
      <c r="CA236" s="48" t="str">
        <f>IFERROR(VLOOKUP($BX236,$E$294:$H$327,G$292,FALSE),"")</f>
        <v/>
      </c>
      <c r="CB236" s="48"/>
      <c r="CC236" t="str">
        <f>IFERROR(VLOOKUP($BX236,$E$294:$H$327,I$292,FALSE),"")</f>
        <v/>
      </c>
    </row>
    <row r="237" spans="1:81" ht="15.75" thickBot="1" x14ac:dyDescent="0.3">
      <c r="A237">
        <v>229</v>
      </c>
      <c r="B237" t="s">
        <v>720</v>
      </c>
      <c r="C237" t="s">
        <v>115</v>
      </c>
      <c r="D237" s="191" t="s">
        <v>720</v>
      </c>
      <c r="E237" s="730" t="s">
        <v>595</v>
      </c>
      <c r="F237" s="582" t="s">
        <v>222</v>
      </c>
      <c r="G237" s="582" t="s">
        <v>222</v>
      </c>
      <c r="H237" s="582" t="s">
        <v>222</v>
      </c>
      <c r="I237" s="582" t="s">
        <v>222</v>
      </c>
      <c r="J237" s="582" t="s">
        <v>222</v>
      </c>
      <c r="K237" s="582" t="s">
        <v>222</v>
      </c>
      <c r="L237" s="582" t="s">
        <v>222</v>
      </c>
      <c r="M237" s="582" t="s">
        <v>222</v>
      </c>
      <c r="N237" s="582" t="s">
        <v>222</v>
      </c>
      <c r="O237" s="582" t="s">
        <v>222</v>
      </c>
      <c r="P237" s="582" t="s">
        <v>222</v>
      </c>
      <c r="Q237" s="583" t="s">
        <v>222</v>
      </c>
      <c r="R237" s="583" t="s">
        <v>222</v>
      </c>
      <c r="T237" s="148" t="str">
        <f t="shared" si="589"/>
        <v>Yes/No</v>
      </c>
      <c r="U237" s="206"/>
      <c r="V237" s="204"/>
      <c r="W237" s="43"/>
      <c r="X237" s="43"/>
      <c r="Y237" s="147"/>
      <c r="Z237" s="147"/>
      <c r="AA237" s="148"/>
      <c r="AB237" s="184" t="str">
        <f t="shared" si="590"/>
        <v>Yes/No</v>
      </c>
      <c r="AD237" s="150"/>
      <c r="AE237" s="205" t="s">
        <v>223</v>
      </c>
      <c r="AF237" s="205" t="s">
        <v>223</v>
      </c>
      <c r="AG237" s="205" t="s">
        <v>223</v>
      </c>
      <c r="AI237" s="185" t="str">
        <f>IF(VLOOKUP(E237,'Pre-Assessment Estimator'!$E$11:$AB$228,'Pre-Assessment Estimator'!$G$2,FALSE)&gt;AB237,AB237,VLOOKUP(E237,'Pre-Assessment Estimator'!$E$11:$AB$228,'Pre-Assessment Estimator'!$G$2,FALSE))</f>
        <v>Please select</v>
      </c>
      <c r="AJ237" s="151">
        <f>IF(VLOOKUP(E237,'Pre-Assessment Estimator'!$E$11:$AB$228,'Pre-Assessment Estimator'!$N$2,FALSE)&gt;AB237,AB237,VLOOKUP(E237,'Pre-Assessment Estimator'!$E$11:$AB$228,'Pre-Assessment Estimator'!$N$2,FALSE))</f>
        <v>0</v>
      </c>
      <c r="AK237" s="151">
        <f>IF(VLOOKUP(E237,'Pre-Assessment Estimator'!$E$11:$AB$228,'Pre-Assessment Estimator'!$U$2,FALSE)&gt;AB237,AB237,VLOOKUP(E237,'Pre-Assessment Estimator'!$E$11:$AB$228,'Pre-Assessment Estimator'!$U$2,FALSE))</f>
        <v>0</v>
      </c>
      <c r="AM237" s="271"/>
      <c r="AN237" s="44"/>
      <c r="AO237" s="44"/>
      <c r="AP237" s="44"/>
      <c r="AQ237" s="158"/>
      <c r="AS237" s="271"/>
      <c r="AT237" s="44"/>
      <c r="AU237" s="44"/>
      <c r="AV237" s="44"/>
      <c r="AW237" s="158"/>
      <c r="AY237" s="160">
        <f t="shared" si="617"/>
        <v>0</v>
      </c>
      <c r="AZ237" s="161">
        <f t="shared" si="617"/>
        <v>0</v>
      </c>
      <c r="BA237" s="161">
        <f t="shared" si="617"/>
        <v>0</v>
      </c>
      <c r="BB237" s="161">
        <f t="shared" si="617"/>
        <v>0</v>
      </c>
      <c r="BC237" s="165">
        <f t="shared" si="618"/>
        <v>0</v>
      </c>
      <c r="BD237" s="839">
        <v>9</v>
      </c>
      <c r="BE237" s="45" t="str">
        <f t="shared" si="619"/>
        <v>N/A</v>
      </c>
      <c r="BF237" s="163"/>
      <c r="BG237" s="839">
        <v>9</v>
      </c>
      <c r="BH237" s="45" t="str">
        <f t="shared" si="620"/>
        <v>N/A</v>
      </c>
      <c r="BI237" s="163"/>
      <c r="BJ237" s="839">
        <v>9</v>
      </c>
      <c r="BK237" s="45" t="str">
        <f t="shared" si="621"/>
        <v>N/A</v>
      </c>
      <c r="BL237" s="163"/>
      <c r="BO237" s="43"/>
      <c r="BP237" s="43"/>
      <c r="BQ237" s="43" t="str">
        <f t="shared" si="548"/>
        <v/>
      </c>
      <c r="BR237" s="43">
        <f t="shared" si="601"/>
        <v>9</v>
      </c>
      <c r="BS237" s="43">
        <f t="shared" si="602"/>
        <v>9</v>
      </c>
      <c r="BT237" s="43">
        <f t="shared" si="603"/>
        <v>9</v>
      </c>
      <c r="BW237" s="48"/>
      <c r="BX237" s="48"/>
      <c r="BY237" s="48">
        <f>IFERROR(VLOOKUP($E237,'Pre-Assessment Estimator'!$E$11:$AI$228,'Pre-Assessment Estimator'!AI$2,FALSE),"")</f>
        <v>0</v>
      </c>
      <c r="BZ237" s="48" t="str">
        <f>IFERROR(VLOOKUP($BX237,$E$294:$H$327,F$292,FALSE),"")</f>
        <v/>
      </c>
      <c r="CA237" s="48" t="str">
        <f>IFERROR(VLOOKUP($BX237,$E$294:$H$327,G$292,FALSE),"")</f>
        <v/>
      </c>
      <c r="CB237" s="48"/>
      <c r="CC237" t="str">
        <f>IFERROR(VLOOKUP($BX237,$E$294:$H$327,I$292,FALSE),"")</f>
        <v/>
      </c>
    </row>
    <row r="238" spans="1:81" ht="15.75" thickBot="1" x14ac:dyDescent="0.3">
      <c r="A238">
        <v>230</v>
      </c>
      <c r="B238" t="s">
        <v>750</v>
      </c>
      <c r="C238" t="s">
        <v>167</v>
      </c>
      <c r="D238" s="545" t="s">
        <v>750</v>
      </c>
      <c r="E238" s="724" t="s">
        <v>626</v>
      </c>
      <c r="F238" s="584" t="s">
        <v>222</v>
      </c>
      <c r="G238" s="584" t="s">
        <v>222</v>
      </c>
      <c r="H238" s="584" t="s">
        <v>222</v>
      </c>
      <c r="I238" s="584" t="s">
        <v>222</v>
      </c>
      <c r="J238" s="584" t="s">
        <v>222</v>
      </c>
      <c r="K238" s="584" t="s">
        <v>222</v>
      </c>
      <c r="L238" s="584" t="s">
        <v>222</v>
      </c>
      <c r="M238" s="584" t="s">
        <v>222</v>
      </c>
      <c r="N238" s="584" t="s">
        <v>222</v>
      </c>
      <c r="O238" s="584" t="s">
        <v>222</v>
      </c>
      <c r="P238" s="584" t="s">
        <v>222</v>
      </c>
      <c r="Q238" s="585" t="s">
        <v>222</v>
      </c>
      <c r="R238" s="585" t="s">
        <v>222</v>
      </c>
      <c r="T238" s="148" t="str">
        <f t="shared" si="589"/>
        <v>Yes/No</v>
      </c>
      <c r="U238" s="206"/>
      <c r="V238" s="204"/>
      <c r="W238" s="43"/>
      <c r="X238" s="43"/>
      <c r="Y238" s="147"/>
      <c r="Z238" s="147"/>
      <c r="AA238" s="148"/>
      <c r="AB238" s="184" t="str">
        <f t="shared" si="590"/>
        <v>Yes/No</v>
      </c>
      <c r="AD238" s="150"/>
      <c r="AE238" s="205" t="s">
        <v>223</v>
      </c>
      <c r="AF238" s="205" t="s">
        <v>223</v>
      </c>
      <c r="AG238" s="205" t="s">
        <v>223</v>
      </c>
      <c r="AI238" s="185" t="str">
        <f>IF(VLOOKUP(E238,'Pre-Assessment Estimator'!$E$11:$AB$228,'Pre-Assessment Estimator'!$G$2,FALSE)&gt;AB238,AB238,VLOOKUP(E238,'Pre-Assessment Estimator'!$E$11:$AB$228,'Pre-Assessment Estimator'!$G$2,FALSE))</f>
        <v>Please select</v>
      </c>
      <c r="AJ238" s="151">
        <f>IF(VLOOKUP(E238,'Pre-Assessment Estimator'!$E$11:$AB$228,'Pre-Assessment Estimator'!$N$2,FALSE)&gt;AB238,AB238,VLOOKUP(E238,'Pre-Assessment Estimator'!$E$11:$AB$228,'Pre-Assessment Estimator'!$N$2,FALSE))</f>
        <v>0</v>
      </c>
      <c r="AK238" s="151">
        <f>IF(VLOOKUP(E238,'Pre-Assessment Estimator'!$E$11:$AB$228,'Pre-Assessment Estimator'!$U$2,FALSE)&gt;AB238,AB238,VLOOKUP(E238,'Pre-Assessment Estimator'!$E$11:$AB$228,'Pre-Assessment Estimator'!$U$2,FALSE))</f>
        <v>0</v>
      </c>
      <c r="AM238" s="546" t="s">
        <v>12</v>
      </c>
      <c r="AN238" s="199" t="s">
        <v>12</v>
      </c>
      <c r="AO238" s="199" t="s">
        <v>12</v>
      </c>
      <c r="AP238" s="199" t="s">
        <v>12</v>
      </c>
      <c r="AQ238" s="200" t="s">
        <v>12</v>
      </c>
      <c r="AS238" s="546" t="s">
        <v>12</v>
      </c>
      <c r="AT238" s="199" t="s">
        <v>12</v>
      </c>
      <c r="AU238" s="199" t="s">
        <v>12</v>
      </c>
      <c r="AV238" s="199" t="s">
        <v>12</v>
      </c>
      <c r="AW238" s="200" t="s">
        <v>12</v>
      </c>
      <c r="AY238" s="160" t="str">
        <f t="shared" ref="AY238" si="622">IF($E$6=$H$9,AS238,AM238)</f>
        <v>Yes</v>
      </c>
      <c r="AZ238" s="161" t="str">
        <f t="shared" ref="AZ238" si="623">IF($E$6=$H$9,AT238,AN238)</f>
        <v>Yes</v>
      </c>
      <c r="BA238" s="161" t="str">
        <f t="shared" ref="BA238" si="624">IF($E$6=$H$9,AU238,AO238)</f>
        <v>Yes</v>
      </c>
      <c r="BB238" s="161" t="str">
        <f t="shared" ref="BB238" si="625">IF($E$6=$H$9,AV238,AP238)</f>
        <v>Yes</v>
      </c>
      <c r="BC238" s="165" t="str">
        <f t="shared" si="618"/>
        <v>Yes</v>
      </c>
      <c r="BD238" s="160">
        <f t="shared" ref="BD238:BD240" si="626">IF(AI238="Yes",5,0)</f>
        <v>0</v>
      </c>
      <c r="BE238" s="45" t="str">
        <f t="shared" si="619"/>
        <v>Unclassified</v>
      </c>
      <c r="BF238" s="163"/>
      <c r="BG238" s="160">
        <f t="shared" ref="BG238:BG240" si="627">IF(AJ238="Yes",5,0)</f>
        <v>0</v>
      </c>
      <c r="BH238" s="45" t="str">
        <f t="shared" si="620"/>
        <v>Unclassified</v>
      </c>
      <c r="BI238" s="163"/>
      <c r="BJ238" s="160">
        <f t="shared" ref="BJ238:BJ240" si="628">IF(AK238="Yes",5,0)</f>
        <v>0</v>
      </c>
      <c r="BK238" s="45" t="str">
        <f t="shared" si="621"/>
        <v>Unclassified</v>
      </c>
      <c r="BL238" s="163"/>
      <c r="BO238" s="43"/>
      <c r="BP238" s="43"/>
      <c r="BQ238" s="43" t="str">
        <f t="shared" si="548"/>
        <v/>
      </c>
      <c r="BR238" s="43">
        <f t="shared" si="601"/>
        <v>9</v>
      </c>
      <c r="BS238" s="43">
        <f t="shared" si="602"/>
        <v>9</v>
      </c>
      <c r="BT238" s="43">
        <f t="shared" si="603"/>
        <v>9</v>
      </c>
      <c r="BW238" s="48"/>
      <c r="BX238" s="48"/>
      <c r="BY238" s="48"/>
      <c r="BZ238" s="48"/>
      <c r="CA238" s="48"/>
      <c r="CB238" s="48"/>
    </row>
    <row r="239" spans="1:81" ht="15.75" thickBot="1" x14ac:dyDescent="0.3">
      <c r="A239">
        <v>231</v>
      </c>
      <c r="B239" t="s">
        <v>753</v>
      </c>
      <c r="C239" t="s">
        <v>457</v>
      </c>
      <c r="D239" s="545" t="s">
        <v>753</v>
      </c>
      <c r="E239" s="1402" t="s">
        <v>1815</v>
      </c>
      <c r="F239" s="584" t="s">
        <v>222</v>
      </c>
      <c r="G239" s="584" t="s">
        <v>222</v>
      </c>
      <c r="H239" s="584" t="s">
        <v>222</v>
      </c>
      <c r="I239" s="584" t="s">
        <v>222</v>
      </c>
      <c r="J239" s="584" t="s">
        <v>222</v>
      </c>
      <c r="K239" s="584" t="s">
        <v>222</v>
      </c>
      <c r="L239" s="584" t="s">
        <v>222</v>
      </c>
      <c r="M239" s="584" t="s">
        <v>222</v>
      </c>
      <c r="N239" s="584" t="s">
        <v>222</v>
      </c>
      <c r="O239" s="584" t="s">
        <v>222</v>
      </c>
      <c r="P239" s="584" t="s">
        <v>222</v>
      </c>
      <c r="Q239" s="585" t="s">
        <v>222</v>
      </c>
      <c r="R239" s="585" t="s">
        <v>222</v>
      </c>
      <c r="T239" s="148" t="str">
        <f t="shared" si="589"/>
        <v>Yes/No</v>
      </c>
      <c r="U239" s="206"/>
      <c r="V239" s="204"/>
      <c r="W239" s="43"/>
      <c r="X239" s="43"/>
      <c r="Y239" s="147"/>
      <c r="Z239" s="147"/>
      <c r="AA239" s="148"/>
      <c r="AB239" s="184" t="str">
        <f t="shared" si="590"/>
        <v>Yes/No</v>
      </c>
      <c r="AD239" s="150"/>
      <c r="AE239" s="205" t="s">
        <v>223</v>
      </c>
      <c r="AF239" s="205" t="s">
        <v>223</v>
      </c>
      <c r="AG239" s="205" t="s">
        <v>223</v>
      </c>
      <c r="AI239" s="185" t="str">
        <f>IF(VLOOKUP(E239,'Pre-Assessment Estimator'!$E$11:$AB$228,'Pre-Assessment Estimator'!$G$2,FALSE)&gt;AB239,AB239,VLOOKUP(E239,'Pre-Assessment Estimator'!$E$11:$AB$228,'Pre-Assessment Estimator'!$G$2,FALSE))</f>
        <v>Please select</v>
      </c>
      <c r="AJ239" s="151">
        <f>IF(VLOOKUP(E239,'Pre-Assessment Estimator'!$E$11:$AB$228,'Pre-Assessment Estimator'!$N$2,FALSE)&gt;AB239,AB239,VLOOKUP(E239,'Pre-Assessment Estimator'!$E$11:$AB$228,'Pre-Assessment Estimator'!$N$2,FALSE))</f>
        <v>0</v>
      </c>
      <c r="AK239" s="151">
        <f>IF(VLOOKUP(E239,'Pre-Assessment Estimator'!$E$11:$AB$228,'Pre-Assessment Estimator'!$U$2,FALSE)&gt;AB239,AB239,VLOOKUP(E239,'Pre-Assessment Estimator'!$E$11:$AB$228,'Pre-Assessment Estimator'!$U$2,FALSE))</f>
        <v>0</v>
      </c>
      <c r="AM239" s="721" t="s">
        <v>12</v>
      </c>
      <c r="AN239" s="722" t="s">
        <v>12</v>
      </c>
      <c r="AO239" s="722" t="s">
        <v>12</v>
      </c>
      <c r="AP239" s="722" t="s">
        <v>12</v>
      </c>
      <c r="AQ239" s="723" t="s">
        <v>12</v>
      </c>
      <c r="AR239" s="121"/>
      <c r="AS239" s="721" t="s">
        <v>12</v>
      </c>
      <c r="AT239" s="722" t="s">
        <v>12</v>
      </c>
      <c r="AU239" s="722" t="s">
        <v>12</v>
      </c>
      <c r="AV239" s="722" t="s">
        <v>12</v>
      </c>
      <c r="AW239" s="723" t="s">
        <v>12</v>
      </c>
      <c r="AY239" s="160" t="str">
        <f t="shared" ref="AY239:AY244" si="629">IF($E$6=$H$9,AS239,AM239)</f>
        <v>Yes</v>
      </c>
      <c r="AZ239" s="161" t="str">
        <f t="shared" ref="AZ239:AZ244" si="630">IF($E$6=$H$9,AT239,AN239)</f>
        <v>Yes</v>
      </c>
      <c r="BA239" s="161" t="str">
        <f t="shared" ref="BA239:BA244" si="631">IF($E$6=$H$9,AU239,AO239)</f>
        <v>Yes</v>
      </c>
      <c r="BB239" s="161" t="str">
        <f t="shared" ref="BB239:BB244" si="632">IF($E$6=$H$9,AV239,AP239)</f>
        <v>Yes</v>
      </c>
      <c r="BC239" s="165" t="str">
        <f t="shared" si="618"/>
        <v>Yes</v>
      </c>
      <c r="BD239" s="160">
        <f t="shared" si="626"/>
        <v>0</v>
      </c>
      <c r="BE239" s="45" t="str">
        <f t="shared" si="619"/>
        <v>Unclassified</v>
      </c>
      <c r="BF239" s="163"/>
      <c r="BG239" s="160">
        <f t="shared" si="627"/>
        <v>0</v>
      </c>
      <c r="BH239" s="45" t="str">
        <f t="shared" si="620"/>
        <v>Unclassified</v>
      </c>
      <c r="BI239" s="163"/>
      <c r="BJ239" s="160">
        <f t="shared" si="628"/>
        <v>0</v>
      </c>
      <c r="BK239" s="45" t="str">
        <f t="shared" si="621"/>
        <v>Unclassified</v>
      </c>
      <c r="BL239" s="163"/>
      <c r="BO239" s="43"/>
      <c r="BP239" s="43" t="s">
        <v>12</v>
      </c>
      <c r="BQ239" s="43" t="str">
        <f t="shared" si="548"/>
        <v>Yes</v>
      </c>
      <c r="BR239" s="43">
        <f t="shared" si="601"/>
        <v>0</v>
      </c>
      <c r="BS239" s="43">
        <f t="shared" si="602"/>
        <v>0</v>
      </c>
      <c r="BT239" s="43">
        <f t="shared" si="603"/>
        <v>0</v>
      </c>
      <c r="BW239" s="48"/>
      <c r="BX239" s="48"/>
      <c r="BY239" s="48"/>
      <c r="BZ239" s="48"/>
      <c r="CA239" s="48"/>
      <c r="CB239" s="48"/>
    </row>
    <row r="240" spans="1:81" ht="15.75" thickBot="1" x14ac:dyDescent="0.3">
      <c r="A240">
        <v>232</v>
      </c>
      <c r="B240" t="s">
        <v>756</v>
      </c>
      <c r="C240" t="s">
        <v>168</v>
      </c>
      <c r="D240" s="545" t="s">
        <v>756</v>
      </c>
      <c r="E240" s="725" t="s">
        <v>959</v>
      </c>
      <c r="F240" s="584" t="s">
        <v>222</v>
      </c>
      <c r="G240" s="584" t="s">
        <v>222</v>
      </c>
      <c r="H240" s="584" t="s">
        <v>222</v>
      </c>
      <c r="I240" s="584" t="s">
        <v>222</v>
      </c>
      <c r="J240" s="584" t="s">
        <v>222</v>
      </c>
      <c r="K240" s="584" t="s">
        <v>222</v>
      </c>
      <c r="L240" s="584" t="s">
        <v>222</v>
      </c>
      <c r="M240" s="584" t="s">
        <v>222</v>
      </c>
      <c r="N240" s="584" t="s">
        <v>222</v>
      </c>
      <c r="O240" s="584" t="s">
        <v>222</v>
      </c>
      <c r="P240" s="584" t="s">
        <v>222</v>
      </c>
      <c r="Q240" s="585" t="s">
        <v>222</v>
      </c>
      <c r="R240" s="585" t="s">
        <v>222</v>
      </c>
      <c r="T240" s="148" t="str">
        <f t="shared" si="589"/>
        <v>Yes/No</v>
      </c>
      <c r="U240" s="206"/>
      <c r="V240" s="204"/>
      <c r="W240" s="43"/>
      <c r="X240" s="43"/>
      <c r="Y240" s="147"/>
      <c r="Z240" s="147"/>
      <c r="AA240" s="148"/>
      <c r="AB240" s="184" t="str">
        <f t="shared" si="590"/>
        <v>Yes/No</v>
      </c>
      <c r="AD240" s="150"/>
      <c r="AE240" s="205" t="s">
        <v>223</v>
      </c>
      <c r="AF240" s="205" t="s">
        <v>223</v>
      </c>
      <c r="AG240" s="205" t="s">
        <v>223</v>
      </c>
      <c r="AI240" s="185" t="str">
        <f>IF(VLOOKUP(E240,'Pre-Assessment Estimator'!$E$11:$AB$228,'Pre-Assessment Estimator'!$G$2,FALSE)&gt;AB240,AB240,VLOOKUP(E240,'Pre-Assessment Estimator'!$E$11:$AB$228,'Pre-Assessment Estimator'!$G$2,FALSE))</f>
        <v>Please select</v>
      </c>
      <c r="AJ240" s="151">
        <f>IF(VLOOKUP(E240,'Pre-Assessment Estimator'!$E$11:$AB$228,'Pre-Assessment Estimator'!$N$2,FALSE)&gt;AB240,AB240,VLOOKUP(E240,'Pre-Assessment Estimator'!$E$11:$AB$228,'Pre-Assessment Estimator'!$N$2,FALSE))</f>
        <v>0</v>
      </c>
      <c r="AK240" s="151">
        <f>IF(VLOOKUP(E240,'Pre-Assessment Estimator'!$E$11:$AB$228,'Pre-Assessment Estimator'!$U$2,FALSE)&gt;AB240,AB240,VLOOKUP(E240,'Pre-Assessment Estimator'!$E$11:$AB$228,'Pre-Assessment Estimator'!$U$2,FALSE))</f>
        <v>0</v>
      </c>
      <c r="AM240" s="721" t="s">
        <v>12</v>
      </c>
      <c r="AN240" s="722" t="s">
        <v>12</v>
      </c>
      <c r="AO240" s="722" t="s">
        <v>12</v>
      </c>
      <c r="AP240" s="722" t="s">
        <v>12</v>
      </c>
      <c r="AQ240" s="723" t="s">
        <v>12</v>
      </c>
      <c r="AR240" s="121"/>
      <c r="AS240" s="721" t="s">
        <v>12</v>
      </c>
      <c r="AT240" s="722" t="s">
        <v>12</v>
      </c>
      <c r="AU240" s="722" t="s">
        <v>12</v>
      </c>
      <c r="AV240" s="722" t="s">
        <v>12</v>
      </c>
      <c r="AW240" s="723" t="s">
        <v>12</v>
      </c>
      <c r="AY240" s="160" t="str">
        <f t="shared" si="629"/>
        <v>Yes</v>
      </c>
      <c r="AZ240" s="161" t="str">
        <f t="shared" si="630"/>
        <v>Yes</v>
      </c>
      <c r="BA240" s="161" t="str">
        <f t="shared" si="631"/>
        <v>Yes</v>
      </c>
      <c r="BB240" s="161" t="str">
        <f t="shared" si="632"/>
        <v>Yes</v>
      </c>
      <c r="BC240" s="165" t="str">
        <f t="shared" si="618"/>
        <v>Yes</v>
      </c>
      <c r="BD240" s="160">
        <f t="shared" si="626"/>
        <v>0</v>
      </c>
      <c r="BE240" s="45" t="str">
        <f t="shared" si="619"/>
        <v>Unclassified</v>
      </c>
      <c r="BF240" s="163"/>
      <c r="BG240" s="160">
        <f t="shared" si="627"/>
        <v>0</v>
      </c>
      <c r="BH240" s="45" t="str">
        <f t="shared" si="620"/>
        <v>Unclassified</v>
      </c>
      <c r="BI240" s="163"/>
      <c r="BJ240" s="160">
        <f t="shared" si="628"/>
        <v>0</v>
      </c>
      <c r="BK240" s="45" t="str">
        <f t="shared" si="621"/>
        <v>Unclassified</v>
      </c>
      <c r="BL240" s="163"/>
      <c r="BO240" s="43"/>
      <c r="BP240" s="43"/>
      <c r="BQ240" s="43" t="str">
        <f t="shared" si="548"/>
        <v/>
      </c>
      <c r="BR240" s="43">
        <f t="shared" si="601"/>
        <v>9</v>
      </c>
      <c r="BS240" s="43">
        <f t="shared" si="602"/>
        <v>9</v>
      </c>
      <c r="BT240" s="43">
        <f t="shared" si="603"/>
        <v>9</v>
      </c>
      <c r="BW240" s="48"/>
      <c r="BX240" s="48"/>
      <c r="BY240" s="48"/>
      <c r="BZ240" s="48"/>
      <c r="CA240" s="48"/>
      <c r="CB240" s="48"/>
    </row>
    <row r="241" spans="1:81" ht="15.75" thickBot="1" x14ac:dyDescent="0.3">
      <c r="A241">
        <v>233</v>
      </c>
      <c r="B241" t="s">
        <v>759</v>
      </c>
      <c r="C241" t="s">
        <v>169</v>
      </c>
      <c r="D241" s="545" t="s">
        <v>759</v>
      </c>
      <c r="E241" s="725" t="s">
        <v>635</v>
      </c>
      <c r="F241" s="584" t="s">
        <v>222</v>
      </c>
      <c r="G241" s="584" t="s">
        <v>222</v>
      </c>
      <c r="H241" s="584" t="s">
        <v>222</v>
      </c>
      <c r="I241" s="584" t="s">
        <v>222</v>
      </c>
      <c r="J241" s="584" t="s">
        <v>222</v>
      </c>
      <c r="K241" s="584" t="s">
        <v>222</v>
      </c>
      <c r="L241" s="584" t="s">
        <v>222</v>
      </c>
      <c r="M241" s="584" t="s">
        <v>222</v>
      </c>
      <c r="N241" s="584" t="s">
        <v>222</v>
      </c>
      <c r="O241" s="584" t="s">
        <v>222</v>
      </c>
      <c r="P241" s="584" t="s">
        <v>222</v>
      </c>
      <c r="Q241" s="585" t="s">
        <v>222</v>
      </c>
      <c r="R241" s="585" t="s">
        <v>222</v>
      </c>
      <c r="T241" s="148" t="str">
        <f t="shared" si="589"/>
        <v>Yes/No</v>
      </c>
      <c r="U241" s="206"/>
      <c r="V241" s="204"/>
      <c r="W241" s="43"/>
      <c r="X241" s="43"/>
      <c r="Y241" s="147"/>
      <c r="Z241" s="147"/>
      <c r="AA241" s="148"/>
      <c r="AB241" s="184" t="str">
        <f t="shared" si="590"/>
        <v>Yes/No</v>
      </c>
      <c r="AD241" s="150"/>
      <c r="AE241" s="205" t="s">
        <v>223</v>
      </c>
      <c r="AF241" s="205" t="s">
        <v>223</v>
      </c>
      <c r="AG241" s="205" t="s">
        <v>223</v>
      </c>
      <c r="AI241" s="185" t="str">
        <f>IF(VLOOKUP(E241,'Pre-Assessment Estimator'!$E$11:$AB$228,'Pre-Assessment Estimator'!$G$2,FALSE)&gt;AB241,AB241,VLOOKUP(E241,'Pre-Assessment Estimator'!$E$11:$AB$228,'Pre-Assessment Estimator'!$G$2,FALSE))</f>
        <v>Please select</v>
      </c>
      <c r="AJ241" s="151">
        <f>IF(VLOOKUP(E241,'Pre-Assessment Estimator'!$E$11:$AB$228,'Pre-Assessment Estimator'!$N$2,FALSE)&gt;AB241,AB241,VLOOKUP(E241,'Pre-Assessment Estimator'!$E$11:$AB$228,'Pre-Assessment Estimator'!$N$2,FALSE))</f>
        <v>0</v>
      </c>
      <c r="AK241" s="151">
        <f>IF(VLOOKUP(E241,'Pre-Assessment Estimator'!$E$11:$AB$228,'Pre-Assessment Estimator'!$U$2,FALSE)&gt;AB241,AB241,VLOOKUP(E241,'Pre-Assessment Estimator'!$E$11:$AB$228,'Pre-Assessment Estimator'!$U$2,FALSE))</f>
        <v>0</v>
      </c>
      <c r="AM241" s="546"/>
      <c r="AN241" s="199"/>
      <c r="AO241" s="199"/>
      <c r="AP241" s="199"/>
      <c r="AQ241" s="200"/>
      <c r="AS241" s="546"/>
      <c r="AT241" s="199"/>
      <c r="AU241" s="199"/>
      <c r="AV241" s="199"/>
      <c r="AW241" s="200"/>
      <c r="AY241" s="160">
        <f t="shared" ref="AY241" si="633">IF($E$6=$H$9,AS241,AM241)</f>
        <v>0</v>
      </c>
      <c r="AZ241" s="161">
        <f t="shared" ref="AZ241" si="634">IF($E$6=$H$9,AT241,AN241)</f>
        <v>0</v>
      </c>
      <c r="BA241" s="161">
        <f t="shared" ref="BA241" si="635">IF($E$6=$H$9,AU241,AO241)</f>
        <v>0</v>
      </c>
      <c r="BB241" s="161">
        <f t="shared" ref="BB241" si="636">IF($E$6=$H$9,AV241,AP241)</f>
        <v>0</v>
      </c>
      <c r="BC241" s="165">
        <f t="shared" ref="BC241" si="637">IF($E$6=$H$9,AW241,AQ241)</f>
        <v>0</v>
      </c>
      <c r="BD241" s="839">
        <v>9</v>
      </c>
      <c r="BE241" s="45" t="str">
        <f t="shared" si="619"/>
        <v>N/A</v>
      </c>
      <c r="BF241" s="163"/>
      <c r="BG241" s="839">
        <v>9</v>
      </c>
      <c r="BH241" s="45" t="str">
        <f t="shared" si="620"/>
        <v>N/A</v>
      </c>
      <c r="BI241" s="163"/>
      <c r="BJ241" s="839">
        <v>9</v>
      </c>
      <c r="BK241" s="45" t="str">
        <f t="shared" si="621"/>
        <v>N/A</v>
      </c>
      <c r="BL241" s="163"/>
      <c r="BO241" s="43"/>
      <c r="BP241" s="43"/>
      <c r="BQ241" s="43" t="str">
        <f t="shared" si="548"/>
        <v/>
      </c>
      <c r="BR241" s="43">
        <f t="shared" si="601"/>
        <v>9</v>
      </c>
      <c r="BS241" s="43">
        <f t="shared" si="602"/>
        <v>9</v>
      </c>
      <c r="BT241" s="43">
        <f t="shared" si="603"/>
        <v>9</v>
      </c>
      <c r="BW241" s="48"/>
      <c r="BX241" s="48"/>
      <c r="BY241" s="48"/>
      <c r="BZ241" s="48"/>
      <c r="CA241" s="48"/>
      <c r="CB241" s="48"/>
    </row>
    <row r="242" spans="1:81" ht="15.75" thickBot="1" x14ac:dyDescent="0.3">
      <c r="A242">
        <v>234</v>
      </c>
      <c r="B242" t="s">
        <v>778</v>
      </c>
      <c r="C242" t="s">
        <v>175</v>
      </c>
      <c r="D242" s="545" t="s">
        <v>778</v>
      </c>
      <c r="E242" s="725" t="s">
        <v>994</v>
      </c>
      <c r="F242" s="584" t="s">
        <v>222</v>
      </c>
      <c r="G242" s="584" t="s">
        <v>222</v>
      </c>
      <c r="H242" s="584" t="s">
        <v>222</v>
      </c>
      <c r="I242" s="584" t="s">
        <v>222</v>
      </c>
      <c r="J242" s="584" t="s">
        <v>222</v>
      </c>
      <c r="K242" s="584" t="s">
        <v>222</v>
      </c>
      <c r="L242" s="584" t="s">
        <v>222</v>
      </c>
      <c r="M242" s="584" t="s">
        <v>222</v>
      </c>
      <c r="N242" s="584" t="s">
        <v>222</v>
      </c>
      <c r="O242" s="584" t="s">
        <v>222</v>
      </c>
      <c r="P242" s="584" t="s">
        <v>222</v>
      </c>
      <c r="Q242" s="585" t="s">
        <v>222</v>
      </c>
      <c r="R242" s="585" t="s">
        <v>222</v>
      </c>
      <c r="T242" s="148" t="str">
        <f t="shared" si="589"/>
        <v>Yes/No</v>
      </c>
      <c r="U242" s="206"/>
      <c r="V242" s="204"/>
      <c r="W242" s="43"/>
      <c r="X242" s="43"/>
      <c r="Y242" s="147"/>
      <c r="Z242" s="147"/>
      <c r="AA242" s="148"/>
      <c r="AB242" s="184" t="str">
        <f t="shared" si="590"/>
        <v>Yes/No</v>
      </c>
      <c r="AD242" s="150"/>
      <c r="AE242" s="205" t="s">
        <v>223</v>
      </c>
      <c r="AF242" s="205" t="s">
        <v>223</v>
      </c>
      <c r="AG242" s="205" t="s">
        <v>223</v>
      </c>
      <c r="AI242" s="185" t="str">
        <f>IF(VLOOKUP(E242,'Pre-Assessment Estimator'!$E$11:$AB$228,'Pre-Assessment Estimator'!$G$2,FALSE)&gt;AB242,AB242,VLOOKUP(E242,'Pre-Assessment Estimator'!$E$11:$AB$228,'Pre-Assessment Estimator'!$G$2,FALSE))</f>
        <v>Please select</v>
      </c>
      <c r="AJ242" s="151">
        <f>IF(VLOOKUP(E242,'Pre-Assessment Estimator'!$E$11:$AB$228,'Pre-Assessment Estimator'!$N$2,FALSE)&gt;AB242,AB242,VLOOKUP(E242,'Pre-Assessment Estimator'!$E$11:$AB$228,'Pre-Assessment Estimator'!$N$2,FALSE))</f>
        <v>0</v>
      </c>
      <c r="AK242" s="151">
        <f>IF(VLOOKUP(E242,'Pre-Assessment Estimator'!$E$11:$AB$228,'Pre-Assessment Estimator'!$U$2,FALSE)&gt;AB242,AB242,VLOOKUP(E242,'Pre-Assessment Estimator'!$E$11:$AB$228,'Pre-Assessment Estimator'!$U$2,FALSE))</f>
        <v>0</v>
      </c>
      <c r="AM242" s="546"/>
      <c r="AN242" s="199"/>
      <c r="AO242" s="199"/>
      <c r="AP242" s="199"/>
      <c r="AQ242" s="200"/>
      <c r="AS242" s="546"/>
      <c r="AT242" s="199"/>
      <c r="AU242" s="199"/>
      <c r="AV242" s="199"/>
      <c r="AW242" s="200"/>
      <c r="AY242" s="160">
        <f t="shared" si="629"/>
        <v>0</v>
      </c>
      <c r="AZ242" s="161">
        <f t="shared" si="630"/>
        <v>0</v>
      </c>
      <c r="BA242" s="161">
        <f t="shared" si="631"/>
        <v>0</v>
      </c>
      <c r="BB242" s="161">
        <f t="shared" si="632"/>
        <v>0</v>
      </c>
      <c r="BC242" s="165">
        <f t="shared" si="618"/>
        <v>0</v>
      </c>
      <c r="BD242" s="839">
        <v>9</v>
      </c>
      <c r="BE242" s="45" t="str">
        <f t="shared" si="619"/>
        <v>N/A</v>
      </c>
      <c r="BF242" s="163"/>
      <c r="BG242" s="839">
        <v>9</v>
      </c>
      <c r="BH242" s="45" t="str">
        <f t="shared" si="620"/>
        <v>N/A</v>
      </c>
      <c r="BI242" s="163"/>
      <c r="BJ242" s="839">
        <v>9</v>
      </c>
      <c r="BK242" s="45" t="str">
        <f t="shared" si="621"/>
        <v>N/A</v>
      </c>
      <c r="BL242" s="163"/>
      <c r="BO242" s="43"/>
      <c r="BP242" s="43"/>
      <c r="BQ242" s="43"/>
      <c r="BR242" s="43">
        <f t="shared" si="601"/>
        <v>9</v>
      </c>
      <c r="BS242" s="43">
        <f t="shared" si="602"/>
        <v>9</v>
      </c>
      <c r="BT242" s="43">
        <f t="shared" si="603"/>
        <v>9</v>
      </c>
      <c r="BW242" s="48"/>
      <c r="BX242" s="48"/>
      <c r="BY242" s="48"/>
      <c r="BZ242" s="48"/>
      <c r="CA242" s="48"/>
      <c r="CB242" s="48"/>
    </row>
    <row r="243" spans="1:81" ht="15.75" thickBot="1" x14ac:dyDescent="0.3">
      <c r="A243">
        <v>235</v>
      </c>
      <c r="B243" t="s">
        <v>781</v>
      </c>
      <c r="C243" t="s">
        <v>459</v>
      </c>
      <c r="D243" s="545" t="s">
        <v>781</v>
      </c>
      <c r="E243" s="725" t="s">
        <v>655</v>
      </c>
      <c r="F243" s="584" t="s">
        <v>222</v>
      </c>
      <c r="G243" s="584" t="s">
        <v>222</v>
      </c>
      <c r="H243" s="584" t="s">
        <v>222</v>
      </c>
      <c r="I243" s="584" t="s">
        <v>222</v>
      </c>
      <c r="J243" s="584" t="s">
        <v>222</v>
      </c>
      <c r="K243" s="584" t="s">
        <v>222</v>
      </c>
      <c r="L243" s="584" t="s">
        <v>222</v>
      </c>
      <c r="M243" s="584" t="s">
        <v>222</v>
      </c>
      <c r="N243" s="584" t="s">
        <v>222</v>
      </c>
      <c r="O243" s="584" t="s">
        <v>222</v>
      </c>
      <c r="P243" s="584" t="s">
        <v>222</v>
      </c>
      <c r="Q243" s="585" t="s">
        <v>222</v>
      </c>
      <c r="R243" s="585" t="s">
        <v>222</v>
      </c>
      <c r="T243" s="148" t="str">
        <f t="shared" si="589"/>
        <v>Yes/No</v>
      </c>
      <c r="U243" s="206"/>
      <c r="V243" s="204"/>
      <c r="W243" s="43"/>
      <c r="X243" s="43"/>
      <c r="Y243" s="147"/>
      <c r="Z243" s="147"/>
      <c r="AA243" s="148"/>
      <c r="AB243" s="184" t="str">
        <f t="shared" si="590"/>
        <v>Yes/No</v>
      </c>
      <c r="AD243" s="150"/>
      <c r="AE243" s="205" t="s">
        <v>223</v>
      </c>
      <c r="AF243" s="205" t="s">
        <v>223</v>
      </c>
      <c r="AG243" s="205" t="s">
        <v>223</v>
      </c>
      <c r="AI243" s="185" t="str">
        <f>IF(AI173+AI174=LE02_credits,AD_Yes,AD_no)</f>
        <v>No</v>
      </c>
      <c r="AJ243" s="151" t="str">
        <f>IF(AJ173+AJ174=LE02_credits,AD_Yes,AD_no)</f>
        <v>No</v>
      </c>
      <c r="AK243" s="151" t="str">
        <f>IF(AK173+AK174=LE02_credits,AD_Yes,AD_no)</f>
        <v>No</v>
      </c>
      <c r="AM243" s="546"/>
      <c r="AN243" s="199"/>
      <c r="AO243" s="199"/>
      <c r="AP243" s="199"/>
      <c r="AQ243" s="200"/>
      <c r="AS243" s="546"/>
      <c r="AT243" s="199"/>
      <c r="AU243" s="199"/>
      <c r="AV243" s="199"/>
      <c r="AW243" s="200"/>
      <c r="AY243" s="160">
        <f t="shared" si="629"/>
        <v>0</v>
      </c>
      <c r="AZ243" s="161">
        <f t="shared" si="630"/>
        <v>0</v>
      </c>
      <c r="BA243" s="161">
        <f t="shared" si="631"/>
        <v>0</v>
      </c>
      <c r="BB243" s="161">
        <f t="shared" si="632"/>
        <v>0</v>
      </c>
      <c r="BC243" s="165">
        <f t="shared" si="618"/>
        <v>0</v>
      </c>
      <c r="BD243" s="839">
        <v>9</v>
      </c>
      <c r="BE243" s="45" t="str">
        <f t="shared" si="619"/>
        <v>N/A</v>
      </c>
      <c r="BF243" s="163"/>
      <c r="BG243" s="839">
        <v>9</v>
      </c>
      <c r="BH243" s="45" t="str">
        <f t="shared" si="620"/>
        <v>N/A</v>
      </c>
      <c r="BI243" s="163"/>
      <c r="BJ243" s="839">
        <v>9</v>
      </c>
      <c r="BK243" s="45" t="str">
        <f t="shared" si="621"/>
        <v>N/A</v>
      </c>
      <c r="BL243" s="163"/>
      <c r="BO243" s="43"/>
      <c r="BP243" s="43"/>
      <c r="BQ243" s="43" t="str">
        <f t="shared" si="548"/>
        <v/>
      </c>
      <c r="BR243" s="43">
        <f t="shared" si="601"/>
        <v>9</v>
      </c>
      <c r="BS243" s="43">
        <f t="shared" si="602"/>
        <v>9</v>
      </c>
      <c r="BT243" s="43">
        <f t="shared" si="603"/>
        <v>9</v>
      </c>
      <c r="BW243" s="48"/>
      <c r="BX243" s="48"/>
      <c r="BY243" s="48"/>
      <c r="BZ243" s="48"/>
      <c r="CA243" s="48"/>
      <c r="CB243" s="48"/>
    </row>
    <row r="244" spans="1:81" ht="15.75" thickBot="1" x14ac:dyDescent="0.3">
      <c r="A244">
        <v>236</v>
      </c>
      <c r="B244" t="s">
        <v>784</v>
      </c>
      <c r="C244" t="s">
        <v>176</v>
      </c>
      <c r="D244" s="545" t="s">
        <v>784</v>
      </c>
      <c r="E244" s="725" t="s">
        <v>960</v>
      </c>
      <c r="F244" s="584" t="s">
        <v>222</v>
      </c>
      <c r="G244" s="584" t="s">
        <v>222</v>
      </c>
      <c r="H244" s="584" t="s">
        <v>222</v>
      </c>
      <c r="I244" s="584" t="s">
        <v>222</v>
      </c>
      <c r="J244" s="584" t="s">
        <v>222</v>
      </c>
      <c r="K244" s="584" t="s">
        <v>222</v>
      </c>
      <c r="L244" s="584" t="s">
        <v>222</v>
      </c>
      <c r="M244" s="584" t="s">
        <v>222</v>
      </c>
      <c r="N244" s="584" t="s">
        <v>222</v>
      </c>
      <c r="O244" s="584" t="s">
        <v>222</v>
      </c>
      <c r="P244" s="584" t="s">
        <v>222</v>
      </c>
      <c r="Q244" s="585" t="s">
        <v>222</v>
      </c>
      <c r="R244" s="585" t="s">
        <v>222</v>
      </c>
      <c r="T244" s="148" t="str">
        <f t="shared" si="589"/>
        <v>Yes/No</v>
      </c>
      <c r="U244" s="206"/>
      <c r="V244" s="204"/>
      <c r="W244" s="43"/>
      <c r="X244" s="43"/>
      <c r="Y244" s="147"/>
      <c r="Z244" s="147"/>
      <c r="AA244" s="148"/>
      <c r="AB244" s="184" t="str">
        <f t="shared" si="590"/>
        <v>Yes/No</v>
      </c>
      <c r="AD244" s="150"/>
      <c r="AE244" s="205" t="s">
        <v>223</v>
      </c>
      <c r="AF244" s="205" t="s">
        <v>223</v>
      </c>
      <c r="AG244" s="205" t="s">
        <v>223</v>
      </c>
      <c r="AI244" s="185" t="str">
        <f>IF(VLOOKUP(E244,'Pre-Assessment Estimator'!$E$11:$AB$228,'Pre-Assessment Estimator'!$G$2,FALSE)&gt;AB244,AB244,VLOOKUP(E244,'Pre-Assessment Estimator'!$E$11:$AB$228,'Pre-Assessment Estimator'!$G$2,FALSE))</f>
        <v>Please select</v>
      </c>
      <c r="AJ244" s="151">
        <f>IF(VLOOKUP(E244,'Pre-Assessment Estimator'!$E$11:$AB$228,'Pre-Assessment Estimator'!$N$2,FALSE)&gt;AB244,AB244,VLOOKUP(E244,'Pre-Assessment Estimator'!$E$11:$AB$228,'Pre-Assessment Estimator'!$N$2,FALSE))</f>
        <v>0</v>
      </c>
      <c r="AK244" s="151">
        <f>IF(VLOOKUP(E244,'Pre-Assessment Estimator'!$E$11:$AB$228,'Pre-Assessment Estimator'!$U$2,FALSE)&gt;AB244,AB244,VLOOKUP(E244,'Pre-Assessment Estimator'!$E$11:$AB$228,'Pre-Assessment Estimator'!$U$2,FALSE))</f>
        <v>0</v>
      </c>
      <c r="AM244" s="546"/>
      <c r="AN244" s="199"/>
      <c r="AO244" s="199"/>
      <c r="AP244" s="199"/>
      <c r="AQ244" s="200"/>
      <c r="AS244" s="546"/>
      <c r="AT244" s="199"/>
      <c r="AU244" s="199"/>
      <c r="AV244" s="199"/>
      <c r="AW244" s="200"/>
      <c r="AY244" s="160">
        <f t="shared" si="629"/>
        <v>0</v>
      </c>
      <c r="AZ244" s="161">
        <f t="shared" si="630"/>
        <v>0</v>
      </c>
      <c r="BA244" s="161">
        <f t="shared" si="631"/>
        <v>0</v>
      </c>
      <c r="BB244" s="161">
        <f t="shared" si="632"/>
        <v>0</v>
      </c>
      <c r="BC244" s="165">
        <f t="shared" si="618"/>
        <v>0</v>
      </c>
      <c r="BD244" s="839">
        <v>9</v>
      </c>
      <c r="BE244" s="45" t="str">
        <f t="shared" si="619"/>
        <v>N/A</v>
      </c>
      <c r="BF244" s="163"/>
      <c r="BG244" s="839">
        <v>9</v>
      </c>
      <c r="BH244" s="45" t="str">
        <f t="shared" si="620"/>
        <v>N/A</v>
      </c>
      <c r="BI244" s="163"/>
      <c r="BJ244" s="839">
        <v>9</v>
      </c>
      <c r="BK244" s="45" t="str">
        <f t="shared" si="621"/>
        <v>N/A</v>
      </c>
      <c r="BL244" s="163"/>
      <c r="BO244" s="43"/>
      <c r="BP244" s="43"/>
      <c r="BQ244" s="43" t="str">
        <f t="shared" si="548"/>
        <v/>
      </c>
      <c r="BR244" s="43">
        <f t="shared" si="601"/>
        <v>9</v>
      </c>
      <c r="BS244" s="43">
        <f t="shared" si="602"/>
        <v>9</v>
      </c>
      <c r="BT244" s="43">
        <f t="shared" si="603"/>
        <v>9</v>
      </c>
      <c r="BW244" s="48"/>
      <c r="BX244" s="48"/>
      <c r="BY244" s="48"/>
      <c r="BZ244" s="48"/>
      <c r="CA244" s="48"/>
      <c r="CB244" s="48"/>
    </row>
    <row r="245" spans="1:81" ht="15.75" thickBot="1" x14ac:dyDescent="0.3">
      <c r="A245">
        <v>237</v>
      </c>
      <c r="B245" t="s">
        <v>787</v>
      </c>
      <c r="C245" t="s">
        <v>177</v>
      </c>
      <c r="D245" s="545" t="s">
        <v>787</v>
      </c>
      <c r="E245" s="725" t="s">
        <v>661</v>
      </c>
      <c r="F245" s="584" t="s">
        <v>222</v>
      </c>
      <c r="G245" s="584" t="s">
        <v>222</v>
      </c>
      <c r="H245" s="584" t="s">
        <v>222</v>
      </c>
      <c r="I245" s="584" t="s">
        <v>222</v>
      </c>
      <c r="J245" s="584" t="s">
        <v>222</v>
      </c>
      <c r="K245" s="584" t="s">
        <v>222</v>
      </c>
      <c r="L245" s="584" t="s">
        <v>222</v>
      </c>
      <c r="M245" s="584" t="s">
        <v>222</v>
      </c>
      <c r="N245" s="584" t="s">
        <v>222</v>
      </c>
      <c r="O245" s="584" t="s">
        <v>222</v>
      </c>
      <c r="P245" s="584" t="s">
        <v>222</v>
      </c>
      <c r="Q245" s="585" t="s">
        <v>222</v>
      </c>
      <c r="R245" s="585" t="s">
        <v>222</v>
      </c>
      <c r="T245" s="148" t="str">
        <f t="shared" si="589"/>
        <v>Yes/No</v>
      </c>
      <c r="U245" s="206"/>
      <c r="V245" s="204"/>
      <c r="W245" s="43"/>
      <c r="X245" s="43"/>
      <c r="Y245" s="147"/>
      <c r="Z245" s="147"/>
      <c r="AA245" s="148"/>
      <c r="AB245" s="184" t="str">
        <f t="shared" si="590"/>
        <v>Yes/No</v>
      </c>
      <c r="AD245" s="150"/>
      <c r="AE245" s="205" t="s">
        <v>223</v>
      </c>
      <c r="AF245" s="205" t="s">
        <v>223</v>
      </c>
      <c r="AG245" s="205" t="s">
        <v>223</v>
      </c>
      <c r="AI245" s="185" t="str">
        <f>IF(VLOOKUP(E245,'Pre-Assessment Estimator'!$E$11:$AB$228,'Pre-Assessment Estimator'!$G$2,FALSE)&gt;AB245,AB245,VLOOKUP(E245,'Pre-Assessment Estimator'!$E$11:$AB$228,'Pre-Assessment Estimator'!$G$2,FALSE))</f>
        <v>Please select</v>
      </c>
      <c r="AJ245" s="151">
        <f>IF(VLOOKUP(E245,'Pre-Assessment Estimator'!$E$11:$AB$228,'Pre-Assessment Estimator'!$N$2,FALSE)&gt;AB245,AB245,VLOOKUP(E245,'Pre-Assessment Estimator'!$E$11:$AB$228,'Pre-Assessment Estimator'!$N$2,FALSE))</f>
        <v>0</v>
      </c>
      <c r="AK245" s="151">
        <f>IF(VLOOKUP(E245,'Pre-Assessment Estimator'!$E$11:$AB$228,'Pre-Assessment Estimator'!$U$2,FALSE)&gt;AB245,AB245,VLOOKUP(E245,'Pre-Assessment Estimator'!$E$11:$AB$228,'Pre-Assessment Estimator'!$U$2,FALSE))</f>
        <v>0</v>
      </c>
      <c r="AM245" s="546"/>
      <c r="AN245" s="199"/>
      <c r="AO245" s="199"/>
      <c r="AP245" s="199"/>
      <c r="AQ245" s="200"/>
      <c r="AS245" s="546"/>
      <c r="AT245" s="199"/>
      <c r="AU245" s="199"/>
      <c r="AV245" s="199"/>
      <c r="AW245" s="200"/>
      <c r="AY245" s="160">
        <f t="shared" ref="AY245:AY248" si="638">IF($E$6=$H$9,AS245,AM245)</f>
        <v>0</v>
      </c>
      <c r="AZ245" s="161">
        <f t="shared" ref="AZ245:AZ248" si="639">IF($E$6=$H$9,AT245,AN245)</f>
        <v>0</v>
      </c>
      <c r="BA245" s="161">
        <f t="shared" ref="BA245:BA248" si="640">IF($E$6=$H$9,AU245,AO245)</f>
        <v>0</v>
      </c>
      <c r="BB245" s="161">
        <f t="shared" ref="BB245:BB248" si="641">IF($E$6=$H$9,AV245,AP245)</f>
        <v>0</v>
      </c>
      <c r="BC245" s="165">
        <f t="shared" si="618"/>
        <v>0</v>
      </c>
      <c r="BD245" s="839">
        <v>9</v>
      </c>
      <c r="BE245" s="45" t="str">
        <f t="shared" si="619"/>
        <v>N/A</v>
      </c>
      <c r="BF245" s="163"/>
      <c r="BG245" s="839">
        <v>9</v>
      </c>
      <c r="BH245" s="45" t="str">
        <f t="shared" si="620"/>
        <v>N/A</v>
      </c>
      <c r="BI245" s="163"/>
      <c r="BJ245" s="839">
        <v>9</v>
      </c>
      <c r="BK245" s="45" t="str">
        <f t="shared" si="621"/>
        <v>N/A</v>
      </c>
      <c r="BL245" s="163"/>
      <c r="BO245" s="43"/>
      <c r="BP245" s="43"/>
      <c r="BQ245" s="43" t="str">
        <f t="shared" si="548"/>
        <v/>
      </c>
      <c r="BR245" s="43">
        <f t="shared" si="601"/>
        <v>9</v>
      </c>
      <c r="BS245" s="43">
        <f t="shared" si="602"/>
        <v>9</v>
      </c>
      <c r="BT245" s="43">
        <f t="shared" si="603"/>
        <v>9</v>
      </c>
      <c r="BW245" s="48"/>
      <c r="BX245" s="48"/>
      <c r="BY245" s="48"/>
      <c r="BZ245" s="48"/>
      <c r="CA245" s="48"/>
      <c r="CB245" s="48"/>
    </row>
    <row r="246" spans="1:81" ht="15.75" thickBot="1" x14ac:dyDescent="0.3">
      <c r="A246">
        <v>238</v>
      </c>
      <c r="B246" t="s">
        <v>742</v>
      </c>
      <c r="C246" t="s">
        <v>142</v>
      </c>
      <c r="D246" s="545" t="s">
        <v>742</v>
      </c>
      <c r="E246" s="725" t="s">
        <v>963</v>
      </c>
      <c r="F246" s="584" t="s">
        <v>222</v>
      </c>
      <c r="G246" s="584" t="s">
        <v>222</v>
      </c>
      <c r="H246" s="584" t="s">
        <v>222</v>
      </c>
      <c r="I246" s="584" t="s">
        <v>222</v>
      </c>
      <c r="J246" s="584" t="s">
        <v>222</v>
      </c>
      <c r="K246" s="584" t="s">
        <v>222</v>
      </c>
      <c r="L246" s="584" t="s">
        <v>222</v>
      </c>
      <c r="M246" s="584" t="s">
        <v>222</v>
      </c>
      <c r="N246" s="584" t="s">
        <v>222</v>
      </c>
      <c r="O246" s="584" t="s">
        <v>222</v>
      </c>
      <c r="P246" s="584" t="s">
        <v>222</v>
      </c>
      <c r="Q246" s="585" t="s">
        <v>222</v>
      </c>
      <c r="R246" s="585" t="s">
        <v>222</v>
      </c>
      <c r="T246" s="148" t="str">
        <f t="shared" si="589"/>
        <v>Yes/No</v>
      </c>
      <c r="U246" s="206"/>
      <c r="V246" s="204"/>
      <c r="W246" s="43"/>
      <c r="X246" s="43"/>
      <c r="Y246" s="147"/>
      <c r="Z246" s="147"/>
      <c r="AA246" s="148"/>
      <c r="AB246" s="184" t="str">
        <f t="shared" si="590"/>
        <v>Yes/No</v>
      </c>
      <c r="AD246" s="150"/>
      <c r="AE246" s="205" t="s">
        <v>223</v>
      </c>
      <c r="AF246" s="205" t="s">
        <v>223</v>
      </c>
      <c r="AG246" s="205" t="s">
        <v>223</v>
      </c>
      <c r="AI246" s="185" t="str">
        <f>IF(VLOOKUP(E246,'Pre-Assessment Estimator'!$E$11:$AB$228,'Pre-Assessment Estimator'!$G$2,FALSE)&gt;AB246,AB246,VLOOKUP(E246,'Pre-Assessment Estimator'!$E$11:$AB$228,'Pre-Assessment Estimator'!$G$2,FALSE))</f>
        <v>Please select</v>
      </c>
      <c r="AJ246" s="151">
        <f>IF(VLOOKUP(E246,'Pre-Assessment Estimator'!$E$11:$AB$228,'Pre-Assessment Estimator'!$N$2,FALSE)&gt;AB246,AB246,VLOOKUP(E246,'Pre-Assessment Estimator'!$E$11:$AB$228,'Pre-Assessment Estimator'!$N$2,FALSE))</f>
        <v>0</v>
      </c>
      <c r="AK246" s="151">
        <f>IF(VLOOKUP(E246,'Pre-Assessment Estimator'!$E$11:$AB$228,'Pre-Assessment Estimator'!$U$2,FALSE)&gt;AB246,AB246,VLOOKUP(E246,'Pre-Assessment Estimator'!$E$11:$AB$228,'Pre-Assessment Estimator'!$U$2,FALSE))</f>
        <v>0</v>
      </c>
      <c r="AM246" s="546"/>
      <c r="AN246" s="199"/>
      <c r="AO246" s="199"/>
      <c r="AP246" s="199"/>
      <c r="AQ246" s="200"/>
      <c r="AS246" s="546"/>
      <c r="AT246" s="199"/>
      <c r="AU246" s="199"/>
      <c r="AV246" s="199"/>
      <c r="AW246" s="200"/>
      <c r="AY246" s="160">
        <f t="shared" ref="AY246" si="642">IF($E$6=$H$9,AS246,AM246)</f>
        <v>0</v>
      </c>
      <c r="AZ246" s="161">
        <f t="shared" ref="AZ246" si="643">IF($E$6=$H$9,AT246,AN246)</f>
        <v>0</v>
      </c>
      <c r="BA246" s="161">
        <f t="shared" ref="BA246" si="644">IF($E$6=$H$9,AU246,AO246)</f>
        <v>0</v>
      </c>
      <c r="BB246" s="161">
        <f t="shared" ref="BB246" si="645">IF($E$6=$H$9,AV246,AP246)</f>
        <v>0</v>
      </c>
      <c r="BC246" s="165">
        <f t="shared" ref="BC246" si="646">IF($E$6=$H$9,AW246,AQ246)</f>
        <v>0</v>
      </c>
      <c r="BD246" s="839">
        <v>9</v>
      </c>
      <c r="BE246" s="45" t="str">
        <f t="shared" si="619"/>
        <v>N/A</v>
      </c>
      <c r="BF246" s="163"/>
      <c r="BG246" s="839">
        <v>9</v>
      </c>
      <c r="BH246" s="45" t="str">
        <f t="shared" si="620"/>
        <v>N/A</v>
      </c>
      <c r="BI246" s="163"/>
      <c r="BJ246" s="839">
        <v>9</v>
      </c>
      <c r="BK246" s="45" t="str">
        <f t="shared" si="621"/>
        <v>N/A</v>
      </c>
      <c r="BL246" s="163"/>
      <c r="BO246" s="43"/>
      <c r="BP246" s="43"/>
      <c r="BQ246" s="43" t="str">
        <f t="shared" si="548"/>
        <v/>
      </c>
      <c r="BR246" s="43">
        <f t="shared" si="601"/>
        <v>9</v>
      </c>
      <c r="BS246" s="43">
        <f t="shared" si="602"/>
        <v>9</v>
      </c>
      <c r="BT246" s="43">
        <f t="shared" si="603"/>
        <v>9</v>
      </c>
      <c r="BW246" s="48"/>
      <c r="BX246" s="48"/>
      <c r="BY246" s="48"/>
      <c r="BZ246" s="48"/>
      <c r="CA246" s="48"/>
      <c r="CB246" s="48"/>
    </row>
    <row r="247" spans="1:81" ht="15.75" thickBot="1" x14ac:dyDescent="0.3">
      <c r="A247">
        <v>239</v>
      </c>
      <c r="B247" t="s">
        <v>791</v>
      </c>
      <c r="C247" t="s">
        <v>460</v>
      </c>
      <c r="D247" s="167" t="s">
        <v>791</v>
      </c>
      <c r="E247" s="725" t="s">
        <v>961</v>
      </c>
      <c r="F247" s="584" t="s">
        <v>222</v>
      </c>
      <c r="G247" s="584" t="s">
        <v>222</v>
      </c>
      <c r="H247" s="584" t="s">
        <v>222</v>
      </c>
      <c r="I247" s="584" t="s">
        <v>222</v>
      </c>
      <c r="J247" s="584" t="s">
        <v>222</v>
      </c>
      <c r="K247" s="584" t="s">
        <v>222</v>
      </c>
      <c r="L247" s="584" t="s">
        <v>222</v>
      </c>
      <c r="M247" s="584" t="s">
        <v>222</v>
      </c>
      <c r="N247" s="584" t="s">
        <v>222</v>
      </c>
      <c r="O247" s="584" t="s">
        <v>222</v>
      </c>
      <c r="P247" s="584" t="s">
        <v>222</v>
      </c>
      <c r="Q247" s="585" t="s">
        <v>222</v>
      </c>
      <c r="R247" s="585" t="s">
        <v>222</v>
      </c>
      <c r="T247" s="148" t="str">
        <f t="shared" si="589"/>
        <v>Yes/No</v>
      </c>
      <c r="U247" s="206"/>
      <c r="V247" s="204"/>
      <c r="W247" s="43"/>
      <c r="X247" s="43"/>
      <c r="Y247" s="147"/>
      <c r="Z247" s="147"/>
      <c r="AA247" s="148"/>
      <c r="AB247" s="184" t="str">
        <f t="shared" si="590"/>
        <v>Yes/No</v>
      </c>
      <c r="AD247" s="150"/>
      <c r="AE247" s="205" t="s">
        <v>223</v>
      </c>
      <c r="AF247" s="205" t="s">
        <v>223</v>
      </c>
      <c r="AG247" s="205" t="s">
        <v>223</v>
      </c>
      <c r="AI247" s="185" t="str">
        <f>IF(VLOOKUP(E247,'Pre-Assessment Estimator'!$E$11:$AB$228,'Pre-Assessment Estimator'!$G$2,FALSE)&gt;AB247,AB247,VLOOKUP(E247,'Pre-Assessment Estimator'!$E$11:$AB$228,'Pre-Assessment Estimator'!$G$2,FALSE))</f>
        <v>Please select</v>
      </c>
      <c r="AJ247" s="151">
        <f>IF(VLOOKUP(E247,'Pre-Assessment Estimator'!$E$11:$AB$228,'Pre-Assessment Estimator'!$N$2,FALSE)&gt;AB247,AB247,VLOOKUP(E247,'Pre-Assessment Estimator'!$E$11:$AB$228,'Pre-Assessment Estimator'!$N$2,FALSE))</f>
        <v>0</v>
      </c>
      <c r="AK247" s="151">
        <f>IF(VLOOKUP(E247,'Pre-Assessment Estimator'!$E$11:$AB$228,'Pre-Assessment Estimator'!$U$2,FALSE)&gt;AB247,AB247,VLOOKUP(E247,'Pre-Assessment Estimator'!$E$11:$AB$228,'Pre-Assessment Estimator'!$U$2,FALSE))</f>
        <v>0</v>
      </c>
      <c r="AM247" s="546"/>
      <c r="AN247" s="199"/>
      <c r="AO247" s="199"/>
      <c r="AP247" s="199"/>
      <c r="AQ247" s="200"/>
      <c r="AS247" s="546"/>
      <c r="AT247" s="199"/>
      <c r="AU247" s="199"/>
      <c r="AV247" s="199"/>
      <c r="AW247" s="200"/>
      <c r="AY247" s="160">
        <f t="shared" si="638"/>
        <v>0</v>
      </c>
      <c r="AZ247" s="161">
        <f t="shared" si="639"/>
        <v>0</v>
      </c>
      <c r="BA247" s="161">
        <f t="shared" si="640"/>
        <v>0</v>
      </c>
      <c r="BB247" s="161">
        <f t="shared" si="641"/>
        <v>0</v>
      </c>
      <c r="BC247" s="165">
        <f t="shared" si="618"/>
        <v>0</v>
      </c>
      <c r="BD247" s="839">
        <v>9</v>
      </c>
      <c r="BE247" s="45" t="str">
        <f t="shared" si="619"/>
        <v>N/A</v>
      </c>
      <c r="BF247" s="163"/>
      <c r="BG247" s="839">
        <v>9</v>
      </c>
      <c r="BH247" s="45" t="str">
        <f t="shared" si="620"/>
        <v>N/A</v>
      </c>
      <c r="BI247" s="163"/>
      <c r="BJ247" s="839">
        <v>9</v>
      </c>
      <c r="BK247" s="45" t="str">
        <f t="shared" si="621"/>
        <v>N/A</v>
      </c>
      <c r="BL247" s="163"/>
      <c r="BO247" s="43"/>
      <c r="BP247" s="43"/>
      <c r="BQ247" s="43" t="str">
        <f t="shared" si="548"/>
        <v/>
      </c>
      <c r="BR247" s="43">
        <f t="shared" si="601"/>
        <v>9</v>
      </c>
      <c r="BS247" s="43">
        <f t="shared" si="602"/>
        <v>9</v>
      </c>
      <c r="BT247" s="43">
        <f t="shared" si="603"/>
        <v>9</v>
      </c>
      <c r="BW247" s="48"/>
      <c r="BX247" s="48"/>
      <c r="BY247" s="48"/>
      <c r="BZ247" s="48"/>
      <c r="CA247" s="48"/>
      <c r="CB247" s="48"/>
    </row>
    <row r="248" spans="1:81" ht="15.75" thickBot="1" x14ac:dyDescent="0.3">
      <c r="A248">
        <v>240</v>
      </c>
      <c r="B248" t="s">
        <v>793</v>
      </c>
      <c r="C248" t="s">
        <v>461</v>
      </c>
      <c r="D248" s="167" t="s">
        <v>793</v>
      </c>
      <c r="E248" s="725" t="s">
        <v>962</v>
      </c>
      <c r="F248" s="584" t="s">
        <v>222</v>
      </c>
      <c r="G248" s="584" t="s">
        <v>222</v>
      </c>
      <c r="H248" s="584" t="s">
        <v>222</v>
      </c>
      <c r="I248" s="584" t="s">
        <v>222</v>
      </c>
      <c r="J248" s="584" t="s">
        <v>222</v>
      </c>
      <c r="K248" s="584" t="s">
        <v>222</v>
      </c>
      <c r="L248" s="584" t="s">
        <v>222</v>
      </c>
      <c r="M248" s="584" t="s">
        <v>222</v>
      </c>
      <c r="N248" s="584" t="s">
        <v>222</v>
      </c>
      <c r="O248" s="584" t="s">
        <v>222</v>
      </c>
      <c r="P248" s="584" t="s">
        <v>222</v>
      </c>
      <c r="Q248" s="585" t="s">
        <v>222</v>
      </c>
      <c r="R248" s="585" t="s">
        <v>222</v>
      </c>
      <c r="T248" s="148" t="str">
        <f t="shared" si="589"/>
        <v>Yes/No</v>
      </c>
      <c r="U248" s="206"/>
      <c r="V248" s="204"/>
      <c r="W248" s="43"/>
      <c r="X248" s="43"/>
      <c r="Y248" s="147"/>
      <c r="Z248" s="147"/>
      <c r="AA248" s="148"/>
      <c r="AB248" s="184" t="str">
        <f t="shared" si="590"/>
        <v>Yes/No</v>
      </c>
      <c r="AD248" s="150"/>
      <c r="AE248" s="205" t="s">
        <v>223</v>
      </c>
      <c r="AF248" s="205" t="s">
        <v>223</v>
      </c>
      <c r="AG248" s="205" t="s">
        <v>223</v>
      </c>
      <c r="AI248" s="185" t="str">
        <f>IF(VLOOKUP(E248,'Pre-Assessment Estimator'!$E$11:$AB$228,'Pre-Assessment Estimator'!$G$2,FALSE)&gt;AB248,AB248,VLOOKUP(E248,'Pre-Assessment Estimator'!$E$11:$AB$228,'Pre-Assessment Estimator'!$G$2,FALSE))</f>
        <v>No</v>
      </c>
      <c r="AJ248" s="151">
        <f>IF(VLOOKUP(E248,'Pre-Assessment Estimator'!$E$11:$AB$228,'Pre-Assessment Estimator'!$N$2,FALSE)&gt;AB248,AB248,VLOOKUP(E248,'Pre-Assessment Estimator'!$E$11:$AB$228,'Pre-Assessment Estimator'!$N$2,FALSE))</f>
        <v>0</v>
      </c>
      <c r="AK248" s="151">
        <f>IF(VLOOKUP(E248,'Pre-Assessment Estimator'!$E$11:$AB$228,'Pre-Assessment Estimator'!$U$2,FALSE)&gt;AB248,AB248,VLOOKUP(E248,'Pre-Assessment Estimator'!$E$11:$AB$228,'Pre-Assessment Estimator'!$U$2,FALSE))</f>
        <v>0</v>
      </c>
      <c r="AM248" s="546"/>
      <c r="AN248" s="199"/>
      <c r="AO248" s="199"/>
      <c r="AP248" s="199"/>
      <c r="AQ248" s="200"/>
      <c r="AS248" s="546"/>
      <c r="AT248" s="199"/>
      <c r="AU248" s="199"/>
      <c r="AV248" s="199"/>
      <c r="AW248" s="200"/>
      <c r="AY248" s="160">
        <f t="shared" si="638"/>
        <v>0</v>
      </c>
      <c r="AZ248" s="161">
        <f t="shared" si="639"/>
        <v>0</v>
      </c>
      <c r="BA248" s="161">
        <f t="shared" si="640"/>
        <v>0</v>
      </c>
      <c r="BB248" s="161">
        <f t="shared" si="641"/>
        <v>0</v>
      </c>
      <c r="BC248" s="165">
        <f t="shared" si="618"/>
        <v>0</v>
      </c>
      <c r="BD248" s="839">
        <v>9</v>
      </c>
      <c r="BE248" s="45" t="str">
        <f t="shared" si="619"/>
        <v>N/A</v>
      </c>
      <c r="BF248" s="163"/>
      <c r="BG248" s="839">
        <v>9</v>
      </c>
      <c r="BH248" s="45" t="str">
        <f t="shared" si="620"/>
        <v>N/A</v>
      </c>
      <c r="BI248" s="163"/>
      <c r="BJ248" s="839">
        <v>9</v>
      </c>
      <c r="BK248" s="45" t="str">
        <f t="shared" si="621"/>
        <v>N/A</v>
      </c>
      <c r="BL248" s="163"/>
      <c r="BO248" s="43"/>
      <c r="BP248" s="43"/>
      <c r="BQ248" s="43" t="str">
        <f t="shared" si="548"/>
        <v/>
      </c>
      <c r="BR248" s="43">
        <f t="shared" si="601"/>
        <v>9</v>
      </c>
      <c r="BS248" s="43">
        <f t="shared" si="602"/>
        <v>9</v>
      </c>
      <c r="BT248" s="43">
        <f t="shared" si="603"/>
        <v>9</v>
      </c>
      <c r="BW248" s="48"/>
      <c r="BX248" s="48"/>
      <c r="BY248" s="48"/>
      <c r="BZ248" s="48"/>
      <c r="CA248" s="48"/>
      <c r="CB248" s="48"/>
    </row>
    <row r="249" spans="1:81" ht="15.75" thickBot="1" x14ac:dyDescent="0.3">
      <c r="A249">
        <v>241</v>
      </c>
      <c r="B249" t="s">
        <v>874</v>
      </c>
      <c r="C249" t="s">
        <v>362</v>
      </c>
      <c r="D249" s="167" t="s">
        <v>874</v>
      </c>
      <c r="E249" s="863" t="s">
        <v>964</v>
      </c>
      <c r="F249" s="584" t="s">
        <v>222</v>
      </c>
      <c r="G249" s="584" t="s">
        <v>222</v>
      </c>
      <c r="H249" s="584" t="s">
        <v>222</v>
      </c>
      <c r="I249" s="584" t="s">
        <v>222</v>
      </c>
      <c r="J249" s="584" t="s">
        <v>222</v>
      </c>
      <c r="K249" s="584" t="s">
        <v>222</v>
      </c>
      <c r="L249" s="584" t="s">
        <v>222</v>
      </c>
      <c r="M249" s="584" t="s">
        <v>222</v>
      </c>
      <c r="N249" s="584" t="s">
        <v>222</v>
      </c>
      <c r="O249" s="584" t="s">
        <v>222</v>
      </c>
      <c r="P249" s="584" t="s">
        <v>222</v>
      </c>
      <c r="Q249" s="585" t="s">
        <v>222</v>
      </c>
      <c r="R249" s="585" t="s">
        <v>222</v>
      </c>
      <c r="T249" s="148" t="str">
        <f t="shared" si="589"/>
        <v>Yes/No</v>
      </c>
      <c r="U249" s="206"/>
      <c r="V249" s="204"/>
      <c r="W249" s="43"/>
      <c r="X249" s="43"/>
      <c r="Y249" s="147"/>
      <c r="Z249" s="147"/>
      <c r="AA249" s="148"/>
      <c r="AB249" s="760">
        <f>IF('Assessment Details'!F24=AD_Yes,Poeng!T249,0)</f>
        <v>0</v>
      </c>
      <c r="AD249" s="150"/>
      <c r="AE249" s="205" t="s">
        <v>223</v>
      </c>
      <c r="AF249" s="205" t="s">
        <v>223</v>
      </c>
      <c r="AG249" s="205" t="s">
        <v>223</v>
      </c>
      <c r="AI249" s="185">
        <f>IF(VLOOKUP(E249,'Pre-Assessment Estimator'!$E$11:$AB$228,'Pre-Assessment Estimator'!$G$2,FALSE)&gt;AB249,AB249,VLOOKUP(E249,'Pre-Assessment Estimator'!$E$11:$AB$228,'Pre-Assessment Estimator'!$G$2,FALSE))</f>
        <v>0</v>
      </c>
      <c r="AJ249" s="151">
        <f>IF(VLOOKUP(E249,'Pre-Assessment Estimator'!$E$11:$AB$228,'Pre-Assessment Estimator'!$N$2,FALSE)&gt;AB249,AB249,VLOOKUP(E249,'Pre-Assessment Estimator'!$E$11:$AB$228,'Pre-Assessment Estimator'!$N$2,FALSE))</f>
        <v>0</v>
      </c>
      <c r="AK249" s="151">
        <f>IF(VLOOKUP(E249,'Pre-Assessment Estimator'!$E$11:$AB$228,'Pre-Assessment Estimator'!$U$2,FALSE)&gt;AB249,AB249,VLOOKUP(E249,'Pre-Assessment Estimator'!$E$11:$AB$228,'Pre-Assessment Estimator'!$U$2,FALSE))</f>
        <v>0</v>
      </c>
      <c r="AM249" s="546"/>
      <c r="AN249" s="199"/>
      <c r="AO249" s="199"/>
      <c r="AP249" s="199"/>
      <c r="AQ249" s="200"/>
      <c r="AS249" s="546"/>
      <c r="AT249" s="199"/>
      <c r="AU249" s="199"/>
      <c r="AV249" s="199"/>
      <c r="AW249" s="200"/>
      <c r="AY249" s="160">
        <f t="shared" ref="AY249:AY252" si="647">IF($E$6=$H$9,AS249,AM249)</f>
        <v>0</v>
      </c>
      <c r="AZ249" s="161">
        <f t="shared" ref="AZ249:AZ252" si="648">IF($E$6=$H$9,AT249,AN249)</f>
        <v>0</v>
      </c>
      <c r="BA249" s="161">
        <f t="shared" ref="BA249:BA252" si="649">IF($E$6=$H$9,AU249,AO249)</f>
        <v>0</v>
      </c>
      <c r="BB249" s="161">
        <f t="shared" ref="BB249:BB252" si="650">IF($E$6=$H$9,AV249,AP249)</f>
        <v>0</v>
      </c>
      <c r="BC249" s="165">
        <f t="shared" ref="BC249:BC252" si="651">IF($E$6=$H$9,AW249,AQ249)</f>
        <v>0</v>
      </c>
      <c r="BD249" s="839">
        <v>9</v>
      </c>
      <c r="BE249" s="45" t="str">
        <f t="shared" si="619"/>
        <v>N/A</v>
      </c>
      <c r="BF249" s="163"/>
      <c r="BG249" s="839">
        <v>9</v>
      </c>
      <c r="BH249" s="45" t="str">
        <f t="shared" si="620"/>
        <v>N/A</v>
      </c>
      <c r="BI249" s="163"/>
      <c r="BJ249" s="839">
        <v>9</v>
      </c>
      <c r="BK249" s="45" t="str">
        <f t="shared" si="621"/>
        <v>N/A</v>
      </c>
      <c r="BL249" s="750"/>
      <c r="BO249" s="43"/>
      <c r="BP249" s="43"/>
      <c r="BQ249" s="43" t="str">
        <f t="shared" si="548"/>
        <v/>
      </c>
      <c r="BR249" s="43">
        <f t="shared" si="601"/>
        <v>9</v>
      </c>
      <c r="BS249" s="43">
        <f t="shared" si="602"/>
        <v>9</v>
      </c>
      <c r="BT249" s="43">
        <f t="shared" si="603"/>
        <v>9</v>
      </c>
      <c r="BW249" s="48"/>
      <c r="BX249" s="48"/>
      <c r="BY249" s="48"/>
      <c r="BZ249" s="48"/>
      <c r="CA249" s="48"/>
      <c r="CB249" s="48"/>
    </row>
    <row r="250" spans="1:81" ht="30.75" thickBot="1" x14ac:dyDescent="0.3">
      <c r="A250">
        <v>242</v>
      </c>
      <c r="B250" t="s">
        <v>1000</v>
      </c>
      <c r="C250" t="s">
        <v>170</v>
      </c>
      <c r="D250" s="167" t="s">
        <v>1000</v>
      </c>
      <c r="E250" s="1413" t="s">
        <v>1996</v>
      </c>
      <c r="F250" s="584" t="s">
        <v>222</v>
      </c>
      <c r="G250" s="584" t="s">
        <v>222</v>
      </c>
      <c r="H250" s="584" t="s">
        <v>222</v>
      </c>
      <c r="I250" s="584" t="s">
        <v>222</v>
      </c>
      <c r="J250" s="584" t="s">
        <v>222</v>
      </c>
      <c r="K250" s="584" t="s">
        <v>222</v>
      </c>
      <c r="L250" s="584" t="s">
        <v>222</v>
      </c>
      <c r="M250" s="584" t="s">
        <v>222</v>
      </c>
      <c r="N250" s="584" t="s">
        <v>222</v>
      </c>
      <c r="O250" s="584" t="s">
        <v>222</v>
      </c>
      <c r="P250" s="584" t="s">
        <v>222</v>
      </c>
      <c r="Q250" s="585" t="s">
        <v>222</v>
      </c>
      <c r="R250" s="585" t="s">
        <v>222</v>
      </c>
      <c r="T250" s="148" t="str">
        <f t="shared" si="589"/>
        <v>Yes/No</v>
      </c>
      <c r="U250" s="206"/>
      <c r="V250" s="204"/>
      <c r="W250" s="43"/>
      <c r="X250" s="43"/>
      <c r="Y250" s="147"/>
      <c r="Z250" s="147"/>
      <c r="AA250" s="148"/>
      <c r="AB250" s="760" t="str">
        <f>IF(AB145=0,0,T250)</f>
        <v>Yes/No</v>
      </c>
      <c r="AD250" s="150"/>
      <c r="AE250" s="205" t="s">
        <v>223</v>
      </c>
      <c r="AF250" s="205" t="s">
        <v>223</v>
      </c>
      <c r="AG250" s="205" t="s">
        <v>223</v>
      </c>
      <c r="AI250" s="185" t="str">
        <f>IF(VLOOKUP(E250,'Pre-Assessment Estimator'!$E$11:$AB$228,'Pre-Assessment Estimator'!$G$2,FALSE)&gt;AB250,AB250,VLOOKUP(E250,'Pre-Assessment Estimator'!$E$11:$AB$228,'Pre-Assessment Estimator'!$G$2,FALSE))</f>
        <v>Please select</v>
      </c>
      <c r="AJ250" s="151">
        <f>IF(VLOOKUP(E250,'Pre-Assessment Estimator'!$E$11:$AB$228,'Pre-Assessment Estimator'!$N$2,FALSE)&gt;AB250,AB250,VLOOKUP(E250,'Pre-Assessment Estimator'!$E$11:$AB$228,'Pre-Assessment Estimator'!$N$2,FALSE))</f>
        <v>0</v>
      </c>
      <c r="AK250" s="151">
        <f>IF(VLOOKUP(E250,'Pre-Assessment Estimator'!$E$11:$AB$228,'Pre-Assessment Estimator'!$U$2,FALSE)&gt;AB250,AB250,VLOOKUP(E250,'Pre-Assessment Estimator'!$E$11:$AB$228,'Pre-Assessment Estimator'!$U$2,FALSE))</f>
        <v>0</v>
      </c>
      <c r="AM250" s="546" t="s">
        <v>12</v>
      </c>
      <c r="AN250" s="199" t="s">
        <v>12</v>
      </c>
      <c r="AO250" s="199" t="s">
        <v>12</v>
      </c>
      <c r="AP250" s="199" t="s">
        <v>12</v>
      </c>
      <c r="AQ250" s="200" t="s">
        <v>12</v>
      </c>
      <c r="AS250" s="546" t="s">
        <v>12</v>
      </c>
      <c r="AT250" s="199" t="s">
        <v>12</v>
      </c>
      <c r="AU250" s="199" t="s">
        <v>12</v>
      </c>
      <c r="AV250" s="199" t="s">
        <v>12</v>
      </c>
      <c r="AW250" s="200" t="s">
        <v>12</v>
      </c>
      <c r="AY250" s="160" t="str">
        <f t="shared" ref="AY250" si="652">IF($E$6=$H$9,AS250,AM250)</f>
        <v>Yes</v>
      </c>
      <c r="AZ250" s="161" t="str">
        <f t="shared" ref="AZ250" si="653">IF($E$6=$H$9,AT250,AN250)</f>
        <v>Yes</v>
      </c>
      <c r="BA250" s="161" t="str">
        <f t="shared" ref="BA250" si="654">IF($E$6=$H$9,AU250,AO250)</f>
        <v>Yes</v>
      </c>
      <c r="BB250" s="161" t="str">
        <f t="shared" ref="BB250" si="655">IF($E$6=$H$9,AV250,AP250)</f>
        <v>Yes</v>
      </c>
      <c r="BC250" s="165" t="str">
        <f t="shared" ref="BC250" si="656">IF($E$6=$H$9,AW250,AQ250)</f>
        <v>Yes</v>
      </c>
      <c r="BD250" s="746">
        <f>BD145</f>
        <v>0</v>
      </c>
      <c r="BE250" s="45" t="str">
        <f t="shared" si="619"/>
        <v>Unclassified</v>
      </c>
      <c r="BF250" s="163"/>
      <c r="BG250" s="746">
        <f>BG145</f>
        <v>0</v>
      </c>
      <c r="BH250" s="45" t="str">
        <f t="shared" si="620"/>
        <v>Unclassified</v>
      </c>
      <c r="BI250" s="163"/>
      <c r="BJ250" s="746">
        <f>BJ145</f>
        <v>0</v>
      </c>
      <c r="BK250" s="45" t="str">
        <f t="shared" si="621"/>
        <v>Unclassified</v>
      </c>
      <c r="BL250" s="750"/>
      <c r="BO250" s="43"/>
      <c r="BP250" s="43" t="s">
        <v>12</v>
      </c>
      <c r="BQ250" s="43" t="str">
        <f t="shared" si="548"/>
        <v>Yes</v>
      </c>
      <c r="BR250" s="887">
        <f>IF(AB145=0,9,IF(BQ250="",9,(IF(AI250=AD_Yes,5,0))))</f>
        <v>0</v>
      </c>
      <c r="BS250" s="887">
        <f>IF(AB145=0,9,IF(BQ250="",9,(IF(AJ250=AD_Yes,5,0))))</f>
        <v>0</v>
      </c>
      <c r="BT250" s="887">
        <f>IF(AB145=0,9,IF(BQ250="",9,(IF(AK250=AD_Yes,5,0))))</f>
        <v>0</v>
      </c>
      <c r="BW250" s="48"/>
      <c r="BX250" s="48"/>
      <c r="BY250" s="48"/>
      <c r="BZ250" s="48"/>
      <c r="CA250" s="48"/>
      <c r="CB250" s="48"/>
    </row>
    <row r="251" spans="1:81" ht="15.75" thickBot="1" x14ac:dyDescent="0.3">
      <c r="A251">
        <v>243</v>
      </c>
      <c r="B251" t="s">
        <v>957</v>
      </c>
      <c r="C251" t="s">
        <v>171</v>
      </c>
      <c r="D251" s="167" t="s">
        <v>957</v>
      </c>
      <c r="E251" s="1402" t="s">
        <v>1954</v>
      </c>
      <c r="F251" s="584" t="s">
        <v>222</v>
      </c>
      <c r="G251" s="584" t="s">
        <v>222</v>
      </c>
      <c r="H251" s="584" t="s">
        <v>222</v>
      </c>
      <c r="I251" s="584" t="s">
        <v>222</v>
      </c>
      <c r="J251" s="584" t="s">
        <v>222</v>
      </c>
      <c r="K251" s="584" t="s">
        <v>222</v>
      </c>
      <c r="L251" s="584" t="s">
        <v>222</v>
      </c>
      <c r="M251" s="584" t="s">
        <v>222</v>
      </c>
      <c r="N251" s="584" t="s">
        <v>222</v>
      </c>
      <c r="O251" s="584" t="s">
        <v>222</v>
      </c>
      <c r="P251" s="584" t="s">
        <v>222</v>
      </c>
      <c r="Q251" s="585" t="s">
        <v>222</v>
      </c>
      <c r="R251" s="585" t="s">
        <v>222</v>
      </c>
      <c r="T251" s="148" t="str">
        <f t="shared" si="589"/>
        <v>Yes/No</v>
      </c>
      <c r="U251" s="206"/>
      <c r="V251" s="204"/>
      <c r="W251" s="43"/>
      <c r="X251" s="43"/>
      <c r="Y251" s="147"/>
      <c r="Z251" s="147"/>
      <c r="AA251" s="148"/>
      <c r="AB251" s="184" t="str">
        <f>T251</f>
        <v>Yes/No</v>
      </c>
      <c r="AD251" s="150"/>
      <c r="AE251" s="205" t="s">
        <v>223</v>
      </c>
      <c r="AF251" s="205" t="s">
        <v>223</v>
      </c>
      <c r="AG251" s="205" t="s">
        <v>223</v>
      </c>
      <c r="AI251" s="185" t="str">
        <f>IF(VLOOKUP(E251,'Pre-Assessment Estimator'!$E$11:$AB$228,'Pre-Assessment Estimator'!$G$2,FALSE)&gt;AB251,AB251,VLOOKUP(E251,'Pre-Assessment Estimator'!$E$11:$AB$228,'Pre-Assessment Estimator'!$G$2,FALSE))</f>
        <v>No</v>
      </c>
      <c r="AJ251" s="151">
        <f>IF(VLOOKUP(E251,'Pre-Assessment Estimator'!$E$11:$AB$228,'Pre-Assessment Estimator'!$N$2,FALSE)&gt;AB251,AB251,VLOOKUP(E251,'Pre-Assessment Estimator'!$E$11:$AB$228,'Pre-Assessment Estimator'!$N$2,FALSE))</f>
        <v>0</v>
      </c>
      <c r="AK251" s="151">
        <f>IF(VLOOKUP(E251,'Pre-Assessment Estimator'!$E$11:$AB$228,'Pre-Assessment Estimator'!$U$2,FALSE)&gt;AB251,AB251,VLOOKUP(E251,'Pre-Assessment Estimator'!$E$11:$AB$228,'Pre-Assessment Estimator'!$U$2,FALSE))</f>
        <v>0</v>
      </c>
      <c r="AM251" s="546" t="s">
        <v>12</v>
      </c>
      <c r="AN251" s="199" t="s">
        <v>12</v>
      </c>
      <c r="AO251" s="199" t="s">
        <v>12</v>
      </c>
      <c r="AP251" s="199"/>
      <c r="AQ251" s="200"/>
      <c r="AS251" s="546" t="s">
        <v>12</v>
      </c>
      <c r="AT251" s="199" t="s">
        <v>12</v>
      </c>
      <c r="AU251" s="199" t="s">
        <v>12</v>
      </c>
      <c r="AV251" s="199"/>
      <c r="AW251" s="200"/>
      <c r="AY251" s="160" t="str">
        <f t="shared" si="647"/>
        <v>Yes</v>
      </c>
      <c r="AZ251" s="161" t="str">
        <f t="shared" si="648"/>
        <v>Yes</v>
      </c>
      <c r="BA251" s="161" t="str">
        <f t="shared" si="649"/>
        <v>Yes</v>
      </c>
      <c r="BB251" s="161">
        <f t="shared" si="650"/>
        <v>0</v>
      </c>
      <c r="BC251" s="165">
        <f t="shared" si="651"/>
        <v>0</v>
      </c>
      <c r="BD251" s="892">
        <f>IF(AI251=AD_Yes,5,3)</f>
        <v>3</v>
      </c>
      <c r="BE251" s="45" t="str">
        <f t="shared" si="619"/>
        <v>Very Good</v>
      </c>
      <c r="BF251" s="861">
        <f>IF(AI251="Yes",3,0)</f>
        <v>0</v>
      </c>
      <c r="BG251" s="510">
        <f>IF(AJ251=AD_Yes,5,3)</f>
        <v>3</v>
      </c>
      <c r="BH251" s="45" t="str">
        <f t="shared" si="620"/>
        <v>Very Good</v>
      </c>
      <c r="BI251" s="861">
        <f>IF(AJ251="Yes",3,0)</f>
        <v>0</v>
      </c>
      <c r="BJ251" s="510">
        <f>IF(AK251=AD_Yes,5,3)</f>
        <v>3</v>
      </c>
      <c r="BK251" s="45" t="str">
        <f t="shared" si="621"/>
        <v>Very Good</v>
      </c>
      <c r="BL251" s="861">
        <f>IF(AK251="Yes",3,0)</f>
        <v>0</v>
      </c>
      <c r="BO251" s="43"/>
      <c r="BP251" s="43" t="s">
        <v>12</v>
      </c>
      <c r="BQ251" s="43" t="str">
        <f t="shared" si="548"/>
        <v>Yes</v>
      </c>
      <c r="BR251" s="43">
        <f>IF(BQ251="",9,(IF(AI251=AD_Yes,5,0)))</f>
        <v>0</v>
      </c>
      <c r="BS251" s="43">
        <f t="shared" ref="BS251" si="657">IF(BQ251="",9,(IF(AJ251=AD_Yes,5,0)))</f>
        <v>0</v>
      </c>
      <c r="BT251" s="43">
        <f t="shared" ref="BT251" si="658">IF(BQ251="",9,(IF(AK251=AD_Yes,5,0)))</f>
        <v>0</v>
      </c>
      <c r="BW251" s="48"/>
      <c r="BX251" s="48"/>
      <c r="BY251" s="48"/>
      <c r="BZ251" s="48"/>
      <c r="CA251" s="48"/>
      <c r="CB251" s="48"/>
    </row>
    <row r="252" spans="1:81" ht="15.75" thickBot="1" x14ac:dyDescent="0.3">
      <c r="A252">
        <v>244</v>
      </c>
      <c r="B252" t="s">
        <v>958</v>
      </c>
      <c r="C252" t="s">
        <v>174</v>
      </c>
      <c r="D252" s="168" t="s">
        <v>958</v>
      </c>
      <c r="E252" s="1402" t="s">
        <v>1814</v>
      </c>
      <c r="F252" s="584" t="s">
        <v>222</v>
      </c>
      <c r="G252" s="584" t="s">
        <v>222</v>
      </c>
      <c r="H252" s="584" t="s">
        <v>222</v>
      </c>
      <c r="I252" s="584" t="s">
        <v>222</v>
      </c>
      <c r="J252" s="584" t="s">
        <v>222</v>
      </c>
      <c r="K252" s="584" t="s">
        <v>222</v>
      </c>
      <c r="L252" s="584" t="s">
        <v>222</v>
      </c>
      <c r="M252" s="584" t="s">
        <v>222</v>
      </c>
      <c r="N252" s="584" t="s">
        <v>222</v>
      </c>
      <c r="O252" s="584" t="s">
        <v>222</v>
      </c>
      <c r="P252" s="584" t="s">
        <v>222</v>
      </c>
      <c r="Q252" s="585" t="s">
        <v>222</v>
      </c>
      <c r="R252" s="585" t="s">
        <v>222</v>
      </c>
      <c r="T252" s="148" t="str">
        <f t="shared" si="589"/>
        <v>Yes/No</v>
      </c>
      <c r="U252" s="206"/>
      <c r="V252" s="204"/>
      <c r="W252" s="43"/>
      <c r="X252" s="43"/>
      <c r="Y252" s="147"/>
      <c r="Z252" s="147"/>
      <c r="AA252" s="148"/>
      <c r="AB252" s="184" t="str">
        <f>T252</f>
        <v>Yes/No</v>
      </c>
      <c r="AD252" s="150"/>
      <c r="AE252" s="205" t="s">
        <v>223</v>
      </c>
      <c r="AF252" s="205" t="s">
        <v>223</v>
      </c>
      <c r="AG252" s="205" t="s">
        <v>223</v>
      </c>
      <c r="AI252" s="185" t="str">
        <f>IF(VLOOKUP(E252,'Pre-Assessment Estimator'!$E$11:$AB$228,'Pre-Assessment Estimator'!$G$2,FALSE)&gt;AB252,AB252,VLOOKUP(E252,'Pre-Assessment Estimator'!$E$11:$AB$228,'Pre-Assessment Estimator'!$G$2,FALSE))</f>
        <v>No</v>
      </c>
      <c r="AJ252" s="151">
        <f>IF(VLOOKUP(E252,'Pre-Assessment Estimator'!$E$11:$AB$228,'Pre-Assessment Estimator'!$N$2,FALSE)&gt;AB252,AB252,VLOOKUP(E252,'Pre-Assessment Estimator'!$E$11:$AB$228,'Pre-Assessment Estimator'!$N$2,FALSE))</f>
        <v>0</v>
      </c>
      <c r="AK252" s="151">
        <f>IF(VLOOKUP(E252,'Pre-Assessment Estimator'!$E$11:$AB$228,'Pre-Assessment Estimator'!$U$2,FALSE)&gt;AB252,AB252,VLOOKUP(E252,'Pre-Assessment Estimator'!$E$11:$AB$228,'Pre-Assessment Estimator'!$U$2,FALSE))</f>
        <v>0</v>
      </c>
      <c r="AM252" s="268"/>
      <c r="AN252" s="269"/>
      <c r="AO252" s="269"/>
      <c r="AP252" s="269" t="s">
        <v>12</v>
      </c>
      <c r="AQ252" s="270" t="s">
        <v>12</v>
      </c>
      <c r="AS252" s="268"/>
      <c r="AT252" s="269"/>
      <c r="AU252" s="269"/>
      <c r="AV252" s="269" t="s">
        <v>12</v>
      </c>
      <c r="AW252" s="270" t="s">
        <v>12</v>
      </c>
      <c r="AY252" s="160">
        <f t="shared" si="647"/>
        <v>0</v>
      </c>
      <c r="AZ252" s="161">
        <f t="shared" si="648"/>
        <v>0</v>
      </c>
      <c r="BA252" s="161">
        <f t="shared" si="649"/>
        <v>0</v>
      </c>
      <c r="BB252" s="161" t="str">
        <f t="shared" si="650"/>
        <v>Yes</v>
      </c>
      <c r="BC252" s="165" t="str">
        <f t="shared" si="651"/>
        <v>Yes</v>
      </c>
      <c r="BD252" s="160">
        <f>IF(AI252="Yes",5,3)</f>
        <v>3</v>
      </c>
      <c r="BE252" s="45" t="str">
        <f t="shared" ref="BE252" si="659">VLOOKUP(BD252,$BO$285:$BT$291,6,FALSE)</f>
        <v>Very Good</v>
      </c>
      <c r="BF252" s="163"/>
      <c r="BG252" s="160">
        <f>IF(AJ252="Yes",5,3)</f>
        <v>3</v>
      </c>
      <c r="BH252" s="45" t="str">
        <f t="shared" ref="BH252" si="660">VLOOKUP(BG252,$BO$285:$BT$291,6,FALSE)</f>
        <v>Very Good</v>
      </c>
      <c r="BI252" s="163"/>
      <c r="BJ252" s="160">
        <f>IF(AK252="Yes",5,3)</f>
        <v>3</v>
      </c>
      <c r="BK252" s="45" t="str">
        <f t="shared" ref="BK252" si="661">VLOOKUP(BJ252,$BO$285:$BT$291,6,FALSE)</f>
        <v>Very Good</v>
      </c>
      <c r="BL252" s="163"/>
      <c r="BO252" s="48"/>
      <c r="BP252" s="43" t="s">
        <v>12</v>
      </c>
      <c r="BQ252" s="43" t="str">
        <f t="shared" ref="BQ252" si="662">IF(BO252&lt;&gt;"",BO252,IF(BP252&lt;&gt;"",BP252,""))</f>
        <v>Yes</v>
      </c>
      <c r="BR252" s="43">
        <f t="shared" ref="BR252:BR257" si="663">IF(BQ252="",9,(IF(AI252=AD_Yes,5,0)))</f>
        <v>0</v>
      </c>
      <c r="BS252" s="43">
        <f t="shared" ref="BS252:BS257" si="664">IF(BQ252="",9,(IF(AJ252=AD_Yes,5,0)))</f>
        <v>0</v>
      </c>
      <c r="BT252" s="43">
        <f t="shared" ref="BT252:BT257" si="665">IF(BQ252="",9,(IF(AK252=AD_Yes,5,0)))</f>
        <v>0</v>
      </c>
      <c r="BW252" s="170"/>
      <c r="BX252" s="170"/>
      <c r="BY252" s="170">
        <f>IFERROR(VLOOKUP($E252,'Pre-Assessment Estimator'!$E$11:$AI$228,'Pre-Assessment Estimator'!AI$2,FALSE),"")</f>
        <v>0</v>
      </c>
      <c r="BZ252" s="170" t="str">
        <f>IFERROR(VLOOKUP($BX252,$E$294:$H$327,F$292,FALSE),"")</f>
        <v/>
      </c>
      <c r="CA252" s="170" t="str">
        <f>IFERROR(VLOOKUP($BX252,$E$294:$H$327,G$292,FALSE),"")</f>
        <v/>
      </c>
      <c r="CB252" s="170"/>
      <c r="CC252" t="str">
        <f>IFERROR(VLOOKUP($BX252,$E$294:$H$327,I$292,FALSE),"")</f>
        <v/>
      </c>
    </row>
    <row r="253" spans="1:81" ht="15.75" thickBot="1" x14ac:dyDescent="0.3">
      <c r="A253">
        <v>245</v>
      </c>
      <c r="B253" t="s">
        <v>995</v>
      </c>
      <c r="C253" t="s">
        <v>129</v>
      </c>
      <c r="D253" t="s">
        <v>995</v>
      </c>
      <c r="E253" s="1403" t="s">
        <v>1979</v>
      </c>
      <c r="F253" s="588" t="s">
        <v>222</v>
      </c>
      <c r="G253" s="588" t="s">
        <v>222</v>
      </c>
      <c r="H253" s="588" t="s">
        <v>222</v>
      </c>
      <c r="I253" s="588" t="s">
        <v>222</v>
      </c>
      <c r="J253" s="588" t="s">
        <v>222</v>
      </c>
      <c r="K253" s="588" t="s">
        <v>222</v>
      </c>
      <c r="L253" s="588" t="s">
        <v>222</v>
      </c>
      <c r="M253" s="588" t="s">
        <v>222</v>
      </c>
      <c r="N253" s="588" t="s">
        <v>222</v>
      </c>
      <c r="O253" s="588" t="s">
        <v>222</v>
      </c>
      <c r="P253" s="588" t="s">
        <v>222</v>
      </c>
      <c r="Q253" s="588" t="s">
        <v>222</v>
      </c>
      <c r="R253" s="589" t="s">
        <v>222</v>
      </c>
      <c r="T253" s="148" t="str">
        <f>HLOOKUP($E$6,$F$9:$R$255,$A253,FALSE)</f>
        <v>Yes/No</v>
      </c>
      <c r="U253" s="206"/>
      <c r="V253" s="204"/>
      <c r="W253" s="43"/>
      <c r="X253" s="43"/>
      <c r="Y253" s="147"/>
      <c r="Z253" s="147"/>
      <c r="AA253" s="148"/>
      <c r="AB253" s="184" t="str">
        <f>T253</f>
        <v>Yes/No</v>
      </c>
      <c r="AD253" s="150"/>
      <c r="AE253" s="205" t="s">
        <v>223</v>
      </c>
      <c r="AF253" s="205" t="s">
        <v>223</v>
      </c>
      <c r="AG253" s="205" t="s">
        <v>223</v>
      </c>
      <c r="AI253" s="185" t="str">
        <f>IF(VLOOKUP(E253,'Pre-Assessment Estimator'!$E$11:$AB$228,'Pre-Assessment Estimator'!$G$2,FALSE)&gt;AB253,AB253,VLOOKUP(E253,'Pre-Assessment Estimator'!$E$11:$AB$228,'Pre-Assessment Estimator'!$G$2,FALSE))</f>
        <v>Please select</v>
      </c>
      <c r="AJ253" s="151">
        <f>IF(VLOOKUP(E253,'Pre-Assessment Estimator'!$E$11:$AB$228,'Pre-Assessment Estimator'!$N$2,FALSE)&gt;AB253,AB253,VLOOKUP(E253,'Pre-Assessment Estimator'!$E$11:$AB$228,'Pre-Assessment Estimator'!$N$2,FALSE))</f>
        <v>0</v>
      </c>
      <c r="AK253" s="151">
        <f>IF(VLOOKUP(E253,'Pre-Assessment Estimator'!$E$11:$AB$228,'Pre-Assessment Estimator'!$U$2,FALSE)&gt;AB253,AB253,VLOOKUP(E253,'Pre-Assessment Estimator'!$E$11:$AB$228,'Pre-Assessment Estimator'!$U$2,FALSE))</f>
        <v>0</v>
      </c>
      <c r="AM253" s="491"/>
      <c r="AN253" s="491"/>
      <c r="AO253" s="491"/>
      <c r="AP253" s="491"/>
      <c r="AQ253" s="491"/>
      <c r="AS253" s="491"/>
      <c r="AT253" s="491"/>
      <c r="AU253" s="491"/>
      <c r="AV253" s="491"/>
      <c r="AW253" s="491"/>
      <c r="AY253" s="125"/>
      <c r="AZ253" s="125"/>
      <c r="BA253" s="125"/>
      <c r="BB253" s="125"/>
      <c r="BC253" s="125"/>
      <c r="BD253" s="125"/>
      <c r="BE253" s="504" t="s">
        <v>14</v>
      </c>
      <c r="BG253" s="125"/>
      <c r="BH253" s="504" t="s">
        <v>14</v>
      </c>
      <c r="BI253" s="504"/>
      <c r="BJ253" s="909"/>
      <c r="BK253" s="504" t="s">
        <v>14</v>
      </c>
      <c r="BP253" s="43" t="s">
        <v>12</v>
      </c>
      <c r="BQ253" s="43" t="str">
        <f t="shared" ref="BQ253:BQ255" si="666">IF(BO253&lt;&gt;"",BO253,IF(BP253&lt;&gt;"",BP253,""))</f>
        <v>Yes</v>
      </c>
      <c r="BR253" s="43">
        <f t="shared" si="663"/>
        <v>0</v>
      </c>
      <c r="BS253" s="43">
        <f t="shared" si="664"/>
        <v>0</v>
      </c>
      <c r="BT253" s="43">
        <f t="shared" si="665"/>
        <v>0</v>
      </c>
    </row>
    <row r="254" spans="1:81" ht="15.75" thickBot="1" x14ac:dyDescent="0.3">
      <c r="A254">
        <v>246</v>
      </c>
      <c r="B254" t="s">
        <v>996</v>
      </c>
      <c r="C254" t="s">
        <v>163</v>
      </c>
      <c r="D254" t="s">
        <v>996</v>
      </c>
      <c r="E254" s="1404" t="s">
        <v>1980</v>
      </c>
      <c r="F254" s="582" t="s">
        <v>222</v>
      </c>
      <c r="G254" s="582" t="s">
        <v>222</v>
      </c>
      <c r="H254" s="582" t="s">
        <v>222</v>
      </c>
      <c r="I254" s="582" t="s">
        <v>222</v>
      </c>
      <c r="J254" s="582" t="s">
        <v>222</v>
      </c>
      <c r="K254" s="582" t="s">
        <v>222</v>
      </c>
      <c r="L254" s="582" t="s">
        <v>222</v>
      </c>
      <c r="M254" s="582" t="s">
        <v>222</v>
      </c>
      <c r="N254" s="582" t="s">
        <v>222</v>
      </c>
      <c r="O254" s="582" t="s">
        <v>222</v>
      </c>
      <c r="P254" s="582" t="s">
        <v>222</v>
      </c>
      <c r="Q254" s="582" t="s">
        <v>222</v>
      </c>
      <c r="R254" s="583" t="s">
        <v>222</v>
      </c>
      <c r="T254" s="148" t="str">
        <f>HLOOKUP($E$6,$F$9:$R$255,$A254,FALSE)</f>
        <v>Yes/No</v>
      </c>
      <c r="U254" s="206"/>
      <c r="V254" s="204"/>
      <c r="W254" s="43"/>
      <c r="X254" s="43"/>
      <c r="Y254" s="147"/>
      <c r="Z254" s="147"/>
      <c r="AA254" s="148"/>
      <c r="AB254" s="184" t="str">
        <f>IF(AB114=0,0,T254)</f>
        <v>Yes/No</v>
      </c>
      <c r="AD254" s="150"/>
      <c r="AE254" s="205" t="s">
        <v>223</v>
      </c>
      <c r="AF254" s="205" t="s">
        <v>223</v>
      </c>
      <c r="AG254" s="205" t="s">
        <v>223</v>
      </c>
      <c r="AI254" s="185" t="str">
        <f>IF(VLOOKUP(E254,'Pre-Assessment Estimator'!$E$11:$AB$228,'Pre-Assessment Estimator'!$G$2,FALSE)&gt;AB254,AB254,VLOOKUP(E254,'Pre-Assessment Estimator'!$E$11:$AB$228,'Pre-Assessment Estimator'!$G$2,FALSE))</f>
        <v>Please select</v>
      </c>
      <c r="AJ254" s="151">
        <f>IF(VLOOKUP(E254,'Pre-Assessment Estimator'!$E$11:$AB$228,'Pre-Assessment Estimator'!$N$2,FALSE)&gt;AB254,AB254,VLOOKUP(E254,'Pre-Assessment Estimator'!$E$11:$AB$228,'Pre-Assessment Estimator'!$N$2,FALSE))</f>
        <v>0</v>
      </c>
      <c r="AK254" s="151">
        <f>IF(VLOOKUP(E254,'Pre-Assessment Estimator'!$E$11:$AB$228,'Pre-Assessment Estimator'!$U$2,FALSE)&gt;AB254,AB254,VLOOKUP(E254,'Pre-Assessment Estimator'!$E$11:$AB$228,'Pre-Assessment Estimator'!$U$2,FALSE))</f>
        <v>0</v>
      </c>
      <c r="AM254" s="491"/>
      <c r="AN254" s="491"/>
      <c r="AO254" s="491"/>
      <c r="AP254" s="491"/>
      <c r="AQ254" s="491"/>
      <c r="AS254" s="491"/>
      <c r="AT254" s="491"/>
      <c r="AU254" s="491"/>
      <c r="AV254" s="491"/>
      <c r="AW254" s="491"/>
      <c r="AY254" s="125"/>
      <c r="AZ254" s="125"/>
      <c r="BA254" s="125"/>
      <c r="BB254" s="125"/>
      <c r="BC254" s="125"/>
      <c r="BD254" s="125"/>
      <c r="BE254" s="504" t="s">
        <v>14</v>
      </c>
      <c r="BG254" s="125"/>
      <c r="BH254" s="504" t="s">
        <v>14</v>
      </c>
      <c r="BI254" s="504"/>
      <c r="BJ254" s="909"/>
      <c r="BK254" s="504" t="s">
        <v>14</v>
      </c>
      <c r="BP254" s="43" t="s">
        <v>12</v>
      </c>
      <c r="BQ254" s="43" t="str">
        <f t="shared" si="666"/>
        <v>Yes</v>
      </c>
      <c r="BR254" s="43">
        <f t="shared" si="663"/>
        <v>0</v>
      </c>
      <c r="BS254" s="43">
        <f t="shared" si="664"/>
        <v>0</v>
      </c>
      <c r="BT254" s="43">
        <f t="shared" si="665"/>
        <v>0</v>
      </c>
    </row>
    <row r="255" spans="1:81" ht="15.75" thickBot="1" x14ac:dyDescent="0.3">
      <c r="A255">
        <v>247</v>
      </c>
      <c r="B255" t="s">
        <v>997</v>
      </c>
      <c r="C255" t="s">
        <v>171</v>
      </c>
      <c r="D255" t="s">
        <v>997</v>
      </c>
      <c r="E255" s="1405" t="s">
        <v>999</v>
      </c>
      <c r="F255" s="590" t="s">
        <v>222</v>
      </c>
      <c r="G255" s="590" t="s">
        <v>222</v>
      </c>
      <c r="H255" s="590" t="s">
        <v>222</v>
      </c>
      <c r="I255" s="590" t="s">
        <v>222</v>
      </c>
      <c r="J255" s="590" t="s">
        <v>222</v>
      </c>
      <c r="K255" s="590" t="s">
        <v>222</v>
      </c>
      <c r="L255" s="590" t="s">
        <v>222</v>
      </c>
      <c r="M255" s="590" t="s">
        <v>222</v>
      </c>
      <c r="N255" s="590" t="s">
        <v>222</v>
      </c>
      <c r="O255" s="590" t="s">
        <v>222</v>
      </c>
      <c r="P255" s="590" t="s">
        <v>222</v>
      </c>
      <c r="Q255" s="590" t="s">
        <v>222</v>
      </c>
      <c r="R255" s="591" t="s">
        <v>222</v>
      </c>
      <c r="T255" s="148" t="str">
        <f>HLOOKUP($E$6,$F$9:$R$255,$A255,FALSE)</f>
        <v>Yes/No</v>
      </c>
      <c r="U255" s="206"/>
      <c r="V255" s="204"/>
      <c r="W255" s="43"/>
      <c r="X255" s="43"/>
      <c r="Y255" s="147"/>
      <c r="Z255" s="147"/>
      <c r="AA255" s="148"/>
      <c r="AB255" s="184" t="str">
        <f>T255</f>
        <v>Yes/No</v>
      </c>
      <c r="AD255" s="150"/>
      <c r="AE255" s="205" t="s">
        <v>223</v>
      </c>
      <c r="AF255" s="205" t="s">
        <v>223</v>
      </c>
      <c r="AG255" s="205" t="s">
        <v>223</v>
      </c>
      <c r="AI255" s="185" t="str">
        <f>IF(VLOOKUP(E255,'Pre-Assessment Estimator'!$E$11:$AB$228,'Pre-Assessment Estimator'!$G$2,FALSE)&gt;AB255,AB255,VLOOKUP(E255,'Pre-Assessment Estimator'!$E$11:$AB$228,'Pre-Assessment Estimator'!$G$2,FALSE))</f>
        <v>Please select</v>
      </c>
      <c r="AJ255" s="151">
        <f>IF(VLOOKUP(E255,'Pre-Assessment Estimator'!$E$11:$AB$228,'Pre-Assessment Estimator'!$N$2,FALSE)&gt;AB255,AB255,VLOOKUP(E255,'Pre-Assessment Estimator'!$E$11:$AB$228,'Pre-Assessment Estimator'!$N$2,FALSE))</f>
        <v>0</v>
      </c>
      <c r="AK255" s="151">
        <f>IF(VLOOKUP(E255,'Pre-Assessment Estimator'!$E$11:$AB$228,'Pre-Assessment Estimator'!$U$2,FALSE)&gt;AB255,AB255,VLOOKUP(E255,'Pre-Assessment Estimator'!$E$11:$AB$228,'Pre-Assessment Estimator'!$U$2,FALSE))</f>
        <v>0</v>
      </c>
      <c r="AM255" s="491"/>
      <c r="AN255" s="491"/>
      <c r="AO255" s="491"/>
      <c r="AP255" s="491"/>
      <c r="AQ255" s="491"/>
      <c r="AS255" s="491"/>
      <c r="AT255" s="491"/>
      <c r="AU255" s="491"/>
      <c r="AV255" s="491"/>
      <c r="AW255" s="491"/>
      <c r="AY255" s="125"/>
      <c r="AZ255" s="125"/>
      <c r="BA255" s="125"/>
      <c r="BB255" s="125"/>
      <c r="BC255" s="125"/>
      <c r="BD255" s="125"/>
      <c r="BE255" s="504" t="s">
        <v>14</v>
      </c>
      <c r="BG255" s="125"/>
      <c r="BH255" s="504" t="s">
        <v>14</v>
      </c>
      <c r="BI255" s="504"/>
      <c r="BJ255" s="909"/>
      <c r="BK255" s="504" t="s">
        <v>14</v>
      </c>
      <c r="BP255" s="43" t="s">
        <v>12</v>
      </c>
      <c r="BQ255" s="43" t="str">
        <f t="shared" si="666"/>
        <v>Yes</v>
      </c>
      <c r="BR255" s="43">
        <f t="shared" si="663"/>
        <v>0</v>
      </c>
      <c r="BS255" s="43">
        <f t="shared" si="664"/>
        <v>0</v>
      </c>
      <c r="BT255" s="43">
        <f t="shared" si="665"/>
        <v>0</v>
      </c>
    </row>
    <row r="256" spans="1:81" ht="15.75" thickBot="1" x14ac:dyDescent="0.3">
      <c r="A256">
        <v>248</v>
      </c>
      <c r="B256" t="s">
        <v>1969</v>
      </c>
      <c r="C256" t="s">
        <v>87</v>
      </c>
      <c r="D256" t="s">
        <v>1969</v>
      </c>
      <c r="E256" s="1505" t="s">
        <v>1970</v>
      </c>
      <c r="F256" s="582" t="s">
        <v>222</v>
      </c>
      <c r="G256" s="582" t="s">
        <v>222</v>
      </c>
      <c r="H256" s="582" t="s">
        <v>222</v>
      </c>
      <c r="I256" s="582" t="s">
        <v>222</v>
      </c>
      <c r="J256" s="582" t="s">
        <v>222</v>
      </c>
      <c r="K256" s="582" t="s">
        <v>222</v>
      </c>
      <c r="L256" s="582" t="s">
        <v>222</v>
      </c>
      <c r="M256" s="582" t="s">
        <v>222</v>
      </c>
      <c r="N256" s="582" t="s">
        <v>222</v>
      </c>
      <c r="O256" s="582" t="s">
        <v>222</v>
      </c>
      <c r="P256" s="582" t="s">
        <v>222</v>
      </c>
      <c r="Q256" s="582" t="s">
        <v>222</v>
      </c>
      <c r="R256" s="583" t="s">
        <v>222</v>
      </c>
      <c r="T256" s="148" t="str">
        <f>HLOOKUP($E$6,$F$9:$R$257,$A256,FALSE)</f>
        <v>Yes/No</v>
      </c>
      <c r="U256" s="206"/>
      <c r="V256" s="204"/>
      <c r="W256" s="43"/>
      <c r="X256" s="43"/>
      <c r="Y256" s="147"/>
      <c r="Z256" s="147"/>
      <c r="AA256" s="148"/>
      <c r="AB256" s="184" t="str">
        <f>T256</f>
        <v>Yes/No</v>
      </c>
      <c r="AD256" s="150"/>
      <c r="AE256" s="205" t="s">
        <v>223</v>
      </c>
      <c r="AF256" s="205" t="s">
        <v>223</v>
      </c>
      <c r="AG256" s="205" t="s">
        <v>223</v>
      </c>
      <c r="AI256" s="185" t="str">
        <f>IF(VLOOKUP(E256,'Pre-Assessment Estimator'!$E$11:$AB$228,'Pre-Assessment Estimator'!$G$2,FALSE)&gt;AB256,AB256,VLOOKUP(E256,'Pre-Assessment Estimator'!$E$11:$AB$228,'Pre-Assessment Estimator'!$G$2,FALSE))</f>
        <v>Please select</v>
      </c>
      <c r="AJ256" s="151">
        <f>IF(VLOOKUP(E256,'Pre-Assessment Estimator'!$E$11:$AB$228,'Pre-Assessment Estimator'!$N$2,FALSE)&gt;AB256,AB256,VLOOKUP(E256,'Pre-Assessment Estimator'!$E$11:$AB$228,'Pre-Assessment Estimator'!$N$2,FALSE))</f>
        <v>0</v>
      </c>
      <c r="AK256" s="151">
        <f>IF(VLOOKUP(E256,'Pre-Assessment Estimator'!$E$11:$AB$228,'Pre-Assessment Estimator'!$U$2,FALSE)&gt;AB256,AB256,VLOOKUP(E256,'Pre-Assessment Estimator'!$E$11:$AB$228,'Pre-Assessment Estimator'!$U$2,FALSE))</f>
        <v>0</v>
      </c>
      <c r="AM256" s="491"/>
      <c r="AN256" s="491"/>
      <c r="AO256" s="491"/>
      <c r="AP256" s="491"/>
      <c r="AQ256" s="491"/>
      <c r="AS256" s="491"/>
      <c r="AT256" s="491"/>
      <c r="AU256" s="491"/>
      <c r="AV256" s="491"/>
      <c r="AW256" s="491"/>
      <c r="AY256" s="125"/>
      <c r="AZ256" s="125"/>
      <c r="BA256" s="125"/>
      <c r="BB256" s="125"/>
      <c r="BC256" s="125"/>
      <c r="BD256" s="125"/>
      <c r="BE256" s="504" t="s">
        <v>14</v>
      </c>
      <c r="BG256" s="125"/>
      <c r="BH256" s="504" t="s">
        <v>14</v>
      </c>
      <c r="BI256" s="504"/>
      <c r="BJ256" s="909"/>
      <c r="BK256" s="504" t="s">
        <v>14</v>
      </c>
      <c r="BP256" s="43" t="s">
        <v>12</v>
      </c>
      <c r="BQ256" s="43" t="str">
        <f t="shared" ref="BQ256:BQ257" si="667">IF(BO256&lt;&gt;"",BO256,IF(BP256&lt;&gt;"",BP256,""))</f>
        <v>Yes</v>
      </c>
      <c r="BR256" s="43">
        <f t="shared" ref="BR256" si="668">IF(BQ256="",9,(IF(AI256=AD_Yes,5,0)))</f>
        <v>0</v>
      </c>
      <c r="BS256" s="43">
        <f t="shared" si="664"/>
        <v>0</v>
      </c>
      <c r="BT256" s="43">
        <f t="shared" si="665"/>
        <v>0</v>
      </c>
    </row>
    <row r="257" spans="1:73" ht="15.75" thickBot="1" x14ac:dyDescent="0.3">
      <c r="A257">
        <v>249</v>
      </c>
      <c r="B257" t="s">
        <v>1952</v>
      </c>
      <c r="C257" t="s">
        <v>129</v>
      </c>
      <c r="D257" t="s">
        <v>1952</v>
      </c>
      <c r="E257" s="1505" t="s">
        <v>2015</v>
      </c>
      <c r="F257" s="588" t="s">
        <v>222</v>
      </c>
      <c r="G257" s="588" t="s">
        <v>222</v>
      </c>
      <c r="H257" s="588" t="s">
        <v>222</v>
      </c>
      <c r="I257" s="588" t="s">
        <v>222</v>
      </c>
      <c r="J257" s="588" t="s">
        <v>222</v>
      </c>
      <c r="K257" s="588" t="s">
        <v>222</v>
      </c>
      <c r="L257" s="588" t="s">
        <v>222</v>
      </c>
      <c r="M257" s="588" t="s">
        <v>222</v>
      </c>
      <c r="N257" s="588" t="s">
        <v>222</v>
      </c>
      <c r="O257" s="588" t="s">
        <v>222</v>
      </c>
      <c r="P257" s="588" t="s">
        <v>222</v>
      </c>
      <c r="Q257" s="588" t="s">
        <v>222</v>
      </c>
      <c r="R257" s="589" t="s">
        <v>222</v>
      </c>
      <c r="T257" s="148" t="str">
        <f>HLOOKUP($E$6,$F$9:$R$257,$A257,FALSE)</f>
        <v>Yes/No</v>
      </c>
      <c r="U257" s="206"/>
      <c r="V257" s="204"/>
      <c r="W257" s="43"/>
      <c r="X257" s="43"/>
      <c r="Y257" s="147"/>
      <c r="Z257" s="147"/>
      <c r="AA257" s="148"/>
      <c r="AB257" s="184" t="str">
        <f>T257</f>
        <v>Yes/No</v>
      </c>
      <c r="AD257" s="150"/>
      <c r="AE257" s="205" t="s">
        <v>223</v>
      </c>
      <c r="AF257" s="205" t="s">
        <v>223</v>
      </c>
      <c r="AG257" s="205" t="s">
        <v>223</v>
      </c>
      <c r="AI257" s="185" t="str">
        <f>IF(VLOOKUP(E257,'Pre-Assessment Estimator'!$E$11:$AB$228,'Pre-Assessment Estimator'!$G$2,FALSE)&gt;AB257,AB257,VLOOKUP(E257,'Pre-Assessment Estimator'!$E$11:$AB$228,'Pre-Assessment Estimator'!$G$2,FALSE))</f>
        <v>Please select</v>
      </c>
      <c r="AJ257" s="151">
        <f>IF(VLOOKUP(E257,'Pre-Assessment Estimator'!$E$11:$AB$228,'Pre-Assessment Estimator'!$N$2,FALSE)&gt;AB257,AB257,VLOOKUP(E257,'Pre-Assessment Estimator'!$E$11:$AB$228,'Pre-Assessment Estimator'!$N$2,FALSE))</f>
        <v>0</v>
      </c>
      <c r="AK257" s="151">
        <f>IF(VLOOKUP(E257,'Pre-Assessment Estimator'!$E$11:$AB$228,'Pre-Assessment Estimator'!$U$2,FALSE)&gt;AB257,AB257,VLOOKUP(E257,'Pre-Assessment Estimator'!$E$11:$AB$228,'Pre-Assessment Estimator'!$U$2,FALSE))</f>
        <v>0</v>
      </c>
      <c r="AM257" s="491"/>
      <c r="AN257" s="491"/>
      <c r="AO257" s="491"/>
      <c r="AP257" s="491"/>
      <c r="AQ257" s="491"/>
      <c r="AS257" s="491"/>
      <c r="AT257" s="491"/>
      <c r="AU257" s="491"/>
      <c r="AV257" s="491"/>
      <c r="AW257" s="491"/>
      <c r="AY257" s="125"/>
      <c r="AZ257" s="125"/>
      <c r="BA257" s="125"/>
      <c r="BB257" s="125"/>
      <c r="BC257" s="125"/>
      <c r="BD257" s="125"/>
      <c r="BE257" s="504" t="s">
        <v>14</v>
      </c>
      <c r="BG257" s="125"/>
      <c r="BH257" s="504" t="s">
        <v>14</v>
      </c>
      <c r="BI257" s="504"/>
      <c r="BJ257" s="909"/>
      <c r="BK257" s="504" t="s">
        <v>14</v>
      </c>
      <c r="BP257" s="43" t="s">
        <v>12</v>
      </c>
      <c r="BQ257" s="43" t="str">
        <f t="shared" si="667"/>
        <v>Yes</v>
      </c>
      <c r="BR257" s="43">
        <f t="shared" si="663"/>
        <v>0</v>
      </c>
      <c r="BS257" s="43">
        <f t="shared" si="664"/>
        <v>0</v>
      </c>
      <c r="BT257" s="43">
        <f t="shared" si="665"/>
        <v>0</v>
      </c>
    </row>
    <row r="258" spans="1:73" ht="15.75" thickBot="1" x14ac:dyDescent="0.3">
      <c r="A258">
        <v>250</v>
      </c>
      <c r="E258" s="862"/>
      <c r="BO258" s="216" t="s">
        <v>956</v>
      </c>
      <c r="BP258" s="217"/>
      <c r="BQ258" s="217"/>
      <c r="BR258" s="888">
        <f>MIN(BR10:BR257)</f>
        <v>0</v>
      </c>
      <c r="BS258" s="888">
        <f>MIN(BS10:BS257)</f>
        <v>0</v>
      </c>
      <c r="BT258" s="888">
        <f>MIN(BT10:BT257)</f>
        <v>0</v>
      </c>
    </row>
    <row r="259" spans="1:73" ht="15.75" thickBot="1" x14ac:dyDescent="0.3">
      <c r="A259">
        <v>251</v>
      </c>
      <c r="E259" t="s">
        <v>254</v>
      </c>
      <c r="F259" s="576">
        <f t="shared" ref="F259:R259" si="669">F36+F66+F97+F110+F123+F152+F166+F197+F214</f>
        <v>143</v>
      </c>
      <c r="G259" s="576">
        <f t="shared" si="669"/>
        <v>137</v>
      </c>
      <c r="H259" s="576">
        <f t="shared" si="669"/>
        <v>136</v>
      </c>
      <c r="I259" s="576">
        <f t="shared" si="669"/>
        <v>142</v>
      </c>
      <c r="J259" s="576">
        <f t="shared" si="669"/>
        <v>142</v>
      </c>
      <c r="K259" s="576">
        <f t="shared" si="669"/>
        <v>137</v>
      </c>
      <c r="L259" s="576">
        <f t="shared" si="669"/>
        <v>137</v>
      </c>
      <c r="M259" s="576">
        <f t="shared" si="669"/>
        <v>139</v>
      </c>
      <c r="N259" s="576">
        <f t="shared" si="669"/>
        <v>138</v>
      </c>
      <c r="O259" s="576">
        <f t="shared" si="669"/>
        <v>137</v>
      </c>
      <c r="P259" s="576">
        <f t="shared" si="669"/>
        <v>137</v>
      </c>
      <c r="Q259" s="576">
        <f t="shared" si="669"/>
        <v>142</v>
      </c>
      <c r="R259" s="576">
        <f t="shared" si="669"/>
        <v>142</v>
      </c>
      <c r="T259">
        <f>T36+T66+T97+T110+T123+T152+T166+T197+T214+T231</f>
        <v>153</v>
      </c>
      <c r="AA259">
        <f>Poeng_tot-Poeng_tilgj</f>
        <v>0</v>
      </c>
      <c r="AB259">
        <f>AB36+AB66+AB97+AB110+AB123+AB152+AB166+AB197+AB214+AB231</f>
        <v>153</v>
      </c>
      <c r="BE259" t="str">
        <f>VLOOKUP(BD260,$BO$285:$BW$291,9,FALSE)</f>
        <v>Unclassified &lt;30%</v>
      </c>
      <c r="BH259" t="str">
        <f>VLOOKUP(BG260,$BO$285:$BW$291,9,FALSE)</f>
        <v>Unclassified &lt;30%</v>
      </c>
      <c r="BK259" t="str">
        <f>VLOOKUP(BJ260,$BO$285:$BW$291,9,FALSE)</f>
        <v>Unclassified &lt;30%</v>
      </c>
      <c r="BR259" s="43" t="str">
        <f>IF(BR258=0,AD_no,AD_Yes)</f>
        <v>No</v>
      </c>
      <c r="BS259" s="43" t="str">
        <f>IF(BS258=0,AD_no,AD_Yes)</f>
        <v>No</v>
      </c>
      <c r="BT259" s="43" t="str">
        <f>IF(BT258=0,AD_no,AD_Yes)</f>
        <v>No</v>
      </c>
    </row>
    <row r="260" spans="1:73" x14ac:dyDescent="0.25">
      <c r="AA260">
        <f>AA36+AA66+AA97+AA110+AA123+AA152+AA166+AA197+AA214+AA231</f>
        <v>0</v>
      </c>
      <c r="AI260" t="str">
        <f>AD_Yes</f>
        <v>Yes</v>
      </c>
      <c r="AX260" s="1569" t="s">
        <v>227</v>
      </c>
      <c r="AY260" s="1570"/>
      <c r="AZ260" s="1570"/>
      <c r="BA260" s="1570"/>
      <c r="BB260" s="1570"/>
      <c r="BC260" s="1571"/>
      <c r="BD260" s="207">
        <f>MIN(BD10:BD252)</f>
        <v>0</v>
      </c>
      <c r="BE260" s="78" t="str">
        <f>VLOOKUP(BD260,$BO$285:$BP$291,2,FALSE)</f>
        <v>Unclassified</v>
      </c>
      <c r="BF260" s="79">
        <f>VLOOKUP(BP_MinStandards,BQ263:BS268,2,FALSE)</f>
        <v>0</v>
      </c>
      <c r="BG260" s="207">
        <f>MIN(BG10:BG252)</f>
        <v>0</v>
      </c>
      <c r="BH260" s="78" t="str">
        <f>VLOOKUP(BG260,$BO$285:$BP$291,2,FALSE)</f>
        <v>Unclassified</v>
      </c>
      <c r="BI260" s="79">
        <f>VLOOKUP(BP_MinStandards_design,BQ263:BS268,2,FALSE)</f>
        <v>0</v>
      </c>
      <c r="BJ260" s="207">
        <f>MIN(BJ10:BJ252)</f>
        <v>0</v>
      </c>
      <c r="BK260" s="78" t="str">
        <f>VLOOKUP(BJ260,$BO$285:$BP$291,2,FALSE)</f>
        <v>Unclassified</v>
      </c>
      <c r="BL260" s="79">
        <f>VLOOKUP(BP_MinStandards_const,BQ263:BS268,2,FALSE)</f>
        <v>0</v>
      </c>
    </row>
    <row r="261" spans="1:73" x14ac:dyDescent="0.25">
      <c r="D261" s="215"/>
      <c r="E261" s="215" t="s">
        <v>215</v>
      </c>
      <c r="F261" s="519"/>
      <c r="G261" s="519"/>
      <c r="H261" s="519"/>
      <c r="I261" s="519"/>
      <c r="J261" s="519"/>
      <c r="K261" s="519"/>
      <c r="L261" s="519"/>
      <c r="M261" s="519"/>
      <c r="N261" s="519"/>
      <c r="O261" s="519"/>
      <c r="P261" s="519"/>
      <c r="Q261" s="519"/>
      <c r="R261" s="519"/>
      <c r="AE261">
        <f>Man_cont_tot+Hea_cont_tot+Ene_cont_tot+Tra_cont_tot+Wat_cont_tot+Mat_cont_tot+Wst_cont_tot+LE_cont_tot+Pol_cont_tot+Inn_cont_tot</f>
        <v>0</v>
      </c>
      <c r="AI261" t="str">
        <f>AD_no</f>
        <v>No</v>
      </c>
      <c r="AX261" s="1545" t="s">
        <v>228</v>
      </c>
      <c r="AY261" s="1546"/>
      <c r="AZ261" s="1546"/>
      <c r="BA261" s="1546"/>
      <c r="BB261" s="1546"/>
      <c r="BC261" s="1547"/>
      <c r="BD261" s="204">
        <f>Man_Credits+Hea_Credits+Ene_Credits+Tra_Credits+Wat__Credits+Mat_Credits+Wst_Credits+LE_Credits+Pol_Credits+Inn_Credits</f>
        <v>153</v>
      </c>
      <c r="BE261" s="43"/>
      <c r="BF261" s="163"/>
      <c r="BG261" s="204">
        <f>Man_Credits+Hea_Credits+Ene_Credits+Tra_Credits+Wat__Credits+Mat_Credits+Wst_Credits+LE_Credits+Pol_Credits+Inn_Credits</f>
        <v>153</v>
      </c>
      <c r="BH261" s="43"/>
      <c r="BI261" s="163"/>
      <c r="BJ261" s="204">
        <f>Man_Credits+Hea_Credits+Ene_Credits+Tra_Credits+Wat__Credits+Mat_Credits+Wst_Credits+LE_Credits+Pol_Credits+Inn_Credits</f>
        <v>153</v>
      </c>
      <c r="BK261" s="43"/>
      <c r="BL261" s="163"/>
    </row>
    <row r="262" spans="1:73" ht="15.75" thickBot="1" x14ac:dyDescent="0.3">
      <c r="E262" t="s">
        <v>679</v>
      </c>
      <c r="AX262" s="1545" t="s">
        <v>229</v>
      </c>
      <c r="AY262" s="1546"/>
      <c r="AZ262" s="1546"/>
      <c r="BA262" s="1546"/>
      <c r="BB262" s="1546"/>
      <c r="BC262" s="1547"/>
      <c r="BD262" s="204">
        <f>Achieved_initial</f>
        <v>0</v>
      </c>
      <c r="BE262" s="43"/>
      <c r="BF262" s="163"/>
      <c r="BG262" s="204" t="e">
        <f>Achieved_design</f>
        <v>#NAME?</v>
      </c>
      <c r="BH262" s="43"/>
      <c r="BI262" s="163"/>
      <c r="BJ262" s="204">
        <f>Achieved_const</f>
        <v>0</v>
      </c>
      <c r="BK262" s="43"/>
      <c r="BL262" s="163"/>
    </row>
    <row r="263" spans="1:73" ht="15.75" thickBot="1" x14ac:dyDescent="0.3">
      <c r="E263" t="s">
        <v>689</v>
      </c>
      <c r="N263"/>
      <c r="AX263" s="1549" t="s">
        <v>232</v>
      </c>
      <c r="AY263" s="1550"/>
      <c r="AZ263" s="1550"/>
      <c r="BA263" s="1550"/>
      <c r="BB263" s="1550"/>
      <c r="BC263" s="1551"/>
      <c r="BD263" s="82">
        <f>Score_Initial</f>
        <v>0</v>
      </c>
      <c r="BE263" s="80" t="str">
        <f>IF(BD263&gt;=BP268,BQ268,IF(BD263&gt;=BP267,BQ267,IF(BD263&gt;=BP266,BQ266,IF(BD263&gt;=BP265,BQ265,IF(BD263&gt;=BP264,BQ264,BQ263)))))</f>
        <v>Unclassified</v>
      </c>
      <c r="BF263" s="81">
        <f>VLOOKUP(BE263,BQ263:BS268,2,FALSE)</f>
        <v>0</v>
      </c>
      <c r="BG263" s="82">
        <f>Score_design</f>
        <v>0</v>
      </c>
      <c r="BH263" s="80" t="str">
        <f>IF(BG263&gt;=BP268,BQ268,IF(BG263&gt;=BP267,BQ267,IF(BG263&gt;=BP266,BQ266,IF(BG263&gt;=BP265,BQ265,IF(BG263&gt;=BP264,BQ264,BQ263)))))</f>
        <v>Unclassified</v>
      </c>
      <c r="BI263" s="81">
        <f>VLOOKUP(BH263,BQ263:BS268,2,FALSE)</f>
        <v>0</v>
      </c>
      <c r="BJ263" s="82">
        <f>Score_const</f>
        <v>0</v>
      </c>
      <c r="BK263" s="80" t="str">
        <f>IF(BJ263&gt;=BP268,BQ268,IF(BJ263&gt;=BP267,BQ267,IF(BJ263&gt;=BP266,BQ266,IF(BJ263&gt;=BP265,BQ265,IF(BJ263&gt;=BP264,BQ264,BQ263)))))</f>
        <v>Unclassified</v>
      </c>
      <c r="BL263" s="81">
        <f>VLOOKUP(BK263,BQ263:BS268,2,FALSE)</f>
        <v>0</v>
      </c>
      <c r="BO263" s="208" t="s">
        <v>231</v>
      </c>
      <c r="BP263" s="209">
        <v>0</v>
      </c>
      <c r="BQ263" s="210" t="s">
        <v>68</v>
      </c>
      <c r="BR263" s="211">
        <v>0</v>
      </c>
      <c r="BT263" t="s">
        <v>68</v>
      </c>
      <c r="BU263" t="s">
        <v>807</v>
      </c>
    </row>
    <row r="264" spans="1:73" ht="15.75" thickBot="1" x14ac:dyDescent="0.3">
      <c r="E264" t="s">
        <v>1829</v>
      </c>
      <c r="N264"/>
      <c r="BO264" s="212" t="s">
        <v>230</v>
      </c>
      <c r="BP264" s="213">
        <v>0.3</v>
      </c>
      <c r="BQ264" t="s">
        <v>70</v>
      </c>
      <c r="BR264" s="214">
        <v>1</v>
      </c>
      <c r="BT264" t="s">
        <v>70</v>
      </c>
      <c r="BU264" t="s">
        <v>83</v>
      </c>
    </row>
    <row r="265" spans="1:73" ht="15.75" thickBot="1" x14ac:dyDescent="0.3">
      <c r="E265" t="s">
        <v>967</v>
      </c>
      <c r="L265"/>
      <c r="N265"/>
      <c r="AX265" s="216" t="s">
        <v>233</v>
      </c>
      <c r="AY265" s="217"/>
      <c r="AZ265" s="217"/>
      <c r="BA265" s="217"/>
      <c r="BB265" s="217"/>
      <c r="BC265" s="218"/>
      <c r="BD265" s="219" t="s">
        <v>234</v>
      </c>
      <c r="BE265" s="57" t="str">
        <f>IF(BF265=1,(BP_MinStandards&amp;"*"),BE263)</f>
        <v>Unclassified</v>
      </c>
      <c r="BF265" s="56">
        <f>IF(BF260&lt;BF263,1,0)</f>
        <v>0</v>
      </c>
      <c r="BH265" s="57" t="str">
        <f>IF(BI265=1,(BP_MinStandards_design&amp;"*"),BH263)</f>
        <v>Unclassified</v>
      </c>
      <c r="BI265" s="56">
        <f>IF(BI260&lt;BI263,1,0)</f>
        <v>0</v>
      </c>
      <c r="BK265" s="57" t="str">
        <f>IF(BL265=1,(BP_MinStandards_const&amp;"*"),BK263)</f>
        <v>Unclassified</v>
      </c>
      <c r="BL265" s="56">
        <f>IF(BL260&lt;BL263,1,0)</f>
        <v>0</v>
      </c>
      <c r="BO265" s="212" t="s">
        <v>230</v>
      </c>
      <c r="BP265" s="213">
        <v>0.45</v>
      </c>
      <c r="BQ265" t="s">
        <v>71</v>
      </c>
      <c r="BR265" s="214">
        <v>2</v>
      </c>
      <c r="BT265" t="s">
        <v>71</v>
      </c>
      <c r="BU265" t="s">
        <v>84</v>
      </c>
    </row>
    <row r="266" spans="1:73" x14ac:dyDescent="0.25">
      <c r="E266" t="s">
        <v>680</v>
      </c>
      <c r="L266" t="s">
        <v>558</v>
      </c>
      <c r="T266">
        <f>IF(OR(AI74&lt;&gt;AB74,Ene02_user&lt;&gt;Ene02_credits),0,1)</f>
        <v>0</v>
      </c>
      <c r="BO266" s="212" t="s">
        <v>230</v>
      </c>
      <c r="BP266" s="213">
        <v>0.55000000000000004</v>
      </c>
      <c r="BQ266" t="s">
        <v>72</v>
      </c>
      <c r="BR266" s="214">
        <v>3</v>
      </c>
      <c r="BT266" t="s">
        <v>72</v>
      </c>
      <c r="BU266" t="s">
        <v>85</v>
      </c>
    </row>
    <row r="267" spans="1:73" x14ac:dyDescent="0.25">
      <c r="E267" t="s">
        <v>690</v>
      </c>
      <c r="L267" t="s">
        <v>559</v>
      </c>
      <c r="AX267" t="s">
        <v>235</v>
      </c>
      <c r="BO267" s="212" t="s">
        <v>230</v>
      </c>
      <c r="BP267" s="213">
        <v>0.7</v>
      </c>
      <c r="BQ267" t="s">
        <v>73</v>
      </c>
      <c r="BR267" s="214">
        <v>4</v>
      </c>
      <c r="BT267" t="s">
        <v>73</v>
      </c>
      <c r="BU267" t="s">
        <v>224</v>
      </c>
    </row>
    <row r="268" spans="1:73" ht="15.75" thickBot="1" x14ac:dyDescent="0.3">
      <c r="E268" t="s">
        <v>681</v>
      </c>
      <c r="L268" t="s">
        <v>560</v>
      </c>
      <c r="BE268" s="224" t="str">
        <f>IF(BF265=1,AX267,"")</f>
        <v/>
      </c>
      <c r="BH268" s="224" t="str">
        <f>IF(BI265=1,AX267,"")</f>
        <v/>
      </c>
      <c r="BK268" s="224" t="str">
        <f>IF(BL265=1,AX267,"")</f>
        <v/>
      </c>
      <c r="BO268" s="220" t="s">
        <v>230</v>
      </c>
      <c r="BP268" s="221">
        <v>0.85</v>
      </c>
      <c r="BQ268" s="222" t="s">
        <v>74</v>
      </c>
      <c r="BR268" s="223">
        <v>5</v>
      </c>
      <c r="BT268" t="s">
        <v>74</v>
      </c>
      <c r="BU268" t="s">
        <v>86</v>
      </c>
    </row>
    <row r="269" spans="1:73" x14ac:dyDescent="0.25">
      <c r="E269" t="s">
        <v>682</v>
      </c>
      <c r="L269"/>
    </row>
    <row r="270" spans="1:73" x14ac:dyDescent="0.25">
      <c r="E270" t="s">
        <v>683</v>
      </c>
      <c r="L270" t="s">
        <v>565</v>
      </c>
      <c r="AX270" t="str">
        <f>"* = "&amp;AX267</f>
        <v>* = The rating has been limited to the min. standards level achieved</v>
      </c>
    </row>
    <row r="271" spans="1:73" x14ac:dyDescent="0.25">
      <c r="E271" t="s">
        <v>684</v>
      </c>
      <c r="L271" t="s">
        <v>561</v>
      </c>
    </row>
    <row r="272" spans="1:73" x14ac:dyDescent="0.25">
      <c r="E272" t="s">
        <v>685</v>
      </c>
      <c r="L272"/>
    </row>
    <row r="273" spans="4:75" x14ac:dyDescent="0.25">
      <c r="E273" t="s">
        <v>686</v>
      </c>
      <c r="L273" t="s">
        <v>562</v>
      </c>
    </row>
    <row r="274" spans="4:75" x14ac:dyDescent="0.25">
      <c r="E274" t="s">
        <v>687</v>
      </c>
      <c r="L274" t="s">
        <v>563</v>
      </c>
    </row>
    <row r="275" spans="4:75" x14ac:dyDescent="0.25">
      <c r="E275" t="s">
        <v>688</v>
      </c>
      <c r="L275"/>
    </row>
    <row r="276" spans="4:75" x14ac:dyDescent="0.25">
      <c r="E276" t="s">
        <v>298</v>
      </c>
      <c r="L276"/>
    </row>
    <row r="277" spans="4:75" x14ac:dyDescent="0.25">
      <c r="L277" t="s">
        <v>564</v>
      </c>
    </row>
    <row r="278" spans="4:75" ht="45" x14ac:dyDescent="0.25">
      <c r="D278" t="s">
        <v>12</v>
      </c>
      <c r="E278" t="s">
        <v>296</v>
      </c>
      <c r="F278" s="576" t="s">
        <v>975</v>
      </c>
    </row>
    <row r="279" spans="4:75" ht="45" x14ac:dyDescent="0.25">
      <c r="D279" t="s">
        <v>13</v>
      </c>
      <c r="E279" t="s">
        <v>296</v>
      </c>
      <c r="F279" s="576" t="s">
        <v>976</v>
      </c>
    </row>
    <row r="285" spans="4:75" x14ac:dyDescent="0.25">
      <c r="BN285" t="s">
        <v>74</v>
      </c>
      <c r="BO285">
        <v>5</v>
      </c>
      <c r="BP285" t="s">
        <v>74</v>
      </c>
      <c r="BR285" t="s">
        <v>808</v>
      </c>
      <c r="BT285" t="s">
        <v>74</v>
      </c>
      <c r="BU285" t="s">
        <v>86</v>
      </c>
      <c r="BW285" t="s">
        <v>2016</v>
      </c>
    </row>
    <row r="286" spans="4:75" x14ac:dyDescent="0.25">
      <c r="BN286" t="s">
        <v>73</v>
      </c>
      <c r="BO286">
        <v>4</v>
      </c>
      <c r="BP286" t="s">
        <v>73</v>
      </c>
      <c r="BR286" t="s">
        <v>809</v>
      </c>
      <c r="BT286" t="s">
        <v>73</v>
      </c>
      <c r="BU286" t="s">
        <v>224</v>
      </c>
      <c r="BW286" t="s">
        <v>2017</v>
      </c>
    </row>
    <row r="287" spans="4:75" x14ac:dyDescent="0.25">
      <c r="BN287" t="s">
        <v>72</v>
      </c>
      <c r="BO287">
        <v>3</v>
      </c>
      <c r="BP287" t="s">
        <v>72</v>
      </c>
      <c r="BR287" t="s">
        <v>810</v>
      </c>
      <c r="BT287" t="s">
        <v>72</v>
      </c>
      <c r="BU287" t="s">
        <v>85</v>
      </c>
      <c r="BW287" t="s">
        <v>2018</v>
      </c>
    </row>
    <row r="288" spans="4:75" x14ac:dyDescent="0.25">
      <c r="BN288" t="s">
        <v>71</v>
      </c>
      <c r="BO288">
        <v>2</v>
      </c>
      <c r="BP288" t="s">
        <v>71</v>
      </c>
      <c r="BR288" t="s">
        <v>71</v>
      </c>
      <c r="BT288" t="s">
        <v>71</v>
      </c>
      <c r="BU288" t="s">
        <v>84</v>
      </c>
      <c r="BW288" t="s">
        <v>2019</v>
      </c>
    </row>
    <row r="289" spans="4:75" x14ac:dyDescent="0.25">
      <c r="BN289" t="s">
        <v>70</v>
      </c>
      <c r="BO289">
        <v>1</v>
      </c>
      <c r="BP289" t="s">
        <v>70</v>
      </c>
      <c r="BR289" t="s">
        <v>70</v>
      </c>
      <c r="BT289" t="s">
        <v>70</v>
      </c>
      <c r="BU289" t="s">
        <v>83</v>
      </c>
      <c r="BW289" t="s">
        <v>2020</v>
      </c>
    </row>
    <row r="290" spans="4:75" x14ac:dyDescent="0.25">
      <c r="BN290" t="s">
        <v>68</v>
      </c>
      <c r="BO290">
        <v>0</v>
      </c>
      <c r="BP290" t="s">
        <v>68</v>
      </c>
      <c r="BR290" t="s">
        <v>68</v>
      </c>
      <c r="BT290" t="s">
        <v>68</v>
      </c>
      <c r="BU290" t="s">
        <v>807</v>
      </c>
      <c r="BW290" t="s">
        <v>2021</v>
      </c>
    </row>
    <row r="291" spans="4:75" x14ac:dyDescent="0.25">
      <c r="BN291" t="s">
        <v>14</v>
      </c>
      <c r="BO291">
        <v>9</v>
      </c>
      <c r="BP291" t="s">
        <v>14</v>
      </c>
      <c r="BR291" t="s">
        <v>14</v>
      </c>
      <c r="BT291" t="s">
        <v>14</v>
      </c>
      <c r="BU291" t="s">
        <v>14</v>
      </c>
      <c r="BW291" t="s">
        <v>14</v>
      </c>
    </row>
    <row r="292" spans="4:75" ht="15.75" thickBot="1" x14ac:dyDescent="0.3">
      <c r="E292" s="504">
        <v>1</v>
      </c>
      <c r="F292" s="592">
        <v>2</v>
      </c>
      <c r="G292" s="592">
        <v>3</v>
      </c>
      <c r="H292" s="592">
        <v>4</v>
      </c>
    </row>
    <row r="293" spans="4:75" ht="15.75" thickBot="1" x14ac:dyDescent="0.3">
      <c r="D293" s="127"/>
      <c r="E293" s="495" t="s">
        <v>391</v>
      </c>
      <c r="F293" s="593" t="s">
        <v>397</v>
      </c>
      <c r="G293" s="593" t="s">
        <v>399</v>
      </c>
      <c r="H293" s="594" t="s">
        <v>400</v>
      </c>
    </row>
    <row r="294" spans="4:75" ht="15.75" thickBot="1" x14ac:dyDescent="0.3">
      <c r="D294" s="144" t="s">
        <v>392</v>
      </c>
      <c r="E294" s="492" t="str">
        <f>'Pre-Assessment Estimator'!AK39</f>
        <v>O1: Glare ctrl/artificial light</v>
      </c>
      <c r="F294" s="595">
        <v>0</v>
      </c>
      <c r="G294" s="595" t="s">
        <v>398</v>
      </c>
      <c r="H294" s="596"/>
    </row>
    <row r="295" spans="4:75" ht="15.75" thickBot="1" x14ac:dyDescent="0.3">
      <c r="D295" s="146" t="s">
        <v>392</v>
      </c>
      <c r="E295" s="64" t="str">
        <f>'Pre-Assessment Estimator'!AL39</f>
        <v>O2: Glare control (-0,5 c)</v>
      </c>
      <c r="F295" s="597">
        <v>-0.5</v>
      </c>
      <c r="G295" s="597" t="s">
        <v>398</v>
      </c>
      <c r="H295" s="598"/>
      <c r="BI295" s="133" t="s">
        <v>269</v>
      </c>
      <c r="BJ295" s="133" t="s">
        <v>270</v>
      </c>
      <c r="BK295" s="134" t="s">
        <v>1</v>
      </c>
      <c r="BP295" s="132" t="s">
        <v>271</v>
      </c>
      <c r="BQ295" s="133" t="s">
        <v>81</v>
      </c>
      <c r="BR295" s="133" t="s">
        <v>269</v>
      </c>
      <c r="BS295" s="133" t="s">
        <v>270</v>
      </c>
      <c r="BT295" s="134" t="s">
        <v>1</v>
      </c>
    </row>
    <row r="296" spans="4:75" x14ac:dyDescent="0.25">
      <c r="D296" s="146" t="s">
        <v>392</v>
      </c>
      <c r="E296" s="64" t="str">
        <f>'Pre-Assessment Estimator'!AM39</f>
        <v>O2: Artificial lighting (-0,5 c)</v>
      </c>
      <c r="F296" s="597">
        <v>-0.5</v>
      </c>
      <c r="G296" s="597" t="s">
        <v>398</v>
      </c>
      <c r="H296" s="598"/>
      <c r="BH296" s="62" t="s">
        <v>691</v>
      </c>
      <c r="BI296">
        <f t="shared" ref="BI296:BI328" si="670">VLOOKUP($BH296,$B$10:$BK$252,BD$1,FALSE)</f>
        <v>3</v>
      </c>
      <c r="BJ296">
        <f t="shared" ref="BJ296:BJ328" si="671">VLOOKUP($BH296,$B$10:$BK$252,BG$1,FALSE)</f>
        <v>3</v>
      </c>
      <c r="BK296">
        <f t="shared" ref="BK296:BK328" si="672">VLOOKUP($BH296,$B$10:$BK$252,BJ$1,FALSE)</f>
        <v>3</v>
      </c>
      <c r="BP296" s="189" t="s">
        <v>525</v>
      </c>
      <c r="BQ296" s="156" t="s">
        <v>87</v>
      </c>
      <c r="BR296" s="156">
        <f>MIN(BI296:BI297)</f>
        <v>3</v>
      </c>
      <c r="BS296" s="156">
        <f t="shared" ref="BS296:BT296" si="673">MIN(BJ296:BJ297)</f>
        <v>3</v>
      </c>
      <c r="BT296" s="156">
        <f t="shared" si="673"/>
        <v>3</v>
      </c>
    </row>
    <row r="297" spans="4:75" ht="15.75" thickBot="1" x14ac:dyDescent="0.3">
      <c r="D297" s="146" t="s">
        <v>392</v>
      </c>
      <c r="E297" s="493" t="str">
        <f>'Pre-Assessment Estimator'!AN39</f>
        <v>O2: Glare ctrl &amp; artif light (-1,0 c)</v>
      </c>
      <c r="F297" s="597">
        <v>-1</v>
      </c>
      <c r="G297" s="597" t="s">
        <v>398</v>
      </c>
      <c r="H297" s="598"/>
      <c r="BH297" s="889" t="s">
        <v>692</v>
      </c>
      <c r="BI297" s="222">
        <f t="shared" si="670"/>
        <v>3</v>
      </c>
      <c r="BJ297" s="222">
        <f t="shared" si="671"/>
        <v>3</v>
      </c>
      <c r="BK297" s="222">
        <f t="shared" si="672"/>
        <v>3</v>
      </c>
      <c r="BP297" s="146" t="s">
        <v>527</v>
      </c>
      <c r="BQ297" s="43" t="s">
        <v>89</v>
      </c>
      <c r="BR297" s="43">
        <f>MIN(BI298:BI300)</f>
        <v>0</v>
      </c>
      <c r="BS297" s="43">
        <f t="shared" ref="BS297:BT297" si="674">MIN(BJ298:BJ300)</f>
        <v>0</v>
      </c>
      <c r="BT297" s="43">
        <f t="shared" si="674"/>
        <v>0</v>
      </c>
    </row>
    <row r="298" spans="4:75" x14ac:dyDescent="0.25">
      <c r="D298" s="146" t="s">
        <v>392</v>
      </c>
      <c r="E298" s="492" t="str">
        <f>'Pre-Assessment Estimator'!AO39</f>
        <v>O3: Glare ctrl/artif lighting</v>
      </c>
      <c r="F298" s="597">
        <v>0</v>
      </c>
      <c r="G298" s="597" t="s">
        <v>398</v>
      </c>
      <c r="H298" s="598"/>
      <c r="BH298" s="62" t="s">
        <v>700</v>
      </c>
      <c r="BI298">
        <f t="shared" si="670"/>
        <v>0</v>
      </c>
      <c r="BJ298">
        <f t="shared" si="671"/>
        <v>0</v>
      </c>
      <c r="BK298">
        <f t="shared" si="672"/>
        <v>0</v>
      </c>
      <c r="BP298" s="146" t="s">
        <v>90</v>
      </c>
      <c r="BQ298" s="43" t="s">
        <v>90</v>
      </c>
      <c r="BR298" s="43">
        <f>MIN(BI301:BI302)</f>
        <v>0</v>
      </c>
      <c r="BS298" s="43">
        <f t="shared" ref="BS298:BT298" si="675">MIN(BJ301:BJ302)</f>
        <v>0</v>
      </c>
      <c r="BT298" s="43">
        <f t="shared" si="675"/>
        <v>0</v>
      </c>
    </row>
    <row r="299" spans="4:75" ht="15.75" thickBot="1" x14ac:dyDescent="0.3">
      <c r="D299" s="168" t="s">
        <v>392</v>
      </c>
      <c r="E299" s="493" t="str">
        <f>'Pre-Assessment Estimator'!AP39</f>
        <v>Glare ctrl/artif lighting N/A</v>
      </c>
      <c r="F299" s="599">
        <v>0</v>
      </c>
      <c r="G299" s="599" t="s">
        <v>398</v>
      </c>
      <c r="H299" s="600">
        <v>2</v>
      </c>
      <c r="BH299" s="62" t="s">
        <v>701</v>
      </c>
      <c r="BI299">
        <f t="shared" si="670"/>
        <v>2</v>
      </c>
      <c r="BJ299">
        <f t="shared" si="671"/>
        <v>2</v>
      </c>
      <c r="BK299">
        <f t="shared" si="672"/>
        <v>2</v>
      </c>
      <c r="BP299" s="146" t="s">
        <v>537</v>
      </c>
      <c r="BQ299" s="43" t="str">
        <f>IF(E6=H9,"","Man 05")</f>
        <v>Man 05</v>
      </c>
      <c r="BR299" s="43">
        <f>MIN(BI303)</f>
        <v>3</v>
      </c>
      <c r="BS299" s="43">
        <f t="shared" ref="BS299:BT300" si="676">MIN(BJ303)</f>
        <v>3</v>
      </c>
      <c r="BT299" s="43">
        <f t="shared" si="676"/>
        <v>3</v>
      </c>
      <c r="BU299" s="192" t="s">
        <v>551</v>
      </c>
    </row>
    <row r="300" spans="4:75" ht="15.75" thickBot="1" x14ac:dyDescent="0.3">
      <c r="D300" s="144" t="s">
        <v>393</v>
      </c>
      <c r="E300" s="492" t="str">
        <f>'Pre-Assessment Estimator'!AK47</f>
        <v>O1: VOC</v>
      </c>
      <c r="F300" s="595">
        <v>0</v>
      </c>
      <c r="G300" s="595" t="s">
        <v>398</v>
      </c>
      <c r="H300" s="596"/>
      <c r="BH300" s="889" t="s">
        <v>889</v>
      </c>
      <c r="BI300" s="222">
        <f t="shared" si="670"/>
        <v>3</v>
      </c>
      <c r="BJ300" s="222">
        <f t="shared" si="671"/>
        <v>3</v>
      </c>
      <c r="BK300" s="222">
        <f t="shared" si="672"/>
        <v>3</v>
      </c>
      <c r="BP300" s="146" t="s">
        <v>840</v>
      </c>
      <c r="BQ300" t="s">
        <v>111</v>
      </c>
      <c r="BR300" s="43">
        <f>MIN(BI304)</f>
        <v>0</v>
      </c>
      <c r="BS300" s="43">
        <f t="shared" si="676"/>
        <v>0</v>
      </c>
      <c r="BT300" s="43">
        <f t="shared" si="676"/>
        <v>0</v>
      </c>
    </row>
    <row r="301" spans="4:75" x14ac:dyDescent="0.25">
      <c r="D301" s="146" t="s">
        <v>393</v>
      </c>
      <c r="E301" s="64" t="str">
        <f>'Pre-Assessment Estimator'!AL47</f>
        <v>O2: VOC (AC 6-7: -0,5 c)</v>
      </c>
      <c r="F301" s="597">
        <v>-0.5</v>
      </c>
      <c r="G301" s="597" t="s">
        <v>398</v>
      </c>
      <c r="H301" s="598"/>
      <c r="BH301" s="62" t="s">
        <v>702</v>
      </c>
      <c r="BI301">
        <f t="shared" si="670"/>
        <v>0</v>
      </c>
      <c r="BJ301">
        <f t="shared" si="671"/>
        <v>0</v>
      </c>
      <c r="BK301">
        <f t="shared" si="672"/>
        <v>0</v>
      </c>
      <c r="BP301" s="146" t="s">
        <v>521</v>
      </c>
      <c r="BQ301" s="43" t="s">
        <v>112</v>
      </c>
      <c r="BR301" s="43">
        <f>MIN(BI305:BI306)</f>
        <v>2</v>
      </c>
      <c r="BS301" s="43">
        <f t="shared" ref="BS301:BT301" si="677">MIN(BJ305:BJ306)</f>
        <v>0</v>
      </c>
      <c r="BT301" s="43">
        <f t="shared" si="677"/>
        <v>0</v>
      </c>
    </row>
    <row r="302" spans="4:75" ht="15.75" thickBot="1" x14ac:dyDescent="0.3">
      <c r="D302" s="146" t="s">
        <v>393</v>
      </c>
      <c r="E302" s="64" t="str">
        <f>'Pre-Assessment Estimator'!AM47</f>
        <v>O2: VOC (AC 8-9: -1,0 c)</v>
      </c>
      <c r="F302" s="597">
        <v>-1</v>
      </c>
      <c r="G302" s="597" t="s">
        <v>398</v>
      </c>
      <c r="H302" s="598"/>
      <c r="BH302" s="889" t="s">
        <v>704</v>
      </c>
      <c r="BI302" s="222">
        <f t="shared" si="670"/>
        <v>2</v>
      </c>
      <c r="BJ302" s="222">
        <f t="shared" si="671"/>
        <v>2</v>
      </c>
      <c r="BK302" s="222">
        <f t="shared" si="672"/>
        <v>2</v>
      </c>
      <c r="BP302" s="146" t="s">
        <v>552</v>
      </c>
      <c r="BQ302" s="43" t="s">
        <v>129</v>
      </c>
      <c r="BR302" s="43">
        <f>MIN(BI307)</f>
        <v>3</v>
      </c>
      <c r="BS302" s="43">
        <f t="shared" ref="BS302:BT302" si="678">MIN(BJ307)</f>
        <v>3</v>
      </c>
      <c r="BT302" s="43">
        <f t="shared" si="678"/>
        <v>3</v>
      </c>
      <c r="BU302" s="192"/>
    </row>
    <row r="303" spans="4:75" ht="15.75" thickBot="1" x14ac:dyDescent="0.3">
      <c r="D303" s="146" t="s">
        <v>393</v>
      </c>
      <c r="E303" s="64" t="str">
        <f>'Pre-Assessment Estimator'!AN47</f>
        <v>O3: VOC</v>
      </c>
      <c r="F303" s="597">
        <v>0</v>
      </c>
      <c r="G303" s="597" t="s">
        <v>398</v>
      </c>
      <c r="H303" s="598"/>
      <c r="BH303" s="890" t="s">
        <v>706</v>
      </c>
      <c r="BI303" s="217">
        <f t="shared" si="670"/>
        <v>3</v>
      </c>
      <c r="BJ303" s="217">
        <f t="shared" si="671"/>
        <v>3</v>
      </c>
      <c r="BK303" s="217">
        <f t="shared" si="672"/>
        <v>3</v>
      </c>
      <c r="BP303" s="146" t="s">
        <v>923</v>
      </c>
      <c r="BQ303" s="43" t="s">
        <v>135</v>
      </c>
      <c r="BR303" s="43">
        <f>MIN(BI308)</f>
        <v>0</v>
      </c>
      <c r="BS303" s="43">
        <f t="shared" ref="BS303:BT303" si="679">MIN(BJ308)</f>
        <v>0</v>
      </c>
      <c r="BT303" s="43">
        <f t="shared" si="679"/>
        <v>0</v>
      </c>
    </row>
    <row r="304" spans="4:75" ht="15.75" thickBot="1" x14ac:dyDescent="0.3">
      <c r="D304" s="167" t="s">
        <v>393</v>
      </c>
      <c r="E304" s="497" t="str">
        <f>'Pre-Assessment Estimator'!AO47</f>
        <v>VOC N/A</v>
      </c>
      <c r="F304" s="601">
        <v>0</v>
      </c>
      <c r="G304" s="601" t="s">
        <v>398</v>
      </c>
      <c r="H304" s="602">
        <v>5</v>
      </c>
      <c r="BH304" s="890" t="s">
        <v>708</v>
      </c>
      <c r="BI304" s="217">
        <f t="shared" si="670"/>
        <v>0</v>
      </c>
      <c r="BJ304" s="217">
        <f t="shared" si="671"/>
        <v>0</v>
      </c>
      <c r="BK304" s="217">
        <f t="shared" si="672"/>
        <v>0</v>
      </c>
      <c r="BP304" s="146" t="s">
        <v>529</v>
      </c>
      <c r="BQ304" s="43" t="s">
        <v>141</v>
      </c>
      <c r="BR304" s="43">
        <f>MIN(BI309)</f>
        <v>3</v>
      </c>
      <c r="BS304" s="43">
        <f t="shared" ref="BS304:BT304" si="680">MIN(BJ309)</f>
        <v>3</v>
      </c>
      <c r="BT304" s="43">
        <f t="shared" si="680"/>
        <v>3</v>
      </c>
      <c r="BU304" s="192"/>
    </row>
    <row r="305" spans="4:73" x14ac:dyDescent="0.25">
      <c r="D305" s="189" t="s">
        <v>394</v>
      </c>
      <c r="E305" s="496" t="str">
        <f>'Pre-Assessment Estimator'!AK75</f>
        <v>O1: Sub-metering</v>
      </c>
      <c r="F305" s="603">
        <v>0</v>
      </c>
      <c r="G305" s="603" t="s">
        <v>398</v>
      </c>
      <c r="H305" s="604"/>
      <c r="BH305" s="891" t="s">
        <v>713</v>
      </c>
      <c r="BI305" s="210">
        <f t="shared" si="670"/>
        <v>5</v>
      </c>
      <c r="BJ305" s="210">
        <f t="shared" si="671"/>
        <v>0</v>
      </c>
      <c r="BK305" s="210">
        <f t="shared" si="672"/>
        <v>0</v>
      </c>
      <c r="BP305" s="146" t="s">
        <v>163</v>
      </c>
      <c r="BQ305" s="43" t="s">
        <v>163</v>
      </c>
      <c r="BR305" s="43">
        <f>MIN(BI310)</f>
        <v>3</v>
      </c>
      <c r="BS305" s="43">
        <f t="shared" ref="BS305:BT305" si="681">MIN(BJ310)</f>
        <v>3</v>
      </c>
      <c r="BT305" s="43">
        <f t="shared" si="681"/>
        <v>3</v>
      </c>
      <c r="BU305" s="192"/>
    </row>
    <row r="306" spans="4:73" ht="15.75" thickBot="1" x14ac:dyDescent="0.3">
      <c r="D306" s="146" t="s">
        <v>394</v>
      </c>
      <c r="E306" s="64" t="str">
        <f>'Pre-Assessment Estimator'!AL75</f>
        <v>O2: Sub-met. (AC 1-3: -0,5 c)</v>
      </c>
      <c r="F306" s="597">
        <v>-0.5</v>
      </c>
      <c r="G306" s="597" t="s">
        <v>398</v>
      </c>
      <c r="H306" s="598"/>
      <c r="BH306" s="889" t="s">
        <v>715</v>
      </c>
      <c r="BI306" s="222">
        <f t="shared" si="670"/>
        <v>2</v>
      </c>
      <c r="BJ306" s="222">
        <f t="shared" si="671"/>
        <v>2</v>
      </c>
      <c r="BK306" s="222">
        <f t="shared" si="672"/>
        <v>2</v>
      </c>
      <c r="BP306" s="146" t="s">
        <v>4</v>
      </c>
      <c r="BQ306" s="43" t="s">
        <v>167</v>
      </c>
      <c r="BR306" s="43">
        <f>MIN(BI311:BI312)</f>
        <v>0</v>
      </c>
      <c r="BS306" s="43">
        <f t="shared" ref="BS306:BT306" si="682">MIN(BJ311:BJ312)</f>
        <v>0</v>
      </c>
      <c r="BT306" s="43">
        <f t="shared" si="682"/>
        <v>0</v>
      </c>
    </row>
    <row r="307" spans="4:73" ht="15.75" thickBot="1" x14ac:dyDescent="0.3">
      <c r="D307" s="146" t="s">
        <v>394</v>
      </c>
      <c r="E307" s="64" t="str">
        <f>'Pre-Assessment Estimator'!AM75</f>
        <v>O2: Sub-met. (AC 4-7: -1,0 c)</v>
      </c>
      <c r="F307" s="597">
        <v>-1</v>
      </c>
      <c r="G307" s="597" t="s">
        <v>398</v>
      </c>
      <c r="H307" s="598"/>
      <c r="BH307" s="890" t="s">
        <v>728</v>
      </c>
      <c r="BI307" s="217">
        <f t="shared" si="670"/>
        <v>3</v>
      </c>
      <c r="BJ307" s="217">
        <f t="shared" si="671"/>
        <v>3</v>
      </c>
      <c r="BK307" s="217">
        <f t="shared" si="672"/>
        <v>3</v>
      </c>
      <c r="BP307" s="146" t="s">
        <v>927</v>
      </c>
      <c r="BQ307" s="43" t="s">
        <v>457</v>
      </c>
      <c r="BR307" s="43">
        <f>MIN(BI313)</f>
        <v>0</v>
      </c>
      <c r="BS307" s="43">
        <f t="shared" ref="BS307:BT307" si="683">MIN(BJ313)</f>
        <v>0</v>
      </c>
      <c r="BT307" s="43">
        <f t="shared" si="683"/>
        <v>0</v>
      </c>
    </row>
    <row r="308" spans="4:73" ht="15.75" thickBot="1" x14ac:dyDescent="0.3">
      <c r="D308" s="146" t="s">
        <v>394</v>
      </c>
      <c r="E308" s="64" t="str">
        <f>'Pre-Assessment Estimator'!AN75</f>
        <v>O3: Sub-metering</v>
      </c>
      <c r="F308" s="597">
        <v>0</v>
      </c>
      <c r="G308" s="597" t="s">
        <v>398</v>
      </c>
      <c r="H308" s="598"/>
      <c r="BH308" s="890" t="s">
        <v>737</v>
      </c>
      <c r="BI308" s="217">
        <f t="shared" si="670"/>
        <v>0</v>
      </c>
      <c r="BJ308" s="217">
        <f t="shared" si="671"/>
        <v>0</v>
      </c>
      <c r="BK308" s="217">
        <f t="shared" si="672"/>
        <v>0</v>
      </c>
      <c r="BP308" s="146" t="s">
        <v>928</v>
      </c>
      <c r="BQ308" s="43" t="s">
        <v>168</v>
      </c>
      <c r="BR308" s="43">
        <f>MIN(BI314)</f>
        <v>0</v>
      </c>
      <c r="BS308" s="43">
        <f t="shared" ref="BS308:BT308" si="684">MIN(BJ314)</f>
        <v>0</v>
      </c>
      <c r="BT308" s="43">
        <f t="shared" si="684"/>
        <v>0</v>
      </c>
    </row>
    <row r="309" spans="4:73" ht="15.75" thickBot="1" x14ac:dyDescent="0.3">
      <c r="D309" s="167" t="s">
        <v>394</v>
      </c>
      <c r="E309" s="497" t="str">
        <f>'Pre-Assessment Estimator'!AO75</f>
        <v>Sub-metering N/A</v>
      </c>
      <c r="F309" s="601">
        <v>0</v>
      </c>
      <c r="G309" s="601" t="s">
        <v>398</v>
      </c>
      <c r="H309" s="602">
        <v>1</v>
      </c>
      <c r="BH309" s="890" t="s">
        <v>741</v>
      </c>
      <c r="BI309" s="217">
        <f t="shared" si="670"/>
        <v>3</v>
      </c>
      <c r="BJ309" s="217">
        <f t="shared" si="671"/>
        <v>3</v>
      </c>
      <c r="BK309" s="217">
        <f t="shared" si="672"/>
        <v>3</v>
      </c>
      <c r="BP309" s="146" t="s">
        <v>924</v>
      </c>
      <c r="BQ309" s="43" t="s">
        <v>169</v>
      </c>
      <c r="BR309" s="43">
        <f>MIN(BI315)</f>
        <v>3</v>
      </c>
      <c r="BS309" s="43">
        <f t="shared" ref="BS309:BT309" si="685">MIN(BJ315)</f>
        <v>3</v>
      </c>
      <c r="BT309" s="43">
        <f t="shared" si="685"/>
        <v>3</v>
      </c>
    </row>
    <row r="310" spans="4:73" ht="15.75" thickBot="1" x14ac:dyDescent="0.3">
      <c r="D310" s="189" t="s">
        <v>395</v>
      </c>
      <c r="E310" s="496" t="str">
        <f>'Pre-Assessment Estimator'!AK111</f>
        <v>O1: Flow control</v>
      </c>
      <c r="F310" s="603">
        <v>0</v>
      </c>
      <c r="G310" s="603" t="s">
        <v>398</v>
      </c>
      <c r="H310" s="604"/>
      <c r="BH310" s="890" t="s">
        <v>744</v>
      </c>
      <c r="BI310" s="217">
        <f t="shared" si="670"/>
        <v>3</v>
      </c>
      <c r="BJ310" s="217">
        <f t="shared" si="671"/>
        <v>3</v>
      </c>
      <c r="BK310" s="217">
        <f t="shared" si="672"/>
        <v>3</v>
      </c>
      <c r="BP310" s="146" t="s">
        <v>530</v>
      </c>
      <c r="BQ310" s="43" t="s">
        <v>170</v>
      </c>
      <c r="BR310" s="43">
        <f>MIN(BI316)</f>
        <v>0</v>
      </c>
      <c r="BS310" s="43">
        <f t="shared" ref="BS310:BT310" si="686">MIN(BJ316)</f>
        <v>0</v>
      </c>
      <c r="BT310" s="43">
        <f t="shared" si="686"/>
        <v>0</v>
      </c>
    </row>
    <row r="311" spans="4:73" x14ac:dyDescent="0.25">
      <c r="D311" s="146" t="s">
        <v>395</v>
      </c>
      <c r="E311" s="64" t="str">
        <f>'Pre-Assessment Estimator'!AL111</f>
        <v>O2: Flow control (-0,5 c)</v>
      </c>
      <c r="F311" s="597">
        <v>-0.5</v>
      </c>
      <c r="G311" s="597" t="s">
        <v>398</v>
      </c>
      <c r="H311" s="598"/>
      <c r="BH311" s="891" t="s">
        <v>750</v>
      </c>
      <c r="BI311" s="210">
        <f t="shared" si="670"/>
        <v>0</v>
      </c>
      <c r="BJ311" s="210">
        <f t="shared" si="671"/>
        <v>0</v>
      </c>
      <c r="BK311" s="210">
        <f t="shared" si="672"/>
        <v>0</v>
      </c>
      <c r="BP311" s="146" t="s">
        <v>531</v>
      </c>
      <c r="BQ311" s="43" t="s">
        <v>458</v>
      </c>
      <c r="BR311" s="43">
        <f>MIN(BI317:BI318)</f>
        <v>3</v>
      </c>
      <c r="BS311" s="43">
        <f t="shared" ref="BS311:BT311" si="687">MIN(BJ317:BJ318)</f>
        <v>3</v>
      </c>
      <c r="BT311" s="43">
        <f t="shared" si="687"/>
        <v>3</v>
      </c>
    </row>
    <row r="312" spans="4:73" ht="15.75" thickBot="1" x14ac:dyDescent="0.3">
      <c r="D312" s="146" t="s">
        <v>395</v>
      </c>
      <c r="E312" s="64" t="str">
        <f>'Pre-Assessment Estimator'!AM111</f>
        <v xml:space="preserve">O3: Flow control </v>
      </c>
      <c r="F312" s="597">
        <v>0</v>
      </c>
      <c r="G312" s="597" t="s">
        <v>398</v>
      </c>
      <c r="H312" s="598"/>
      <c r="BH312" s="889" t="s">
        <v>751</v>
      </c>
      <c r="BI312" s="222">
        <f t="shared" si="670"/>
        <v>2</v>
      </c>
      <c r="BJ312" s="222">
        <f t="shared" si="671"/>
        <v>2</v>
      </c>
      <c r="BK312" s="222">
        <f t="shared" si="672"/>
        <v>2</v>
      </c>
      <c r="BP312" s="146" t="s">
        <v>532</v>
      </c>
      <c r="BQ312" s="43" t="s">
        <v>171</v>
      </c>
      <c r="BR312" s="43">
        <f>MIN(BI319:BI322)</f>
        <v>2</v>
      </c>
      <c r="BS312" s="43">
        <f t="shared" ref="BS312:BT312" si="688">MIN(BJ319:BJ322)</f>
        <v>2</v>
      </c>
      <c r="BT312" s="43">
        <f t="shared" si="688"/>
        <v>2</v>
      </c>
    </row>
    <row r="313" spans="4:73" ht="15.75" thickBot="1" x14ac:dyDescent="0.3">
      <c r="D313" s="168" t="s">
        <v>395</v>
      </c>
      <c r="E313" s="493" t="str">
        <f>'Pre-Assessment Estimator'!AN111</f>
        <v>Flow control N/A</v>
      </c>
      <c r="F313" s="599">
        <v>0</v>
      </c>
      <c r="G313" s="599" t="s">
        <v>398</v>
      </c>
      <c r="H313" s="600">
        <v>1</v>
      </c>
      <c r="BH313" s="890" t="s">
        <v>753</v>
      </c>
      <c r="BI313" s="210">
        <f t="shared" si="670"/>
        <v>0</v>
      </c>
      <c r="BJ313" s="210">
        <f t="shared" si="671"/>
        <v>0</v>
      </c>
      <c r="BK313" s="210">
        <f t="shared" si="672"/>
        <v>0</v>
      </c>
      <c r="BP313" s="146" t="s">
        <v>925</v>
      </c>
      <c r="BQ313" s="43" t="s">
        <v>926</v>
      </c>
      <c r="BR313" s="43">
        <f>MIN(BI323:BI324)</f>
        <v>3</v>
      </c>
      <c r="BS313" s="43">
        <f t="shared" ref="BS313:BT313" si="689">MIN(BJ323:BJ324)</f>
        <v>3</v>
      </c>
      <c r="BT313" s="43">
        <f t="shared" si="689"/>
        <v>3</v>
      </c>
    </row>
    <row r="314" spans="4:73" ht="15.75" thickBot="1" x14ac:dyDescent="0.3">
      <c r="D314" s="501" t="s">
        <v>179</v>
      </c>
      <c r="E314" s="502" t="s">
        <v>390</v>
      </c>
      <c r="F314" s="605">
        <v>1</v>
      </c>
      <c r="G314" s="605" t="s">
        <v>401</v>
      </c>
      <c r="H314" s="606"/>
      <c r="BH314" s="890" t="s">
        <v>756</v>
      </c>
      <c r="BI314" s="217">
        <f t="shared" si="670"/>
        <v>0</v>
      </c>
      <c r="BJ314" s="217">
        <f t="shared" si="671"/>
        <v>0</v>
      </c>
      <c r="BK314" s="217">
        <f t="shared" si="672"/>
        <v>0</v>
      </c>
      <c r="BP314" s="146" t="s">
        <v>174</v>
      </c>
      <c r="BQ314" s="43" t="s">
        <v>174</v>
      </c>
      <c r="BR314" s="43">
        <f>MIN(BI325)</f>
        <v>3</v>
      </c>
      <c r="BS314" s="43">
        <f t="shared" ref="BS314:BT314" si="690">MIN(BJ325)</f>
        <v>3</v>
      </c>
      <c r="BT314" s="43">
        <f t="shared" si="690"/>
        <v>3</v>
      </c>
    </row>
    <row r="315" spans="4:73" ht="15.75" thickBot="1" x14ac:dyDescent="0.3">
      <c r="D315" s="189"/>
      <c r="E315" s="500" t="s">
        <v>396</v>
      </c>
      <c r="F315" s="603"/>
      <c r="G315" s="603"/>
      <c r="H315" s="604"/>
      <c r="BH315" s="889" t="s">
        <v>762</v>
      </c>
      <c r="BI315" s="222">
        <f t="shared" si="670"/>
        <v>3</v>
      </c>
      <c r="BJ315" s="222">
        <f t="shared" si="671"/>
        <v>3</v>
      </c>
      <c r="BK315" s="222">
        <f t="shared" si="672"/>
        <v>3</v>
      </c>
      <c r="BP315" s="146" t="s">
        <v>175</v>
      </c>
      <c r="BQ315" s="43" t="s">
        <v>175</v>
      </c>
      <c r="BR315" s="43">
        <f>MIN(BI326)</f>
        <v>2</v>
      </c>
      <c r="BS315" s="43">
        <f t="shared" ref="BS315:BT315" si="691">MIN(BJ326)</f>
        <v>2</v>
      </c>
      <c r="BT315" s="43">
        <f t="shared" si="691"/>
        <v>2</v>
      </c>
    </row>
    <row r="316" spans="4:73" ht="15.75" thickBot="1" x14ac:dyDescent="0.3">
      <c r="D316" s="146"/>
      <c r="E316" s="494" t="s">
        <v>396</v>
      </c>
      <c r="F316" s="597"/>
      <c r="G316" s="597"/>
      <c r="H316" s="598"/>
      <c r="BH316" s="889" t="s">
        <v>763</v>
      </c>
      <c r="BI316" s="222">
        <f t="shared" si="670"/>
        <v>0</v>
      </c>
      <c r="BJ316" s="222">
        <f t="shared" si="671"/>
        <v>0</v>
      </c>
      <c r="BK316" s="222">
        <f t="shared" si="672"/>
        <v>0</v>
      </c>
      <c r="BP316" s="146" t="s">
        <v>176</v>
      </c>
      <c r="BQ316" s="43" t="s">
        <v>176</v>
      </c>
      <c r="BR316" s="43">
        <f>MIN(BI327)</f>
        <v>4</v>
      </c>
      <c r="BS316" s="43">
        <f t="shared" ref="BS316:BT316" si="692">MIN(BJ327)</f>
        <v>4</v>
      </c>
      <c r="BT316" s="43">
        <f t="shared" si="692"/>
        <v>4</v>
      </c>
    </row>
    <row r="317" spans="4:73" x14ac:dyDescent="0.25">
      <c r="D317" s="146"/>
      <c r="E317" s="494" t="s">
        <v>396</v>
      </c>
      <c r="F317" s="597"/>
      <c r="G317" s="597"/>
      <c r="H317" s="598"/>
      <c r="BH317" s="62" t="s">
        <v>767</v>
      </c>
      <c r="BI317">
        <f t="shared" si="670"/>
        <v>3</v>
      </c>
      <c r="BJ317">
        <f t="shared" si="671"/>
        <v>3</v>
      </c>
      <c r="BK317">
        <f t="shared" si="672"/>
        <v>3</v>
      </c>
      <c r="BP317" s="146" t="s">
        <v>178</v>
      </c>
      <c r="BQ317" s="43" t="s">
        <v>178</v>
      </c>
      <c r="BR317" s="43">
        <f>MIN(BI328)</f>
        <v>3</v>
      </c>
      <c r="BS317" s="43">
        <f t="shared" ref="BS317:BT317" si="693">MIN(BJ328)</f>
        <v>3</v>
      </c>
      <c r="BT317" s="43">
        <f t="shared" si="693"/>
        <v>3</v>
      </c>
    </row>
    <row r="318" spans="4:73" ht="15.75" thickBot="1" x14ac:dyDescent="0.3">
      <c r="D318" s="146"/>
      <c r="E318" s="494" t="s">
        <v>396</v>
      </c>
      <c r="F318" s="597"/>
      <c r="G318" s="597"/>
      <c r="H318" s="598"/>
      <c r="BH318" s="889" t="s">
        <v>768</v>
      </c>
      <c r="BI318" s="222">
        <f t="shared" si="670"/>
        <v>3</v>
      </c>
      <c r="BJ318" s="222">
        <f t="shared" si="671"/>
        <v>3</v>
      </c>
      <c r="BK318" s="222">
        <f t="shared" si="672"/>
        <v>3</v>
      </c>
    </row>
    <row r="319" spans="4:73" ht="15.75" thickBot="1" x14ac:dyDescent="0.3">
      <c r="D319" s="167"/>
      <c r="E319" s="499" t="s">
        <v>396</v>
      </c>
      <c r="F319" s="601"/>
      <c r="G319" s="601"/>
      <c r="H319" s="602"/>
      <c r="BH319" s="62" t="s">
        <v>769</v>
      </c>
      <c r="BI319">
        <f t="shared" si="670"/>
        <v>2</v>
      </c>
      <c r="BJ319">
        <f t="shared" si="671"/>
        <v>2</v>
      </c>
      <c r="BK319">
        <f t="shared" si="672"/>
        <v>2</v>
      </c>
    </row>
    <row r="320" spans="4:73" x14ac:dyDescent="0.25">
      <c r="D320" s="189"/>
      <c r="E320" s="156" t="s">
        <v>385</v>
      </c>
      <c r="F320" s="603">
        <v>1</v>
      </c>
      <c r="G320" s="603"/>
      <c r="H320" s="604"/>
      <c r="BH320" s="62" t="s">
        <v>770</v>
      </c>
      <c r="BI320">
        <f t="shared" si="670"/>
        <v>4</v>
      </c>
      <c r="BJ320">
        <f t="shared" si="671"/>
        <v>4</v>
      </c>
      <c r="BK320">
        <f t="shared" si="672"/>
        <v>4</v>
      </c>
    </row>
    <row r="321" spans="4:63" x14ac:dyDescent="0.25">
      <c r="D321" s="146"/>
      <c r="E321" s="43" t="s">
        <v>389</v>
      </c>
      <c r="F321" s="597">
        <v>0.5</v>
      </c>
      <c r="G321" s="597"/>
      <c r="H321" s="598"/>
      <c r="BH321" s="62" t="s">
        <v>771</v>
      </c>
      <c r="BI321">
        <f t="shared" si="670"/>
        <v>3</v>
      </c>
      <c r="BJ321">
        <f t="shared" si="671"/>
        <v>3</v>
      </c>
      <c r="BK321">
        <f t="shared" si="672"/>
        <v>3</v>
      </c>
    </row>
    <row r="322" spans="4:63" ht="15.75" thickBot="1" x14ac:dyDescent="0.3">
      <c r="D322" s="168"/>
      <c r="E322" s="170" t="s">
        <v>387</v>
      </c>
      <c r="F322" s="599">
        <v>1</v>
      </c>
      <c r="G322" s="599"/>
      <c r="H322" s="600"/>
      <c r="BH322" s="889" t="s">
        <v>957</v>
      </c>
      <c r="BI322" s="222">
        <f t="shared" si="670"/>
        <v>3</v>
      </c>
      <c r="BJ322" s="222">
        <f t="shared" si="671"/>
        <v>3</v>
      </c>
      <c r="BK322" s="222">
        <f t="shared" si="672"/>
        <v>3</v>
      </c>
    </row>
    <row r="323" spans="4:63" x14ac:dyDescent="0.25">
      <c r="D323" s="144"/>
      <c r="E323" s="498" t="s">
        <v>396</v>
      </c>
      <c r="F323" s="595"/>
      <c r="G323" s="595"/>
      <c r="H323" s="596"/>
      <c r="BH323" s="62" t="s">
        <v>772</v>
      </c>
      <c r="BI323">
        <f t="shared" si="670"/>
        <v>3</v>
      </c>
      <c r="BJ323">
        <f t="shared" si="671"/>
        <v>3</v>
      </c>
      <c r="BK323">
        <f t="shared" si="672"/>
        <v>3</v>
      </c>
    </row>
    <row r="324" spans="4:63" ht="15.75" thickBot="1" x14ac:dyDescent="0.3">
      <c r="D324" s="146"/>
      <c r="E324" s="494" t="s">
        <v>396</v>
      </c>
      <c r="F324" s="597"/>
      <c r="G324" s="597"/>
      <c r="H324" s="598"/>
      <c r="BH324" s="889" t="s">
        <v>773</v>
      </c>
      <c r="BI324" s="222">
        <f t="shared" si="670"/>
        <v>9</v>
      </c>
      <c r="BJ324" s="222">
        <f t="shared" si="671"/>
        <v>9</v>
      </c>
      <c r="BK324" s="222">
        <f t="shared" si="672"/>
        <v>9</v>
      </c>
    </row>
    <row r="325" spans="4:63" ht="15.75" thickBot="1" x14ac:dyDescent="0.3">
      <c r="D325" s="146"/>
      <c r="E325" s="494" t="s">
        <v>396</v>
      </c>
      <c r="F325" s="597"/>
      <c r="G325" s="597"/>
      <c r="H325" s="598"/>
      <c r="BH325" s="890" t="s">
        <v>958</v>
      </c>
      <c r="BI325" s="217">
        <f t="shared" si="670"/>
        <v>3</v>
      </c>
      <c r="BJ325" s="217">
        <f t="shared" si="671"/>
        <v>3</v>
      </c>
      <c r="BK325" s="217">
        <f t="shared" si="672"/>
        <v>3</v>
      </c>
    </row>
    <row r="326" spans="4:63" ht="15.75" thickBot="1" x14ac:dyDescent="0.3">
      <c r="D326" s="146"/>
      <c r="E326" s="43" t="str">
        <f>AIS_NA</f>
        <v>N/A</v>
      </c>
      <c r="F326" s="597">
        <v>1</v>
      </c>
      <c r="G326" s="597"/>
      <c r="H326" s="598"/>
      <c r="BH326" s="889" t="s">
        <v>779</v>
      </c>
      <c r="BI326" s="222">
        <f t="shared" si="670"/>
        <v>2</v>
      </c>
      <c r="BJ326" s="222">
        <f t="shared" si="671"/>
        <v>2</v>
      </c>
      <c r="BK326" s="222">
        <f t="shared" si="672"/>
        <v>2</v>
      </c>
    </row>
    <row r="327" spans="4:63" ht="15.75" thickBot="1" x14ac:dyDescent="0.3">
      <c r="D327" s="168"/>
      <c r="E327" s="170" t="s">
        <v>13</v>
      </c>
      <c r="F327" s="599">
        <v>1</v>
      </c>
      <c r="G327" s="599"/>
      <c r="H327" s="600"/>
      <c r="BH327" s="889" t="s">
        <v>785</v>
      </c>
      <c r="BI327" s="222">
        <f t="shared" si="670"/>
        <v>4</v>
      </c>
      <c r="BJ327" s="222">
        <f t="shared" si="671"/>
        <v>4</v>
      </c>
      <c r="BK327" s="222">
        <f t="shared" si="672"/>
        <v>4</v>
      </c>
    </row>
    <row r="328" spans="4:63" ht="15.75" thickBot="1" x14ac:dyDescent="0.3">
      <c r="BH328" s="889" t="s">
        <v>790</v>
      </c>
      <c r="BI328" s="222">
        <f t="shared" si="670"/>
        <v>3</v>
      </c>
      <c r="BJ328" s="222">
        <f t="shared" si="671"/>
        <v>3</v>
      </c>
      <c r="BK328" s="222">
        <f t="shared" si="672"/>
        <v>3</v>
      </c>
    </row>
    <row r="336" spans="4:63" x14ac:dyDescent="0.25">
      <c r="E336" s="121" t="s">
        <v>555</v>
      </c>
    </row>
    <row r="338" spans="5:71" x14ac:dyDescent="0.25">
      <c r="E338" t="s">
        <v>522</v>
      </c>
    </row>
    <row r="339" spans="5:71" x14ac:dyDescent="0.25">
      <c r="E339" t="s">
        <v>519</v>
      </c>
    </row>
    <row r="340" spans="5:71" x14ac:dyDescent="0.25">
      <c r="E340" t="s">
        <v>526</v>
      </c>
    </row>
    <row r="341" spans="5:71" x14ac:dyDescent="0.25">
      <c r="E341" t="s">
        <v>520</v>
      </c>
    </row>
    <row r="342" spans="5:71" x14ac:dyDescent="0.25">
      <c r="E342" t="s">
        <v>536</v>
      </c>
      <c r="BP342" t="s">
        <v>946</v>
      </c>
      <c r="BR342" t="s">
        <v>947</v>
      </c>
      <c r="BS342" t="str">
        <f>ADPT</f>
        <v>New Construction (fully fitted)</v>
      </c>
    </row>
    <row r="343" spans="5:71" x14ac:dyDescent="0.25">
      <c r="E343" t="s">
        <v>538</v>
      </c>
      <c r="BO343" s="847"/>
      <c r="BP343" s="847" t="s">
        <v>942</v>
      </c>
      <c r="BQ343" s="847" t="s">
        <v>943</v>
      </c>
      <c r="BR343" s="847" t="s">
        <v>944</v>
      </c>
      <c r="BS343" s="847" t="s">
        <v>945</v>
      </c>
    </row>
    <row r="344" spans="5:71" x14ac:dyDescent="0.25">
      <c r="E344" t="s">
        <v>539</v>
      </c>
      <c r="BO344" s="43" t="s">
        <v>941</v>
      </c>
      <c r="BP344" s="846">
        <v>0.13</v>
      </c>
      <c r="BQ344" s="846">
        <v>0.13</v>
      </c>
      <c r="BR344" s="846">
        <v>0.13</v>
      </c>
      <c r="BS344" s="848">
        <f>IF($BS$342='Assessment Details'!$Q$12,Poeng!BQ344,IF(Poeng!$BS$342=ADPT02,Poeng!BR344,Poeng!BP344))</f>
        <v>0.13</v>
      </c>
    </row>
    <row r="345" spans="5:71" x14ac:dyDescent="0.25">
      <c r="E345" t="s">
        <v>548</v>
      </c>
      <c r="BO345" s="43" t="s">
        <v>57</v>
      </c>
      <c r="BP345" s="846">
        <v>0.16</v>
      </c>
      <c r="BQ345" s="846">
        <v>0.09</v>
      </c>
      <c r="BR345" s="846">
        <v>0.08</v>
      </c>
      <c r="BS345" s="848">
        <f>IF($BS$342='Assessment Details'!$Q$12,Poeng!BQ345,IF(Poeng!$BS$342=ADPT02,Poeng!BR345,Poeng!BP345))</f>
        <v>0.16</v>
      </c>
    </row>
    <row r="346" spans="5:71" x14ac:dyDescent="0.25">
      <c r="E346" t="s">
        <v>549</v>
      </c>
      <c r="BO346" s="43" t="s">
        <v>60</v>
      </c>
      <c r="BP346" s="846">
        <v>0.14000000000000001</v>
      </c>
      <c r="BQ346" s="846">
        <v>0.12</v>
      </c>
      <c r="BR346" s="846">
        <v>7.0000000000000007E-2</v>
      </c>
      <c r="BS346" s="848">
        <f>IF($BS$342='Assessment Details'!$Q$12,Poeng!BQ346,IF(Poeng!$BS$342=ADPT02,Poeng!BR346,Poeng!BP346))</f>
        <v>0.14000000000000001</v>
      </c>
    </row>
    <row r="347" spans="5:71" x14ac:dyDescent="0.25">
      <c r="E347" t="s">
        <v>550</v>
      </c>
      <c r="BO347" s="43" t="s">
        <v>61</v>
      </c>
      <c r="BP347" s="846">
        <v>0.1</v>
      </c>
      <c r="BQ347" s="846">
        <v>0.12</v>
      </c>
      <c r="BR347" s="846">
        <v>0.15</v>
      </c>
      <c r="BS347" s="848">
        <f>IF($BS$342='Assessment Details'!$Q$12,Poeng!BQ347,IF(Poeng!$BS$342=ADPT02,Poeng!BR347,Poeng!BP347))</f>
        <v>0.1</v>
      </c>
    </row>
    <row r="348" spans="5:71" x14ac:dyDescent="0.25">
      <c r="E348" t="s">
        <v>543</v>
      </c>
      <c r="BO348" s="43" t="s">
        <v>62</v>
      </c>
      <c r="BP348" s="846">
        <v>0.04</v>
      </c>
      <c r="BQ348" s="846">
        <v>0.04</v>
      </c>
      <c r="BR348" s="846">
        <v>0.01</v>
      </c>
      <c r="BS348" s="848">
        <f>IF($BS$342='Assessment Details'!$Q$12,Poeng!BQ348,IF(Poeng!$BS$342=ADPT02,Poeng!BR348,Poeng!BP348))</f>
        <v>0.04</v>
      </c>
    </row>
    <row r="349" spans="5:71" x14ac:dyDescent="0.25">
      <c r="E349" t="s">
        <v>293</v>
      </c>
      <c r="BO349" s="43" t="s">
        <v>54</v>
      </c>
      <c r="BP349" s="846">
        <v>0.17</v>
      </c>
      <c r="BQ349" s="846">
        <v>0.2</v>
      </c>
      <c r="BR349" s="846">
        <v>0.24</v>
      </c>
      <c r="BS349" s="848">
        <f>IF($BS$342='Assessment Details'!$Q$12,Poeng!BQ349,IF(Poeng!$BS$342=ADPT02,Poeng!BR349,Poeng!BP349))</f>
        <v>0.17</v>
      </c>
    </row>
    <row r="350" spans="5:71" x14ac:dyDescent="0.25">
      <c r="BO350" s="43" t="s">
        <v>63</v>
      </c>
      <c r="BP350" s="846">
        <v>7.0000000000000007E-2</v>
      </c>
      <c r="BQ350" s="846">
        <v>0.08</v>
      </c>
      <c r="BR350" s="846">
        <v>0.09</v>
      </c>
      <c r="BS350" s="848">
        <f>IF($BS$342='Assessment Details'!$Q$12,Poeng!BQ350,IF(Poeng!$BS$342=ADPT02,Poeng!BR350,Poeng!BP350))</f>
        <v>7.0000000000000007E-2</v>
      </c>
    </row>
    <row r="351" spans="5:71" x14ac:dyDescent="0.25">
      <c r="BO351" s="43" t="s">
        <v>64</v>
      </c>
      <c r="BP351" s="846">
        <v>0.15</v>
      </c>
      <c r="BQ351" s="846">
        <v>0.17</v>
      </c>
      <c r="BR351" s="846">
        <v>0.21</v>
      </c>
      <c r="BS351" s="848">
        <f>IF($BS$342='Assessment Details'!$Q$12,Poeng!BQ351,IF(Poeng!$BS$342=ADPT02,Poeng!BR351,Poeng!BP351))</f>
        <v>0.15</v>
      </c>
    </row>
    <row r="352" spans="5:71" x14ac:dyDescent="0.25">
      <c r="BO352" s="43" t="s">
        <v>65</v>
      </c>
      <c r="BP352" s="846">
        <v>0.04</v>
      </c>
      <c r="BQ352" s="846">
        <v>0.05</v>
      </c>
      <c r="BR352" s="846">
        <v>0.02</v>
      </c>
      <c r="BS352" s="848">
        <f>IF($BS$342='Assessment Details'!$Q$12,Poeng!BQ352,IF(Poeng!$BS$342=ADPT02,Poeng!BR352,Poeng!BP352))</f>
        <v>0.04</v>
      </c>
    </row>
    <row r="353" spans="9:71" x14ac:dyDescent="0.25">
      <c r="BO353" s="43" t="s">
        <v>66</v>
      </c>
      <c r="BP353" s="846">
        <v>0.1</v>
      </c>
      <c r="BQ353" s="846">
        <v>0.1</v>
      </c>
      <c r="BR353" s="846">
        <v>0.1</v>
      </c>
      <c r="BS353" s="848">
        <f>IF($BS$342='Assessment Details'!$Q$12,Poeng!BQ353,IF(Poeng!$BS$342=ADPT02,Poeng!BR353,Poeng!BP353))</f>
        <v>0.1</v>
      </c>
    </row>
    <row r="354" spans="9:71" x14ac:dyDescent="0.25">
      <c r="BO354" s="43" t="s">
        <v>67</v>
      </c>
      <c r="BP354" s="846">
        <v>0.1</v>
      </c>
      <c r="BQ354" s="846">
        <v>0.1</v>
      </c>
      <c r="BR354" s="846">
        <v>0.1</v>
      </c>
      <c r="BS354" s="848">
        <f>IF($BS$342='Assessment Details'!$Q$12,Poeng!BQ354,IF(Poeng!$BS$342=ADPT02,Poeng!BR354,Poeng!BP354))</f>
        <v>0.1</v>
      </c>
    </row>
    <row r="361" spans="9:71" x14ac:dyDescent="0.25">
      <c r="I361" t="s">
        <v>363</v>
      </c>
    </row>
    <row r="362" spans="9:71" x14ac:dyDescent="0.25">
      <c r="I362" t="s">
        <v>877</v>
      </c>
    </row>
    <row r="363" spans="9:71" x14ac:dyDescent="0.25">
      <c r="I363" t="s">
        <v>363</v>
      </c>
    </row>
    <row r="364" spans="9:71" x14ac:dyDescent="0.25">
      <c r="I364" t="s">
        <v>878</v>
      </c>
    </row>
    <row r="365" spans="9:71" x14ac:dyDescent="0.25">
      <c r="I365" t="s">
        <v>838</v>
      </c>
    </row>
    <row r="366" spans="9:71" x14ac:dyDescent="0.25">
      <c r="I366" t="s">
        <v>879</v>
      </c>
    </row>
    <row r="367" spans="9:71" x14ac:dyDescent="0.25">
      <c r="I367" t="s">
        <v>880</v>
      </c>
    </row>
    <row r="368" spans="9:71" x14ac:dyDescent="0.25">
      <c r="I368" t="s">
        <v>881</v>
      </c>
    </row>
    <row r="369" spans="9:9" x14ac:dyDescent="0.25">
      <c r="I369" t="s">
        <v>882</v>
      </c>
    </row>
    <row r="370" spans="9:9" x14ac:dyDescent="0.25">
      <c r="I370" t="s">
        <v>883</v>
      </c>
    </row>
    <row r="371" spans="9:9" x14ac:dyDescent="0.25">
      <c r="I371" t="s">
        <v>369</v>
      </c>
    </row>
    <row r="372" spans="9:9" x14ac:dyDescent="0.25">
      <c r="I372" t="s">
        <v>884</v>
      </c>
    </row>
    <row r="373" spans="9:9" x14ac:dyDescent="0.25">
      <c r="I373" t="s">
        <v>885</v>
      </c>
    </row>
  </sheetData>
  <sheetProtection algorithmName="SHA-512" hashValue="zhHglPBF8rztO2VAJd4MUdNYlZ5LY8i3bKvuT5p6aH9B715YkYqBsPPZ5HQU1ooZO9sP1Rkir/ZvDseOk6wlBQ==" saltValue="EqLY+Z1be7wUoOfl8KtNGA==" spinCount="100000" sheet="1" selectLockedCells="1"/>
  <autoFilter ref="A8:R279" xr:uid="{00000000-0001-0000-0300-00000000000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sortState xmlns:xlrd2="http://schemas.microsoft.com/office/spreadsheetml/2017/richdata2" ref="E312:F395">
    <sortCondition ref="F312:F395"/>
  </sortState>
  <mergeCells count="14">
    <mergeCell ref="BO8:BQ8"/>
    <mergeCell ref="BJ8:BL8"/>
    <mergeCell ref="BD8:BF8"/>
    <mergeCell ref="BG8:BI8"/>
    <mergeCell ref="AX260:BC260"/>
    <mergeCell ref="AX261:BC261"/>
    <mergeCell ref="AE7:AG7"/>
    <mergeCell ref="AX262:BC262"/>
    <mergeCell ref="AX263:BC263"/>
    <mergeCell ref="F8:R8"/>
    <mergeCell ref="U8:Z8"/>
    <mergeCell ref="AM8:AQ8"/>
    <mergeCell ref="AS8:AW8"/>
    <mergeCell ref="AY8:BC8"/>
  </mergeCells>
  <phoneticPr fontId="51"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387"/>
  <sheetViews>
    <sheetView zoomScale="85" zoomScaleNormal="85" zoomScalePageLayoutView="30" workbookViewId="0">
      <pane ySplit="9" topLeftCell="A32" activePane="bottomLeft" state="frozen"/>
      <selection pane="bottomLeft" activeCell="S8" sqref="S8"/>
    </sheetView>
  </sheetViews>
  <sheetFormatPr defaultColWidth="9.140625" defaultRowHeight="15" x14ac:dyDescent="0.25"/>
  <cols>
    <col min="1" max="1" width="4.5703125" style="16" customWidth="1"/>
    <col min="2" max="2" width="3.42578125" style="16" customWidth="1"/>
    <col min="3" max="3" width="7.85546875" style="16" customWidth="1"/>
    <col min="4" max="4" width="9.5703125" style="58" customWidth="1"/>
    <col min="5" max="5" width="62" style="1" customWidth="1"/>
    <col min="6" max="6" width="9.42578125" style="1" customWidth="1"/>
    <col min="7" max="7" width="18.5703125" style="1" customWidth="1"/>
    <col min="8" max="8" width="9.5703125" style="1" customWidth="1"/>
    <col min="9" max="9" width="13.140625" style="1" customWidth="1"/>
    <col min="10" max="10" width="8.140625" style="1" customWidth="1"/>
    <col min="11" max="11" width="5.140625" style="1" customWidth="1"/>
    <col min="12" max="12" width="31.5703125" style="571" customWidth="1"/>
    <col min="13" max="13" width="1" style="106" customWidth="1"/>
    <col min="14" max="14" width="8.5703125" style="574" customWidth="1"/>
    <col min="15" max="15" width="9.5703125" style="574" customWidth="1"/>
    <col min="16" max="16" width="12.42578125" style="574" bestFit="1" customWidth="1"/>
    <col min="17" max="17" width="9" style="574" customWidth="1"/>
    <col min="18" max="18" width="4.85546875" style="574" customWidth="1"/>
    <col min="19" max="19" width="28.140625" style="574" customWidth="1"/>
    <col min="20" max="20" width="1" style="117" customWidth="1"/>
    <col min="21" max="22" width="9.28515625" style="226" customWidth="1"/>
    <col min="23" max="23" width="12.42578125" style="226" bestFit="1" customWidth="1"/>
    <col min="24" max="24" width="7.7109375" style="226" customWidth="1"/>
    <col min="25" max="25" width="4.85546875" style="226" customWidth="1"/>
    <col min="26" max="26" width="29.7109375" style="574" customWidth="1"/>
    <col min="27" max="27" width="1" style="20" hidden="1" customWidth="1"/>
    <col min="28" max="28" width="22.28515625" style="20" hidden="1" customWidth="1"/>
    <col min="29" max="29" width="6.42578125" style="116" hidden="1" customWidth="1"/>
    <col min="30" max="30" width="15.7109375" style="225" hidden="1" customWidth="1"/>
    <col min="31" max="32" width="9.140625" style="225" hidden="1" customWidth="1"/>
    <col min="33" max="34" width="9.140625" style="1" hidden="1" customWidth="1"/>
    <col min="35" max="35" width="7.140625" style="1" hidden="1" customWidth="1"/>
    <col min="36" max="36" width="43" style="1" hidden="1" customWidth="1"/>
    <col min="37" max="37" width="11.85546875" style="1" hidden="1" customWidth="1"/>
    <col min="38" max="38" width="27" style="1" hidden="1" customWidth="1"/>
    <col min="39" max="42" width="8.5703125" style="1" hidden="1" customWidth="1"/>
    <col min="43" max="51" width="9.140625" style="1" hidden="1" customWidth="1"/>
    <col min="52" max="52" width="7" style="1" hidden="1" customWidth="1"/>
    <col min="53" max="53" width="9.140625" style="1" hidden="1" customWidth="1"/>
    <col min="54" max="86" width="9.140625" style="1" customWidth="1"/>
    <col min="87" max="16384" width="9.140625" style="1"/>
  </cols>
  <sheetData>
    <row r="1" spans="1:58" ht="42" customHeight="1" x14ac:dyDescent="0.35">
      <c r="A1" s="795"/>
      <c r="B1" s="795"/>
      <c r="C1" s="795"/>
      <c r="D1" s="550"/>
      <c r="E1" s="231" t="s">
        <v>940</v>
      </c>
      <c r="F1" s="232"/>
      <c r="G1" s="232"/>
      <c r="H1" s="231"/>
      <c r="I1" s="232"/>
      <c r="J1" s="232"/>
      <c r="K1" s="232"/>
      <c r="L1" s="864"/>
      <c r="M1" s="232"/>
      <c r="N1" s="232"/>
      <c r="O1" s="232"/>
      <c r="P1" s="232"/>
      <c r="Q1" s="232"/>
      <c r="R1" s="232"/>
      <c r="S1" s="232"/>
      <c r="T1" s="232"/>
      <c r="U1" s="232"/>
      <c r="V1" s="232"/>
      <c r="W1" s="232"/>
      <c r="X1" s="232"/>
      <c r="Y1" s="232"/>
      <c r="Z1" s="478" t="str">
        <f>IF('Manuell filtrering og justering'!I2='Manuell filtrering og justering'!J2,"Bespoke","")</f>
        <v/>
      </c>
      <c r="AA1" s="232"/>
      <c r="AB1" s="232"/>
      <c r="AC1" s="232"/>
      <c r="AD1" s="1"/>
      <c r="AE1" s="1"/>
      <c r="AF1" s="1"/>
      <c r="AI1" s="506" t="s">
        <v>405</v>
      </c>
      <c r="AJ1" s="505"/>
      <c r="AK1" s="505"/>
      <c r="AL1" s="505"/>
      <c r="AM1" s="505"/>
      <c r="AN1" s="505"/>
      <c r="AO1" s="505"/>
      <c r="AP1" s="505"/>
      <c r="AQ1" s="505"/>
      <c r="AR1" s="505"/>
      <c r="AS1" s="505"/>
      <c r="AT1" s="505"/>
      <c r="AU1" s="505"/>
      <c r="AV1" s="505"/>
      <c r="AW1" s="505"/>
      <c r="AX1" s="505"/>
      <c r="AY1" s="505"/>
      <c r="AZ1" s="505"/>
      <c r="BA1" s="505"/>
    </row>
    <row r="2" spans="1:58" s="58" customFormat="1" ht="6" customHeight="1" x14ac:dyDescent="0.25">
      <c r="A2" s="16"/>
      <c r="B2" s="16"/>
      <c r="C2" s="16"/>
      <c r="E2" s="88">
        <v>1</v>
      </c>
      <c r="F2" s="89">
        <v>2</v>
      </c>
      <c r="G2" s="88">
        <v>3</v>
      </c>
      <c r="H2" s="89">
        <v>4</v>
      </c>
      <c r="I2" s="88">
        <v>5</v>
      </c>
      <c r="J2" s="89">
        <v>6</v>
      </c>
      <c r="K2" s="88">
        <v>7</v>
      </c>
      <c r="L2" s="89">
        <v>8</v>
      </c>
      <c r="M2" s="88">
        <v>9</v>
      </c>
      <c r="N2" s="89">
        <v>10</v>
      </c>
      <c r="O2" s="88">
        <v>11</v>
      </c>
      <c r="P2" s="89">
        <v>12</v>
      </c>
      <c r="Q2" s="88">
        <v>13</v>
      </c>
      <c r="R2" s="89">
        <v>14</v>
      </c>
      <c r="S2" s="88">
        <v>15</v>
      </c>
      <c r="T2" s="89">
        <v>16</v>
      </c>
      <c r="U2" s="88">
        <v>17</v>
      </c>
      <c r="V2" s="89">
        <v>18</v>
      </c>
      <c r="W2" s="88">
        <v>19</v>
      </c>
      <c r="X2" s="89">
        <v>20</v>
      </c>
      <c r="Y2" s="88">
        <v>21</v>
      </c>
      <c r="Z2" s="89">
        <v>22</v>
      </c>
      <c r="AA2" s="88">
        <v>23</v>
      </c>
      <c r="AB2" s="89">
        <v>24</v>
      </c>
      <c r="AC2" s="88">
        <v>25</v>
      </c>
      <c r="AD2" s="89">
        <v>26</v>
      </c>
      <c r="AE2" s="88">
        <v>27</v>
      </c>
      <c r="AF2" s="89">
        <v>28</v>
      </c>
      <c r="AG2" s="88">
        <v>29</v>
      </c>
      <c r="AH2" s="89">
        <v>30</v>
      </c>
      <c r="AI2" s="88">
        <v>31</v>
      </c>
      <c r="AJ2" s="89">
        <v>32</v>
      </c>
      <c r="AK2" s="88">
        <v>33</v>
      </c>
      <c r="AL2" s="89">
        <v>34</v>
      </c>
      <c r="AM2" s="88">
        <v>35</v>
      </c>
      <c r="AN2" s="89">
        <v>36</v>
      </c>
      <c r="AO2" s="88">
        <v>37</v>
      </c>
      <c r="AP2" s="89">
        <v>38</v>
      </c>
      <c r="AQ2" s="88">
        <v>39</v>
      </c>
      <c r="AR2" s="89">
        <v>40</v>
      </c>
      <c r="AS2" s="88">
        <v>41</v>
      </c>
      <c r="AT2" s="89">
        <v>42</v>
      </c>
      <c r="AU2" s="88">
        <v>43</v>
      </c>
      <c r="AV2" s="89">
        <v>44</v>
      </c>
      <c r="AW2" s="88">
        <v>45</v>
      </c>
      <c r="AX2" s="89">
        <v>46</v>
      </c>
      <c r="AY2" s="88">
        <v>47</v>
      </c>
      <c r="AZ2" s="89">
        <v>48</v>
      </c>
      <c r="BA2" s="88">
        <v>49</v>
      </c>
    </row>
    <row r="3" spans="1:58" ht="20.25" customHeight="1" x14ac:dyDescent="0.4">
      <c r="E3" s="245"/>
      <c r="F3" s="90"/>
      <c r="G3" s="1574" t="s">
        <v>206</v>
      </c>
      <c r="H3" s="1575"/>
      <c r="I3" s="1575"/>
      <c r="J3" s="1575"/>
      <c r="K3" s="1575"/>
      <c r="L3" s="553"/>
      <c r="M3" s="609"/>
      <c r="N3" s="1574" t="s">
        <v>210</v>
      </c>
      <c r="O3" s="1575"/>
      <c r="P3" s="1575"/>
      <c r="Q3" s="1575"/>
      <c r="R3" s="1575"/>
      <c r="S3" s="1576"/>
      <c r="T3" s="1401"/>
      <c r="U3" s="1574" t="s">
        <v>211</v>
      </c>
      <c r="V3" s="1575"/>
      <c r="W3" s="1575"/>
      <c r="X3" s="1575"/>
      <c r="Y3" s="1575"/>
      <c r="Z3" s="1576"/>
      <c r="AA3" s="1401"/>
      <c r="AB3" s="518" t="s">
        <v>403</v>
      </c>
      <c r="AC3" s="479"/>
      <c r="AD3" s="479"/>
      <c r="AE3" s="479"/>
      <c r="AF3" s="480"/>
      <c r="AJ3" s="1" t="s">
        <v>382</v>
      </c>
      <c r="AK3" s="1" t="str">
        <f>ADPT</f>
        <v>New Construction (fully fitted)</v>
      </c>
    </row>
    <row r="4" spans="1:58" ht="15" customHeight="1" x14ac:dyDescent="0.25">
      <c r="E4" s="91" t="s">
        <v>19</v>
      </c>
      <c r="F4" s="87"/>
      <c r="G4" s="92" t="s">
        <v>296</v>
      </c>
      <c r="H4" s="93"/>
      <c r="I4" s="753"/>
      <c r="J4" s="753"/>
      <c r="K4" s="754"/>
      <c r="L4" s="94" t="str">
        <f>BP_BREEAMRating</f>
        <v>Unclassified</v>
      </c>
      <c r="M4" s="554"/>
      <c r="N4" s="695" t="str">
        <f>IF(S8=Poeng!D278,Poeng!E278,Poeng!F278)</f>
        <v>Indicative BREEAM-NOR rating</v>
      </c>
      <c r="O4" s="610"/>
      <c r="P4" s="610"/>
      <c r="Q4" s="610"/>
      <c r="R4" s="610"/>
      <c r="S4" s="611" t="str">
        <f>IF(S8=AD_no,"",Poeng!BH265)</f>
        <v>Unclassified</v>
      </c>
      <c r="T4" s="76"/>
      <c r="U4" s="697" t="str">
        <f>IF(Z8=Poeng!D278,Poeng!E279,Poeng!F279)</f>
        <v>Indicative BREEAM-NOR rating</v>
      </c>
      <c r="V4" s="612"/>
      <c r="W4" s="612"/>
      <c r="X4" s="612"/>
      <c r="Y4" s="612"/>
      <c r="Z4" s="611" t="str">
        <f>IF(Z8=AD_no,"",Poeng!BK265)</f>
        <v>Unclassified</v>
      </c>
      <c r="AA4" s="87"/>
      <c r="AB4" s="1577" t="s">
        <v>439</v>
      </c>
      <c r="AC4" s="20"/>
      <c r="AD4" s="15"/>
      <c r="AE4" s="15"/>
      <c r="AF4" s="15"/>
      <c r="AG4" s="15"/>
      <c r="AJ4" s="40" t="str">
        <f>IF(OR(AK3=AK4,AK3=AK5),ais_ja,ais_nei)</f>
        <v>Nei</v>
      </c>
      <c r="AK4" s="1" t="str">
        <f>ADPT02</f>
        <v>New Construction (shell only)</v>
      </c>
      <c r="AU4" s="17"/>
      <c r="AV4" s="17"/>
      <c r="AW4" s="17"/>
      <c r="AX4" s="17"/>
    </row>
    <row r="5" spans="1:58" ht="15" customHeight="1" x14ac:dyDescent="0.25">
      <c r="E5" s="95" t="str">
        <f>IF(ISBLANK(ADBN),"",ADBN)</f>
        <v/>
      </c>
      <c r="F5" s="87"/>
      <c r="G5" s="96" t="s">
        <v>80</v>
      </c>
      <c r="H5" s="97"/>
      <c r="I5" s="755"/>
      <c r="J5" s="755"/>
      <c r="K5" s="98"/>
      <c r="L5" s="235">
        <f>Score_Initial</f>
        <v>0</v>
      </c>
      <c r="M5" s="554"/>
      <c r="N5" s="696" t="s">
        <v>80</v>
      </c>
      <c r="O5" s="613"/>
      <c r="P5" s="613"/>
      <c r="Q5" s="613"/>
      <c r="R5" s="613"/>
      <c r="S5" s="614">
        <f>IF(S8=AD_no,"",Score_design)</f>
        <v>0</v>
      </c>
      <c r="T5" s="76"/>
      <c r="U5" s="698" t="s">
        <v>80</v>
      </c>
      <c r="V5" s="615"/>
      <c r="W5" s="615"/>
      <c r="X5" s="615"/>
      <c r="Y5" s="615"/>
      <c r="Z5" s="614">
        <f>IF(Z8=AD_no,"",Score_const)</f>
        <v>0</v>
      </c>
      <c r="AA5" s="87"/>
      <c r="AB5" s="1578"/>
      <c r="AC5" s="20"/>
      <c r="AD5" s="236"/>
      <c r="AE5" s="236"/>
      <c r="AF5" s="236"/>
      <c r="AG5" s="236"/>
      <c r="AK5" s="484" t="str">
        <f>ADPT04</f>
        <v>Major Refurbishment (shell only)</v>
      </c>
    </row>
    <row r="6" spans="1:58" ht="15" customHeight="1" x14ac:dyDescent="0.25">
      <c r="E6" s="858" t="str">
        <f>"Pre-Assessment Estimator Version: "&amp;TVC_current_version</f>
        <v>Pre-Assessment Estimator Version: 1.2</v>
      </c>
      <c r="F6" s="87"/>
      <c r="G6" s="96" t="s">
        <v>75</v>
      </c>
      <c r="H6" s="97"/>
      <c r="I6" s="755"/>
      <c r="J6" s="755"/>
      <c r="K6" s="98"/>
      <c r="L6" s="99" t="str">
        <f>Poeng!BE259</f>
        <v>Unclassified &lt;30%</v>
      </c>
      <c r="M6" s="554"/>
      <c r="N6" s="696" t="s">
        <v>75</v>
      </c>
      <c r="O6" s="613"/>
      <c r="P6" s="613"/>
      <c r="Q6" s="613"/>
      <c r="R6" s="613"/>
      <c r="S6" s="616" t="str">
        <f>IF(S8=AD_no,"",Poeng!BH259)</f>
        <v>Unclassified &lt;30%</v>
      </c>
      <c r="T6" s="76"/>
      <c r="U6" s="698" t="s">
        <v>75</v>
      </c>
      <c r="V6" s="615"/>
      <c r="W6" s="615"/>
      <c r="X6" s="615"/>
      <c r="Y6" s="615"/>
      <c r="Z6" s="616" t="str">
        <f>IF(Z8=AD_no,"",Poeng!BK259)</f>
        <v>Unclassified &lt;30%</v>
      </c>
      <c r="AA6" s="87"/>
      <c r="AB6" s="1578"/>
      <c r="AC6" s="20"/>
      <c r="AD6" s="236"/>
      <c r="AE6" s="236"/>
      <c r="AF6" s="236"/>
      <c r="AG6" s="236"/>
      <c r="AJ6" s="1" t="s">
        <v>388</v>
      </c>
      <c r="AK6"/>
      <c r="AL6"/>
      <c r="AM6"/>
      <c r="AN6"/>
      <c r="AO6"/>
      <c r="AP6"/>
      <c r="AQ6" s="20"/>
      <c r="AR6" s="20"/>
      <c r="AS6" s="20"/>
      <c r="AT6" s="20"/>
      <c r="AU6" s="20"/>
      <c r="AV6" s="20"/>
      <c r="AW6" s="20"/>
      <c r="AX6" s="20"/>
      <c r="AY6" s="20"/>
      <c r="AZ6" s="20"/>
      <c r="BA6" s="20"/>
      <c r="BB6" s="20"/>
      <c r="BC6" s="20"/>
      <c r="BD6" s="323"/>
      <c r="BE6" s="323"/>
      <c r="BF6" s="323"/>
    </row>
    <row r="7" spans="1:58" ht="15" customHeight="1" thickBot="1" x14ac:dyDescent="0.3">
      <c r="E7" s="95" t="str">
        <f>ADPT</f>
        <v>New Construction (fully fitted)</v>
      </c>
      <c r="F7" s="87"/>
      <c r="G7" s="855" t="s">
        <v>948</v>
      </c>
      <c r="H7" s="856"/>
      <c r="I7" s="856"/>
      <c r="J7" s="856"/>
      <c r="K7" s="856"/>
      <c r="L7" s="857" t="str">
        <f>Poeng!BR259</f>
        <v>No</v>
      </c>
      <c r="M7" s="554"/>
      <c r="N7" s="696" t="str">
        <f>G7</f>
        <v xml:space="preserve">Requirements for EU taxonomy </v>
      </c>
      <c r="O7" s="613"/>
      <c r="P7" s="613"/>
      <c r="Q7" s="613"/>
      <c r="R7" s="613"/>
      <c r="S7" s="616" t="str">
        <f>IF(S8=AD_no,"",Poeng!BS259)</f>
        <v>No</v>
      </c>
      <c r="T7" s="76"/>
      <c r="U7" s="698" t="str">
        <f>G7</f>
        <v xml:space="preserve">Requirements for EU taxonomy </v>
      </c>
      <c r="V7" s="615"/>
      <c r="W7" s="615"/>
      <c r="X7" s="615"/>
      <c r="Y7" s="615"/>
      <c r="Z7" s="616" t="str">
        <f>IF(Z8=AD_no,"",Poeng!BT259)</f>
        <v>No</v>
      </c>
      <c r="AA7" s="87"/>
      <c r="AB7" s="1578"/>
      <c r="AC7" s="20"/>
      <c r="AD7" s="236"/>
      <c r="AE7" s="236"/>
      <c r="AF7" s="236"/>
      <c r="AG7" s="236"/>
      <c r="AK7"/>
      <c r="AL7"/>
      <c r="AM7"/>
      <c r="AN7"/>
      <c r="AO7"/>
      <c r="AP7"/>
      <c r="AQ7" s="20"/>
      <c r="AR7" s="20"/>
      <c r="AS7" s="20"/>
      <c r="AT7" s="20"/>
      <c r="AU7" s="20"/>
      <c r="AV7" s="20"/>
      <c r="AW7" s="20"/>
      <c r="AX7" s="20"/>
      <c r="AY7" s="20"/>
      <c r="AZ7" s="20"/>
      <c r="BA7" s="20"/>
      <c r="BB7" s="20"/>
      <c r="BC7" s="20"/>
      <c r="BD7" s="323"/>
      <c r="BE7" s="323"/>
      <c r="BF7" s="323"/>
    </row>
    <row r="8" spans="1:58" ht="15" customHeight="1" x14ac:dyDescent="0.25">
      <c r="E8" s="859" t="str">
        <f>IF(OR(Poeng!BF265=1,Poeng!BI265=1,Poeng!BL265=1),Poeng!AX270,"")</f>
        <v/>
      </c>
      <c r="F8" s="87"/>
      <c r="G8" s="100"/>
      <c r="H8" s="87"/>
      <c r="I8" s="20"/>
      <c r="J8" s="20"/>
      <c r="K8" s="20"/>
      <c r="L8" s="694"/>
      <c r="M8" s="554"/>
      <c r="N8" s="696" t="s">
        <v>285</v>
      </c>
      <c r="O8" s="613"/>
      <c r="P8" s="613"/>
      <c r="Q8" s="613"/>
      <c r="R8" s="613"/>
      <c r="S8" s="617" t="s">
        <v>12</v>
      </c>
      <c r="T8" s="76"/>
      <c r="U8" s="698" t="s">
        <v>285</v>
      </c>
      <c r="V8" s="615"/>
      <c r="W8" s="615"/>
      <c r="X8" s="615"/>
      <c r="Y8" s="615"/>
      <c r="Z8" s="617" t="s">
        <v>12</v>
      </c>
      <c r="AA8" s="87"/>
      <c r="AB8" s="1578"/>
      <c r="AC8" s="20"/>
      <c r="AD8" s="1572" t="s">
        <v>244</v>
      </c>
      <c r="AE8" s="1573"/>
      <c r="AF8" s="1573"/>
      <c r="AG8" s="236"/>
      <c r="AJ8" s="40" t="str">
        <f>IF(ADBT0=ADBT12,ais_nei,ais_ja)</f>
        <v>Ja</v>
      </c>
      <c r="AK8" s="210"/>
      <c r="AL8" s="210"/>
      <c r="AM8" s="210"/>
      <c r="AN8"/>
      <c r="AO8"/>
      <c r="AP8"/>
      <c r="AQ8" s="20"/>
      <c r="AR8" s="20"/>
      <c r="AS8" s="20"/>
      <c r="AT8" s="20"/>
      <c r="AU8" s="20"/>
      <c r="AV8" s="20"/>
      <c r="AW8" s="20"/>
      <c r="AX8" s="20"/>
      <c r="AY8" s="20"/>
      <c r="AZ8" s="20"/>
      <c r="BA8" s="20"/>
      <c r="BB8" s="20"/>
      <c r="BC8" s="20"/>
      <c r="BD8" s="15"/>
      <c r="BE8" s="15"/>
      <c r="BF8" s="15"/>
    </row>
    <row r="9" spans="1:58" ht="30" customHeight="1" x14ac:dyDescent="0.3">
      <c r="A9" s="1409" t="s">
        <v>207</v>
      </c>
      <c r="B9" s="1409" t="s">
        <v>208</v>
      </c>
      <c r="C9" s="551"/>
      <c r="D9" s="551"/>
      <c r="E9" s="901" t="s">
        <v>987</v>
      </c>
      <c r="F9" s="234" t="s">
        <v>96</v>
      </c>
      <c r="G9" s="101" t="s">
        <v>39</v>
      </c>
      <c r="H9" s="102" t="s">
        <v>806</v>
      </c>
      <c r="I9" s="103" t="s">
        <v>859</v>
      </c>
      <c r="J9" s="233" t="s">
        <v>283</v>
      </c>
      <c r="K9" s="243" t="s">
        <v>248</v>
      </c>
      <c r="L9" s="244" t="s">
        <v>249</v>
      </c>
      <c r="M9" s="554"/>
      <c r="N9" s="682" t="s">
        <v>39</v>
      </c>
      <c r="O9" s="681" t="s">
        <v>806</v>
      </c>
      <c r="P9" s="681" t="s">
        <v>859</v>
      </c>
      <c r="Q9" s="104" t="s">
        <v>283</v>
      </c>
      <c r="R9" s="104" t="s">
        <v>248</v>
      </c>
      <c r="S9" s="105" t="s">
        <v>249</v>
      </c>
      <c r="T9" s="106"/>
      <c r="U9" s="682" t="s">
        <v>39</v>
      </c>
      <c r="V9" s="681" t="s">
        <v>806</v>
      </c>
      <c r="W9" s="681" t="s">
        <v>859</v>
      </c>
      <c r="X9" s="104" t="s">
        <v>283</v>
      </c>
      <c r="Y9" s="104" t="s">
        <v>248</v>
      </c>
      <c r="Z9" s="105" t="s">
        <v>249</v>
      </c>
      <c r="AB9" s="521" t="str">
        <f>IF(AJ4=ais_ja,"Shell/core compliance?","")</f>
        <v/>
      </c>
      <c r="AC9" s="20"/>
      <c r="AD9" s="66" t="s">
        <v>245</v>
      </c>
      <c r="AE9" s="65" t="s">
        <v>246</v>
      </c>
      <c r="AF9" s="65" t="s">
        <v>247</v>
      </c>
      <c r="AI9" s="64" t="s">
        <v>406</v>
      </c>
      <c r="AY9" s="20"/>
      <c r="AZ9" s="20"/>
      <c r="BA9" s="20"/>
      <c r="BB9" s="20"/>
      <c r="BC9" s="20"/>
      <c r="BD9" s="15"/>
      <c r="BE9" s="15"/>
      <c r="BF9" s="15"/>
    </row>
    <row r="10" spans="1:58" ht="34.5" customHeight="1" x14ac:dyDescent="0.25">
      <c r="A10" s="1410">
        <v>1</v>
      </c>
      <c r="B10" s="1411" t="s">
        <v>57</v>
      </c>
      <c r="C10" s="800"/>
      <c r="D10" s="627"/>
      <c r="E10" s="670" t="s">
        <v>11</v>
      </c>
      <c r="F10" s="671"/>
      <c r="G10" s="672"/>
      <c r="H10" s="671"/>
      <c r="I10" s="671"/>
      <c r="J10" s="673"/>
      <c r="K10" s="674"/>
      <c r="L10" s="675"/>
      <c r="M10" s="618"/>
      <c r="N10" s="619"/>
      <c r="O10" s="565"/>
      <c r="P10" s="565"/>
      <c r="Q10" s="620"/>
      <c r="R10" s="620"/>
      <c r="S10" s="557"/>
      <c r="T10" s="276"/>
      <c r="U10" s="289"/>
      <c r="V10" s="288"/>
      <c r="W10" s="288"/>
      <c r="X10" s="621"/>
      <c r="Y10" s="621"/>
      <c r="Z10" s="622"/>
      <c r="AA10" s="116"/>
      <c r="AB10" s="486"/>
      <c r="AC10" s="20">
        <f t="shared" ref="AC10:AC78" si="0">IF(F10="",1,IF(F10=0,2,1))</f>
        <v>1</v>
      </c>
      <c r="AD10" s="237">
        <v>0</v>
      </c>
      <c r="AE10" s="237">
        <v>0</v>
      </c>
      <c r="AF10" s="237">
        <v>0</v>
      </c>
      <c r="AI10" s="64"/>
      <c r="AJ10" s="507" t="s">
        <v>11</v>
      </c>
      <c r="AK10" s="485"/>
      <c r="AL10" s="485"/>
      <c r="AM10" s="485"/>
      <c r="AN10" s="485"/>
      <c r="AO10" s="485"/>
      <c r="AP10" s="485"/>
      <c r="AR10" s="485"/>
      <c r="AS10" s="485"/>
      <c r="AT10" s="485"/>
      <c r="AU10" s="485"/>
      <c r="AV10" s="215"/>
      <c r="AW10" s="215"/>
      <c r="AX10" s="215"/>
      <c r="AY10" s="20"/>
      <c r="AZ10" s="274"/>
      <c r="BA10" s="20"/>
      <c r="BB10" s="20"/>
      <c r="BC10" s="20"/>
      <c r="BD10" s="15"/>
      <c r="BE10" s="15"/>
      <c r="BF10" s="15"/>
    </row>
    <row r="11" spans="1:58" x14ac:dyDescent="0.25">
      <c r="A11" s="1410">
        <v>2</v>
      </c>
      <c r="B11" s="1411" t="s">
        <v>57</v>
      </c>
      <c r="C11" s="690" t="s">
        <v>87</v>
      </c>
      <c r="D11" s="628" t="s">
        <v>87</v>
      </c>
      <c r="E11" s="662" t="str">
        <f>VLOOKUP(D11,Poeng!$B$10:$R$252,Poeng!E$1,FALSE)</f>
        <v>Man 01 Project brief and design</v>
      </c>
      <c r="F11" s="667">
        <f>VLOOKUP(D11,Poeng!$B$10:$AB$252,Poeng!AB$1,FALSE)</f>
        <v>5</v>
      </c>
      <c r="G11" s="741"/>
      <c r="H11" s="668" t="str">
        <f>VLOOKUP(D11,Poeng!$B$10:$AI$252,Poeng!AI$1,FALSE)&amp;" c. "&amp;ROUND(VLOOKUP(D11,Poeng!$B$10:$AE$252,Poeng!AE$1,FALSE)*100,1)&amp;" %"</f>
        <v>0 c. 0 %</v>
      </c>
      <c r="I11" s="689" t="str">
        <f>VLOOKUP(D11,Poeng!$B$10:$BE$252,Poeng!BE$1,FALSE)</f>
        <v>N/A</v>
      </c>
      <c r="J11" s="676"/>
      <c r="K11" s="677"/>
      <c r="L11" s="678"/>
      <c r="M11" s="623"/>
      <c r="N11" s="742"/>
      <c r="O11" s="679" t="str">
        <f>VLOOKUP(D11,Poeng!$B$10:$BC$252,Poeng!AJ$1,FALSE)&amp;" c. "&amp;ROUND(VLOOKUP(D11,Poeng!$B$10:$BC$252,Poeng!AF$1,FALSE)*100,1)&amp;" %"</f>
        <v>0 c. 0 %</v>
      </c>
      <c r="P11" s="679" t="str">
        <f>VLOOKUP(D11,Poeng!$B$10:$BE$252,Poeng!BE$1,FALSE)</f>
        <v>N/A</v>
      </c>
      <c r="Q11" s="558"/>
      <c r="R11" s="559"/>
      <c r="S11" s="552"/>
      <c r="T11" s="276"/>
      <c r="U11" s="742"/>
      <c r="V11" s="679" t="str">
        <f>VLOOKUP(D11,Poeng!$B$10:$BC$252,Poeng!AK$1,FALSE)&amp;" c. "&amp;ROUND(VLOOKUP(D11,Poeng!$B$10:$BC$252,Poeng!AG$1,FALSE)*100,1)&amp;" %"</f>
        <v>0 c. 0 %</v>
      </c>
      <c r="W11" s="679" t="str">
        <f>VLOOKUP(D11,Poeng!$B$10:$BK$252,Poeng!BK$1,FALSE)</f>
        <v>N/A</v>
      </c>
      <c r="X11" s="75"/>
      <c r="Y11" s="74"/>
      <c r="Z11" s="552"/>
      <c r="AA11" s="117"/>
      <c r="AB11" s="481" t="s">
        <v>13</v>
      </c>
      <c r="AC11" s="20">
        <f t="shared" si="0"/>
        <v>1</v>
      </c>
      <c r="AD11" s="1" t="e">
        <f>VLOOKUP(K11,'Assessment Details'!$O$49:$P$52,2,FALSE)</f>
        <v>#N/A</v>
      </c>
      <c r="AE11" s="1" t="e">
        <f>VLOOKUP(R11,'Assessment Details'!$O$49:$P$52,2,FALSE)</f>
        <v>#N/A</v>
      </c>
      <c r="AF11" s="1" t="e">
        <f>VLOOKUP(Y11,'Assessment Details'!$O$49:$P$52,2,FALSE)</f>
        <v>#N/A</v>
      </c>
      <c r="AI11" s="64"/>
      <c r="AJ11" s="507" t="s">
        <v>289</v>
      </c>
      <c r="AK11" s="487" t="s">
        <v>13</v>
      </c>
      <c r="AL11" s="489" t="s">
        <v>12</v>
      </c>
      <c r="AM11" s="64"/>
      <c r="AN11" s="64"/>
      <c r="AO11" s="64"/>
      <c r="AP11" s="64"/>
      <c r="AS11" s="20" t="str">
        <f>IF($AJ$4=ais_nei,AIS_NA,IF(AK11="",AIS_NA,AK11))</f>
        <v>N/A</v>
      </c>
      <c r="AT11" s="20" t="str">
        <f t="shared" ref="AT11:AT94" si="1">IF($AJ$4=ais_nei,AIS_NA,IF(AL11="",AIS_NA,AL11))</f>
        <v>N/A</v>
      </c>
      <c r="AU11" s="20" t="str">
        <f t="shared" ref="AU11:AU94" si="2">IF($AJ$4=ais_nei,AIS_NA,IF(AM11="",AIS_NA,AM11))</f>
        <v>N/A</v>
      </c>
      <c r="AV11" s="20"/>
      <c r="AW11" s="20"/>
      <c r="AX11" s="20"/>
      <c r="AY11" s="20"/>
      <c r="AZ11" s="481"/>
      <c r="BA11" s="20"/>
      <c r="BB11" s="20"/>
      <c r="BC11" s="20"/>
      <c r="BD11" s="15"/>
      <c r="BE11" s="15"/>
      <c r="BF11" s="15"/>
    </row>
    <row r="12" spans="1:58" x14ac:dyDescent="0.25">
      <c r="A12" s="1410">
        <v>3</v>
      </c>
      <c r="B12" s="1411" t="s">
        <v>57</v>
      </c>
      <c r="C12" s="109" t="s">
        <v>87</v>
      </c>
      <c r="D12" s="16" t="s">
        <v>691</v>
      </c>
      <c r="E12" s="663" t="str">
        <f>VLOOKUP(D12,Poeng!$B$10:$R$252,Poeng!E$1,FALSE)</f>
        <v>Planning project delivery</v>
      </c>
      <c r="F12" s="107">
        <f>VLOOKUP(D12,Poeng!$B$10:$AB$252,Poeng!AB$1,FALSE)</f>
        <v>1</v>
      </c>
      <c r="G12" s="1166">
        <f>'Assessment Issue Scoring'!G17</f>
        <v>0</v>
      </c>
      <c r="H12" s="108">
        <f>VLOOKUP(D12,Poeng!$B$10:$AE$252,Poeng!AE$1,FALSE)</f>
        <v>0</v>
      </c>
      <c r="I12" s="109" t="str">
        <f>VLOOKUP(D12,Poeng!$B$10:$BE$252,Poeng!BE$1,FALSE)</f>
        <v>Very Good</v>
      </c>
      <c r="J12" s="74"/>
      <c r="K12" s="241"/>
      <c r="L12" s="608"/>
      <c r="M12" s="817"/>
      <c r="N12" s="77"/>
      <c r="O12" s="108">
        <f>VLOOKUP(D12,Poeng!$B$10:$BC$252,Poeng!AF$1,FALSE)</f>
        <v>0</v>
      </c>
      <c r="P12" s="108" t="str">
        <f>VLOOKUP(D12,Poeng!$B$10:$BH$252,Poeng!BH$1,FALSE)</f>
        <v>Very Good</v>
      </c>
      <c r="Q12" s="558"/>
      <c r="R12" s="559"/>
      <c r="S12" s="552"/>
      <c r="T12" s="276"/>
      <c r="U12" s="77"/>
      <c r="V12" s="108">
        <f>VLOOKUP(D12,Poeng!$B$10:$BC$252,Poeng!AG$1,FALSE)</f>
        <v>0</v>
      </c>
      <c r="W12" s="108" t="str">
        <f>VLOOKUP(D12,Poeng!$B$10:$BK$252,Poeng!BK$1,FALSE)</f>
        <v>Very Good</v>
      </c>
      <c r="X12" s="75"/>
      <c r="Y12" s="74"/>
      <c r="Z12" s="552"/>
      <c r="AC12" s="20">
        <f t="shared" si="0"/>
        <v>1</v>
      </c>
      <c r="AD12" s="1" t="e">
        <f>VLOOKUP(K12,'Assessment Details'!$O$49:$P$52,2,FALSE)</f>
        <v>#N/A</v>
      </c>
      <c r="AE12" s="1" t="e">
        <f>VLOOKUP(R12,'Assessment Details'!$O$49:$P$52,2,FALSE)</f>
        <v>#N/A</v>
      </c>
      <c r="AF12" s="1" t="e">
        <f>VLOOKUP(Y12,'Assessment Details'!$O$49:$P$52,2,FALSE)</f>
        <v>#N/A</v>
      </c>
    </row>
    <row r="13" spans="1:58" x14ac:dyDescent="0.25">
      <c r="A13" s="1410">
        <v>4</v>
      </c>
      <c r="B13" s="1411" t="s">
        <v>57</v>
      </c>
      <c r="C13" s="109" t="s">
        <v>87</v>
      </c>
      <c r="D13" s="16" t="s">
        <v>692</v>
      </c>
      <c r="E13" s="663" t="str">
        <f>VLOOKUP(D13,Poeng!$B$10:$R$252,Poeng!E$1,FALSE)</f>
        <v>Climate gas calculation for whole building life cycle</v>
      </c>
      <c r="F13" s="107">
        <f>VLOOKUP(D13,Poeng!$B$10:$AB$252,Poeng!AB$1,FALSE)</f>
        <v>1</v>
      </c>
      <c r="G13" s="1166">
        <f>'Assessment Issue Scoring'!G18</f>
        <v>0</v>
      </c>
      <c r="H13" s="108">
        <f>VLOOKUP(D13,Poeng!$B$10:$AE$252,Poeng!AE$1,FALSE)</f>
        <v>0</v>
      </c>
      <c r="I13" s="109" t="str">
        <f>VLOOKUP(D13,Poeng!$B$10:$BE$252,Poeng!BE$1,FALSE)</f>
        <v>Very Good</v>
      </c>
      <c r="J13" s="74"/>
      <c r="K13" s="241"/>
      <c r="L13" s="608"/>
      <c r="M13" s="817"/>
      <c r="N13" s="77"/>
      <c r="O13" s="108">
        <f>VLOOKUP(D13,Poeng!$B$10:$BC$252,Poeng!AF$1,FALSE)</f>
        <v>0</v>
      </c>
      <c r="P13" s="108" t="str">
        <f>VLOOKUP(D13,Poeng!$B$10:$BH$252,Poeng!BH$1,FALSE)</f>
        <v>Very Good</v>
      </c>
      <c r="Q13" s="558"/>
      <c r="R13" s="559"/>
      <c r="S13" s="552"/>
      <c r="T13" s="276"/>
      <c r="U13" s="77"/>
      <c r="V13" s="108">
        <f>VLOOKUP(D13,Poeng!$B$10:$BC$252,Poeng!AG$1,FALSE)</f>
        <v>0</v>
      </c>
      <c r="W13" s="108" t="str">
        <f>VLOOKUP(D13,Poeng!$B$10:$BK$252,Poeng!BK$1,FALSE)</f>
        <v>Very Good</v>
      </c>
      <c r="X13" s="75"/>
      <c r="Y13" s="74"/>
      <c r="Z13" s="552"/>
      <c r="AC13" s="20">
        <f t="shared" si="0"/>
        <v>1</v>
      </c>
      <c r="AD13" s="1" t="e">
        <f>VLOOKUP(K13,'Assessment Details'!$O$49:$P$52,2,FALSE)</f>
        <v>#N/A</v>
      </c>
      <c r="AE13" s="1" t="e">
        <f>VLOOKUP(R13,'Assessment Details'!$O$49:$P$52,2,FALSE)</f>
        <v>#N/A</v>
      </c>
      <c r="AF13" s="1" t="e">
        <f>VLOOKUP(Y13,'Assessment Details'!$O$49:$P$52,2,FALSE)</f>
        <v>#N/A</v>
      </c>
    </row>
    <row r="14" spans="1:58" x14ac:dyDescent="0.25">
      <c r="A14" s="1410">
        <v>5</v>
      </c>
      <c r="B14" s="1411" t="s">
        <v>57</v>
      </c>
      <c r="C14" s="109" t="s">
        <v>87</v>
      </c>
      <c r="D14" s="16" t="s">
        <v>1969</v>
      </c>
      <c r="E14" s="663" t="str">
        <f>VLOOKUP(D14,Poeng!$B$10:$R$257,Poeng!E$1,FALSE)</f>
        <v>EU taxonomy requirements: criterion 3</v>
      </c>
      <c r="F14" s="107" t="str">
        <f>VLOOKUP(D14,Poeng!$B$10:$AB$257,Poeng!AB$1,FALSE)</f>
        <v>Yes/No</v>
      </c>
      <c r="G14" s="1261" t="str">
        <f>'Assessment Issue Scoring'!E19</f>
        <v>Please select</v>
      </c>
      <c r="H14" s="108" t="str">
        <f>VLOOKUP(D14,Poeng!$B$10:$AE$257,Poeng!AE$1,FALSE)</f>
        <v>-</v>
      </c>
      <c r="I14" s="109" t="str">
        <f>VLOOKUP(D14,Poeng!$B$10:$BE$257,Poeng!BE$1,FALSE)</f>
        <v>N/A</v>
      </c>
      <c r="J14" s="74"/>
      <c r="K14" s="241"/>
      <c r="L14" s="608"/>
      <c r="M14" s="817"/>
      <c r="N14" s="77"/>
      <c r="O14" s="108" t="str">
        <f>VLOOKUP(D14,Poeng!$B$10:$BC$257,Poeng!AF$1,FALSE)</f>
        <v>-</v>
      </c>
      <c r="P14" s="108" t="str">
        <f>VLOOKUP(D14,Poeng!$B$10:$BH$257,Poeng!BH$1,FALSE)</f>
        <v>N/A</v>
      </c>
      <c r="Q14" s="558"/>
      <c r="R14" s="559"/>
      <c r="S14" s="552"/>
      <c r="T14" s="276"/>
      <c r="U14" s="77"/>
      <c r="V14" s="108" t="str">
        <f>VLOOKUP(D14,Poeng!$B$10:$BC$257,Poeng!AG$1,FALSE)</f>
        <v>-</v>
      </c>
      <c r="W14" s="108" t="str">
        <f>VLOOKUP(D14,Poeng!$B$10:$BK$257,Poeng!BK$1,FALSE)</f>
        <v>N/A</v>
      </c>
      <c r="X14" s="75"/>
      <c r="Y14" s="74"/>
      <c r="Z14" s="552"/>
      <c r="AC14" s="20"/>
      <c r="AD14" s="1"/>
      <c r="AE14" s="1"/>
      <c r="AF14" s="1"/>
    </row>
    <row r="15" spans="1:58" x14ac:dyDescent="0.25">
      <c r="A15" s="1410">
        <v>6</v>
      </c>
      <c r="B15" s="1411" t="s">
        <v>57</v>
      </c>
      <c r="C15" s="109" t="s">
        <v>87</v>
      </c>
      <c r="D15" s="16" t="s">
        <v>693</v>
      </c>
      <c r="E15" s="663" t="str">
        <f>VLOOKUP(D15,Poeng!$B$10:$R$252,Poeng!E$1,FALSE)</f>
        <v>Third party stakeholder consultation</v>
      </c>
      <c r="F15" s="107">
        <f>VLOOKUP(D15,Poeng!$B$10:$AB$252,Poeng!AB$1,FALSE)</f>
        <v>1</v>
      </c>
      <c r="G15" s="1166">
        <f>'Assessment Issue Scoring'!G20</f>
        <v>0</v>
      </c>
      <c r="H15" s="108">
        <f>VLOOKUP(D15,Poeng!$B$10:$AE$252,Poeng!AE$1,FALSE)</f>
        <v>0</v>
      </c>
      <c r="I15" s="109" t="str">
        <f>VLOOKUP(D15,Poeng!$B$10:$BE$252,Poeng!BE$1,FALSE)</f>
        <v>N/A</v>
      </c>
      <c r="J15" s="74"/>
      <c r="K15" s="241"/>
      <c r="L15" s="552"/>
      <c r="M15" s="817"/>
      <c r="N15" s="77"/>
      <c r="O15" s="108">
        <f>VLOOKUP(D15,Poeng!$B$10:$BC$252,Poeng!AF$1,FALSE)</f>
        <v>0</v>
      </c>
      <c r="P15" s="108" t="str">
        <f>VLOOKUP(D15,Poeng!$B$10:$BH$252,Poeng!BH$1,FALSE)</f>
        <v>N/A</v>
      </c>
      <c r="Q15" s="558"/>
      <c r="R15" s="559"/>
      <c r="S15" s="552"/>
      <c r="T15" s="276"/>
      <c r="U15" s="77"/>
      <c r="V15" s="108">
        <f>VLOOKUP(D15,Poeng!$B$10:$BC$252,Poeng!AG$1,FALSE)</f>
        <v>0</v>
      </c>
      <c r="W15" s="108" t="str">
        <f>VLOOKUP(D15,Poeng!$B$10:$BK$252,Poeng!BK$1,FALSE)</f>
        <v>N/A</v>
      </c>
      <c r="X15" s="75"/>
      <c r="Y15" s="74"/>
      <c r="Z15" s="552"/>
      <c r="AC15" s="20">
        <f t="shared" si="0"/>
        <v>1</v>
      </c>
      <c r="AD15" s="1" t="e">
        <f>VLOOKUP(K15,'Assessment Details'!$O$49:$P$52,2,FALSE)</f>
        <v>#N/A</v>
      </c>
      <c r="AE15" s="1" t="e">
        <f>VLOOKUP(R15,'Assessment Details'!$O$49:$P$52,2,FALSE)</f>
        <v>#N/A</v>
      </c>
      <c r="AF15" s="1" t="e">
        <f>VLOOKUP(Y15,'Assessment Details'!$O$49:$P$52,2,FALSE)</f>
        <v>#N/A</v>
      </c>
    </row>
    <row r="16" spans="1:58" x14ac:dyDescent="0.25">
      <c r="A16" s="1410">
        <v>7</v>
      </c>
      <c r="B16" s="1411" t="s">
        <v>57</v>
      </c>
      <c r="C16" s="109" t="s">
        <v>87</v>
      </c>
      <c r="D16" s="16" t="s">
        <v>694</v>
      </c>
      <c r="E16" s="663" t="str">
        <f>VLOOKUP(D16,Poeng!$B$10:$R$252,Poeng!E$1,FALSE)</f>
        <v>BREEAM-NOR AP (stage 2 and 3)</v>
      </c>
      <c r="F16" s="107">
        <f>VLOOKUP(D16,Poeng!$B$10:$AB$252,Poeng!AB$1,FALSE)</f>
        <v>1</v>
      </c>
      <c r="G16" s="1166">
        <f>'Assessment Issue Scoring'!G21</f>
        <v>0</v>
      </c>
      <c r="H16" s="108">
        <f>VLOOKUP(D16,Poeng!$B$10:$AE$252,Poeng!AE$1,FALSE)</f>
        <v>0</v>
      </c>
      <c r="I16" s="109" t="str">
        <f>VLOOKUP(D16,Poeng!$B$10:$BE$252,Poeng!BE$1,FALSE)</f>
        <v>N/A</v>
      </c>
      <c r="J16" s="74"/>
      <c r="K16" s="241"/>
      <c r="L16" s="608"/>
      <c r="M16" s="817"/>
      <c r="N16" s="77"/>
      <c r="O16" s="108">
        <f>VLOOKUP(D16,Poeng!$B$10:$BC$252,Poeng!AF$1,FALSE)</f>
        <v>0</v>
      </c>
      <c r="P16" s="108" t="str">
        <f>VLOOKUP(D16,Poeng!$B$10:$BH$252,Poeng!BH$1,FALSE)</f>
        <v>N/A</v>
      </c>
      <c r="Q16" s="558"/>
      <c r="R16" s="559"/>
      <c r="S16" s="552"/>
      <c r="T16" s="276"/>
      <c r="U16" s="77"/>
      <c r="V16" s="108">
        <f>VLOOKUP(D16,Poeng!$B$10:$BC$252,Poeng!AG$1,FALSE)</f>
        <v>0</v>
      </c>
      <c r="W16" s="108" t="str">
        <f>VLOOKUP(D16,Poeng!$B$10:$BK$252,Poeng!BK$1,FALSE)</f>
        <v>N/A</v>
      </c>
      <c r="X16" s="75"/>
      <c r="Y16" s="74"/>
      <c r="Z16" s="552"/>
      <c r="AC16" s="20">
        <f t="shared" si="0"/>
        <v>1</v>
      </c>
      <c r="AD16" s="1" t="e">
        <f>VLOOKUP(K16,'Assessment Details'!$O$49:$P$52,2,FALSE)</f>
        <v>#N/A</v>
      </c>
      <c r="AE16" s="1" t="e">
        <f>VLOOKUP(R16,'Assessment Details'!$O$49:$P$52,2,FALSE)</f>
        <v>#N/A</v>
      </c>
      <c r="AF16" s="1" t="e">
        <f>VLOOKUP(Y16,'Assessment Details'!$O$49:$P$52,2,FALSE)</f>
        <v>#N/A</v>
      </c>
    </row>
    <row r="17" spans="1:58" x14ac:dyDescent="0.25">
      <c r="A17" s="1410">
        <v>8</v>
      </c>
      <c r="B17" s="1411" t="s">
        <v>57</v>
      </c>
      <c r="C17" s="109" t="s">
        <v>87</v>
      </c>
      <c r="D17" s="16" t="s">
        <v>695</v>
      </c>
      <c r="E17" s="663" t="str">
        <f>VLOOKUP(D17,Poeng!$B$10:$R$252,Poeng!E$1,FALSE)</f>
        <v>BREEAM-NOR AP (stage 4)</v>
      </c>
      <c r="F17" s="107">
        <f>VLOOKUP(D17,Poeng!$B$10:$AB$252,Poeng!AB$1,FALSE)</f>
        <v>1</v>
      </c>
      <c r="G17" s="1166">
        <f>'Assessment Issue Scoring'!G22</f>
        <v>0</v>
      </c>
      <c r="H17" s="108">
        <f>VLOOKUP(D17,Poeng!$B$10:$AE$252,Poeng!AE$1,FALSE)</f>
        <v>0</v>
      </c>
      <c r="I17" s="109" t="str">
        <f>VLOOKUP(D17,Poeng!$B$10:$BE$252,Poeng!BE$1,FALSE)</f>
        <v>N/A</v>
      </c>
      <c r="J17" s="74"/>
      <c r="K17" s="241"/>
      <c r="L17" s="608"/>
      <c r="M17" s="817"/>
      <c r="N17" s="77"/>
      <c r="O17" s="108">
        <f>VLOOKUP(D17,Poeng!$B$10:$BC$252,Poeng!AF$1,FALSE)</f>
        <v>0</v>
      </c>
      <c r="P17" s="108" t="str">
        <f>VLOOKUP(D17,Poeng!$B$10:$BH$252,Poeng!BH$1,FALSE)</f>
        <v>N/A</v>
      </c>
      <c r="Q17" s="558"/>
      <c r="R17" s="559"/>
      <c r="S17" s="552"/>
      <c r="T17" s="276"/>
      <c r="U17" s="77"/>
      <c r="V17" s="108">
        <f>VLOOKUP(D17,Poeng!$B$10:$BC$252,Poeng!AG$1,FALSE)</f>
        <v>0</v>
      </c>
      <c r="W17" s="108" t="str">
        <f>VLOOKUP(D17,Poeng!$B$10:$BK$252,Poeng!BK$1,FALSE)</f>
        <v>N/A</v>
      </c>
      <c r="X17" s="75"/>
      <c r="Y17" s="74"/>
      <c r="Z17" s="552"/>
      <c r="AC17" s="20">
        <f t="shared" si="0"/>
        <v>1</v>
      </c>
      <c r="AD17" s="1" t="e">
        <f>VLOOKUP(K17,'Assessment Details'!$O$49:$P$52,2,FALSE)</f>
        <v>#N/A</v>
      </c>
      <c r="AE17" s="1" t="e">
        <f>VLOOKUP(R17,'Assessment Details'!$O$49:$P$52,2,FALSE)</f>
        <v>#N/A</v>
      </c>
      <c r="AF17" s="1" t="e">
        <f>VLOOKUP(Y17,'Assessment Details'!$O$49:$P$52,2,FALSE)</f>
        <v>#N/A</v>
      </c>
    </row>
    <row r="18" spans="1:58" x14ac:dyDescent="0.25">
      <c r="A18" s="1410">
        <v>9</v>
      </c>
      <c r="B18" s="1411" t="s">
        <v>57</v>
      </c>
      <c r="C18" s="690" t="s">
        <v>88</v>
      </c>
      <c r="D18" s="628" t="s">
        <v>88</v>
      </c>
      <c r="E18" s="662" t="str">
        <f>VLOOKUP(D18,Poeng!$B$10:$R$252,Poeng!E$1,FALSE)</f>
        <v>Man 02 Life cycle cost and service life planning</v>
      </c>
      <c r="F18" s="667">
        <f>VLOOKUP(D18,Poeng!$B$10:$AB$252,Poeng!AB$1,FALSE)</f>
        <v>3</v>
      </c>
      <c r="G18" s="742"/>
      <c r="H18" s="668" t="str">
        <f>VLOOKUP(D18,Poeng!$B$10:$AI$252,Poeng!AI$1,FALSE)&amp;" c. "&amp;ROUND(VLOOKUP(D18,Poeng!$B$10:$AE$252,Poeng!AE$1,FALSE)*100,1)&amp;" %"</f>
        <v>0 c. 0 %</v>
      </c>
      <c r="I18" s="690" t="str">
        <f>VLOOKUP(D18,Poeng!$B$10:$BE$252,Poeng!BE$1,FALSE)</f>
        <v>N/A</v>
      </c>
      <c r="J18" s="74"/>
      <c r="K18" s="241"/>
      <c r="L18" s="608"/>
      <c r="M18" s="623"/>
      <c r="N18" s="742"/>
      <c r="O18" s="679" t="str">
        <f>VLOOKUP(D18,Poeng!$B$10:$BC$252,Poeng!AJ$1,FALSE)&amp;" c. "&amp;ROUND(VLOOKUP(D18,Poeng!$B$10:$BC$252,Poeng!AF$1,FALSE)*100,1)&amp;" %"</f>
        <v>0 c. 0 %</v>
      </c>
      <c r="P18" s="108" t="str">
        <f>VLOOKUP(D18,Poeng!$B$10:$BH$252,Poeng!BH$1,FALSE)</f>
        <v>N/A</v>
      </c>
      <c r="Q18" s="558"/>
      <c r="R18" s="559"/>
      <c r="S18" s="552"/>
      <c r="T18" s="276"/>
      <c r="U18" s="742"/>
      <c r="V18" s="679" t="str">
        <f>VLOOKUP(D18,Poeng!$B$10:$BC$252,Poeng!AK$1,FALSE)&amp;" c. "&amp;ROUND(VLOOKUP(D18,Poeng!$B$10:$BC$252,Poeng!AG$1,FALSE)*100,1)&amp;" %"</f>
        <v>0 c. 0 %</v>
      </c>
      <c r="W18" s="108" t="str">
        <f>VLOOKUP(D18,Poeng!$B$10:$BK$252,Poeng!BK$1,FALSE)</f>
        <v>N/A</v>
      </c>
      <c r="X18" s="75"/>
      <c r="Y18" s="74"/>
      <c r="Z18" s="552"/>
      <c r="AA18" s="117"/>
      <c r="AB18" s="481" t="s">
        <v>13</v>
      </c>
      <c r="AC18" s="20">
        <f t="shared" si="0"/>
        <v>1</v>
      </c>
      <c r="AD18" s="1" t="e">
        <f>VLOOKUP(K18,'Assessment Details'!$O$49:$P$52,2,FALSE)</f>
        <v>#N/A</v>
      </c>
      <c r="AE18" s="1" t="e">
        <f>VLOOKUP(R18,'Assessment Details'!$O$49:$P$52,2,FALSE)</f>
        <v>#N/A</v>
      </c>
      <c r="AF18" s="1" t="e">
        <f>VLOOKUP(Y18,'Assessment Details'!$O$49:$P$52,2,FALSE)</f>
        <v>#N/A</v>
      </c>
      <c r="AI18" s="64"/>
      <c r="AJ18" s="507" t="s">
        <v>290</v>
      </c>
      <c r="AK18" s="487" t="s">
        <v>13</v>
      </c>
      <c r="AL18" s="489" t="s">
        <v>12</v>
      </c>
      <c r="AM18" s="64"/>
      <c r="AN18" s="64"/>
      <c r="AO18" s="64"/>
      <c r="AP18" s="64"/>
      <c r="AS18" s="20" t="str">
        <f t="shared" ref="AS18:AS94" si="3">IF($AJ$4=ais_nei,AIS_NA,IF(AK18="",AIS_NA,AK18))</f>
        <v>N/A</v>
      </c>
      <c r="AT18" s="20" t="str">
        <f t="shared" si="1"/>
        <v>N/A</v>
      </c>
      <c r="AU18" s="20" t="str">
        <f t="shared" si="2"/>
        <v>N/A</v>
      </c>
      <c r="AV18" s="20"/>
      <c r="AW18" s="20"/>
      <c r="AX18" s="20"/>
      <c r="AY18" s="15"/>
      <c r="AZ18" s="481"/>
      <c r="BA18" s="15"/>
      <c r="BB18" s="15"/>
      <c r="BC18" s="15"/>
      <c r="BD18" s="15"/>
      <c r="BE18" s="15"/>
      <c r="BF18" s="15"/>
    </row>
    <row r="19" spans="1:58" x14ac:dyDescent="0.25">
      <c r="A19" s="1410">
        <v>10</v>
      </c>
      <c r="B19" s="1411" t="s">
        <v>57</v>
      </c>
      <c r="C19" s="109" t="s">
        <v>88</v>
      </c>
      <c r="D19" s="628" t="s">
        <v>696</v>
      </c>
      <c r="E19" s="663" t="str">
        <f>VLOOKUP(D19,Poeng!$B$10:$R$252,Poeng!E$1,FALSE)</f>
        <v>Elemental life cycle cost (LCC) and capital cost reporting</v>
      </c>
      <c r="F19" s="107">
        <f>VLOOKUP(D19,Poeng!$B$10:$AB$252,Poeng!AB$1,FALSE)</f>
        <v>2</v>
      </c>
      <c r="G19" s="1166">
        <f>'Assessment Issue Scoring'!G57</f>
        <v>0</v>
      </c>
      <c r="H19" s="108">
        <f>VLOOKUP(D19,Poeng!$B$10:$AE$252,Poeng!AE$1,FALSE)</f>
        <v>0</v>
      </c>
      <c r="I19" s="109" t="str">
        <f>VLOOKUP(D19,Poeng!$B$10:$BE$252,Poeng!BE$1,FALSE)</f>
        <v>N/A</v>
      </c>
      <c r="J19" s="74"/>
      <c r="K19" s="241"/>
      <c r="L19" s="608"/>
      <c r="M19" s="623"/>
      <c r="N19" s="77"/>
      <c r="O19" s="108">
        <f>VLOOKUP(D19,Poeng!$B$10:$BC$252,Poeng!AF$1,FALSE)</f>
        <v>0</v>
      </c>
      <c r="P19" s="108" t="str">
        <f>VLOOKUP(D19,Poeng!$B$10:$BH$252,Poeng!BH$1,FALSE)</f>
        <v>N/A</v>
      </c>
      <c r="Q19" s="558"/>
      <c r="R19" s="559"/>
      <c r="S19" s="552"/>
      <c r="T19" s="276"/>
      <c r="U19" s="77"/>
      <c r="V19" s="108">
        <f>VLOOKUP(D19,Poeng!$B$10:$BC$252,Poeng!AG$1,FALSE)</f>
        <v>0</v>
      </c>
      <c r="W19" s="108" t="str">
        <f>VLOOKUP(D19,Poeng!$B$10:$BK$252,Poeng!BK$1,FALSE)</f>
        <v>N/A</v>
      </c>
      <c r="X19" s="75"/>
      <c r="Y19" s="74"/>
      <c r="Z19" s="552"/>
      <c r="AA19" s="117"/>
      <c r="AB19" s="481"/>
      <c r="AC19" s="20">
        <f t="shared" si="0"/>
        <v>1</v>
      </c>
      <c r="AD19" s="1" t="e">
        <f>VLOOKUP(K19,'Assessment Details'!$O$49:$P$52,2,FALSE)</f>
        <v>#N/A</v>
      </c>
      <c r="AE19" s="1" t="e">
        <f>VLOOKUP(R19,'Assessment Details'!$O$49:$P$52,2,FALSE)</f>
        <v>#N/A</v>
      </c>
      <c r="AF19" s="1" t="e">
        <f>VLOOKUP(Y19,'Assessment Details'!$O$49:$P$52,2,FALSE)</f>
        <v>#N/A</v>
      </c>
      <c r="AI19" s="64"/>
      <c r="AJ19" s="507"/>
      <c r="AK19" s="487"/>
      <c r="AL19" s="489"/>
      <c r="AM19" s="64"/>
      <c r="AN19" s="64"/>
      <c r="AO19" s="64"/>
      <c r="AP19" s="64"/>
      <c r="AS19" s="20"/>
      <c r="AT19" s="20"/>
      <c r="AU19" s="20"/>
      <c r="AV19" s="20"/>
      <c r="AW19" s="20"/>
      <c r="AX19" s="20"/>
      <c r="AY19" s="15"/>
      <c r="AZ19" s="481"/>
      <c r="BA19" s="15"/>
      <c r="BB19" s="15"/>
      <c r="BC19" s="15"/>
      <c r="BD19" s="15"/>
      <c r="BE19" s="15"/>
      <c r="BF19" s="15"/>
    </row>
    <row r="20" spans="1:58" x14ac:dyDescent="0.25">
      <c r="A20" s="1410">
        <v>11</v>
      </c>
      <c r="B20" s="1411" t="s">
        <v>57</v>
      </c>
      <c r="C20" s="109" t="s">
        <v>88</v>
      </c>
      <c r="D20" s="628" t="s">
        <v>697</v>
      </c>
      <c r="E20" s="663" t="str">
        <f>VLOOKUP(D20,Poeng!$B$10:$R$252,Poeng!E$1,FALSE)</f>
        <v>Component level life option appraisal</v>
      </c>
      <c r="F20" s="107">
        <f>VLOOKUP(D20,Poeng!$B$10:$AB$252,Poeng!AB$1,FALSE)</f>
        <v>1</v>
      </c>
      <c r="G20" s="1166">
        <f>'Assessment Issue Scoring'!G60</f>
        <v>0</v>
      </c>
      <c r="H20" s="108">
        <f>VLOOKUP(D20,Poeng!$B$10:$AE$252,Poeng!AE$1,FALSE)</f>
        <v>0</v>
      </c>
      <c r="I20" s="109" t="str">
        <f>VLOOKUP(D20,Poeng!$B$10:$BE$252,Poeng!BE$1,FALSE)</f>
        <v>N/A</v>
      </c>
      <c r="J20" s="74"/>
      <c r="K20" s="241"/>
      <c r="L20" s="608"/>
      <c r="M20" s="623"/>
      <c r="N20" s="77"/>
      <c r="O20" s="108">
        <f>VLOOKUP(D20,Poeng!$B$10:$BC$252,Poeng!AF$1,FALSE)</f>
        <v>0</v>
      </c>
      <c r="P20" s="108" t="str">
        <f>VLOOKUP(D20,Poeng!$B$10:$BH$252,Poeng!BH$1,FALSE)</f>
        <v>N/A</v>
      </c>
      <c r="Q20" s="558"/>
      <c r="R20" s="559"/>
      <c r="S20" s="552"/>
      <c r="T20" s="276"/>
      <c r="U20" s="77"/>
      <c r="V20" s="108">
        <f>VLOOKUP(D20,Poeng!$B$10:$BC$252,Poeng!AG$1,FALSE)</f>
        <v>0</v>
      </c>
      <c r="W20" s="108" t="str">
        <f>VLOOKUP(D20,Poeng!$B$10:$BK$252,Poeng!BK$1,FALSE)</f>
        <v>N/A</v>
      </c>
      <c r="X20" s="75"/>
      <c r="Y20" s="74"/>
      <c r="Z20" s="552"/>
      <c r="AA20" s="117"/>
      <c r="AB20" s="481"/>
      <c r="AC20" s="20">
        <f t="shared" si="0"/>
        <v>1</v>
      </c>
      <c r="AD20" s="1" t="e">
        <f>VLOOKUP(K20,'Assessment Details'!$O$49:$P$52,2,FALSE)</f>
        <v>#N/A</v>
      </c>
      <c r="AE20" s="1" t="e">
        <f>VLOOKUP(R20,'Assessment Details'!$O$49:$P$52,2,FALSE)</f>
        <v>#N/A</v>
      </c>
      <c r="AF20" s="1" t="e">
        <f>VLOOKUP(Y20,'Assessment Details'!$O$49:$P$52,2,FALSE)</f>
        <v>#N/A</v>
      </c>
      <c r="AI20" s="64"/>
      <c r="AJ20" s="507"/>
      <c r="AK20" s="487"/>
      <c r="AL20" s="489"/>
      <c r="AM20" s="64"/>
      <c r="AN20" s="64"/>
      <c r="AO20" s="64"/>
      <c r="AP20" s="64"/>
      <c r="AS20" s="20"/>
      <c r="AT20" s="20"/>
      <c r="AU20" s="20"/>
      <c r="AV20" s="20"/>
      <c r="AW20" s="20"/>
      <c r="AX20" s="20"/>
      <c r="AY20" s="15"/>
      <c r="AZ20" s="481"/>
      <c r="BA20" s="15"/>
      <c r="BB20" s="15"/>
      <c r="BC20" s="15"/>
      <c r="BD20" s="15"/>
      <c r="BE20" s="15"/>
      <c r="BF20" s="15"/>
    </row>
    <row r="21" spans="1:58" x14ac:dyDescent="0.25">
      <c r="A21" s="1410">
        <v>12</v>
      </c>
      <c r="B21" s="1411" t="s">
        <v>57</v>
      </c>
      <c r="C21" s="690" t="s">
        <v>89</v>
      </c>
      <c r="D21" s="628" t="s">
        <v>89</v>
      </c>
      <c r="E21" s="662" t="str">
        <f>VLOOKUP(D21,Poeng!$B$10:$R$252,Poeng!E$1,FALSE)</f>
        <v>Man 03 Responsible construction practices</v>
      </c>
      <c r="F21" s="667">
        <f>VLOOKUP(D21,Poeng!$B$10:$AB$252,Poeng!AB$1,FALSE)</f>
        <v>7</v>
      </c>
      <c r="G21" s="742"/>
      <c r="H21" s="668" t="str">
        <f>VLOOKUP(D21,Poeng!$B$10:$AI$252,Poeng!AI$1,FALSE)&amp;" c. "&amp;ROUND(VLOOKUP(D21,Poeng!$B$10:$AE$252,Poeng!AE$1,FALSE)*100,1)&amp;" %"</f>
        <v>0 c. 0 %</v>
      </c>
      <c r="I21" s="690" t="str">
        <f>VLOOKUP(D21,Poeng!$B$10:$BE$252,Poeng!BE$1,FALSE)</f>
        <v>N/A</v>
      </c>
      <c r="J21" s="74"/>
      <c r="K21" s="241"/>
      <c r="L21" s="608"/>
      <c r="M21" s="623"/>
      <c r="N21" s="742"/>
      <c r="O21" s="679" t="str">
        <f>VLOOKUP(D21,Poeng!$B$10:$BC$252,Poeng!AJ$1,FALSE)&amp;" c. "&amp;ROUND(VLOOKUP(D21,Poeng!$B$10:$BC$252,Poeng!AF$1,FALSE)*100,1)&amp;" %"</f>
        <v>0 c. 0 %</v>
      </c>
      <c r="P21" s="108" t="str">
        <f>VLOOKUP(D21,Poeng!$B$10:$BH$252,Poeng!BH$1,FALSE)</f>
        <v>N/A</v>
      </c>
      <c r="Q21" s="558"/>
      <c r="R21" s="559"/>
      <c r="S21" s="552"/>
      <c r="T21" s="276"/>
      <c r="U21" s="742"/>
      <c r="V21" s="679" t="str">
        <f>VLOOKUP(D21,Poeng!$B$10:$BC$252,Poeng!AK$1,FALSE)&amp;" c. "&amp;ROUND(VLOOKUP(D21,Poeng!$B$10:$BC$252,Poeng!AG$1,FALSE)*100,1)&amp;" %"</f>
        <v>0 c. 0 %</v>
      </c>
      <c r="W21" s="108" t="str">
        <f>VLOOKUP(D21,Poeng!$B$10:$BK$252,Poeng!BK$1,FALSE)</f>
        <v>N/A</v>
      </c>
      <c r="X21" s="75"/>
      <c r="Y21" s="74"/>
      <c r="Z21" s="552"/>
      <c r="AA21" s="117"/>
      <c r="AB21" s="481" t="s">
        <v>14</v>
      </c>
      <c r="AC21" s="20">
        <f t="shared" si="0"/>
        <v>1</v>
      </c>
      <c r="AD21" s="1" t="e">
        <f>VLOOKUP(K21,'Assessment Details'!$O$49:$P$52,2,FALSE)</f>
        <v>#N/A</v>
      </c>
      <c r="AE21" s="1" t="e">
        <f>VLOOKUP(R21,'Assessment Details'!$O$49:$P$52,2,FALSE)</f>
        <v>#N/A</v>
      </c>
      <c r="AF21" s="1" t="e">
        <f>VLOOKUP(Y21,'Assessment Details'!$O$49:$P$52,2,FALSE)</f>
        <v>#N/A</v>
      </c>
      <c r="AI21" s="64"/>
      <c r="AJ21" s="507" t="s">
        <v>291</v>
      </c>
      <c r="AK21" s="64"/>
      <c r="AL21" s="64"/>
      <c r="AM21" s="64"/>
      <c r="AN21" s="64"/>
      <c r="AO21" s="64"/>
      <c r="AP21" s="64"/>
      <c r="AS21" s="20" t="str">
        <f t="shared" si="3"/>
        <v>N/A</v>
      </c>
      <c r="AT21" s="20" t="str">
        <f t="shared" si="1"/>
        <v>N/A</v>
      </c>
      <c r="AU21" s="20" t="str">
        <f t="shared" si="2"/>
        <v>N/A</v>
      </c>
      <c r="AV21" s="20"/>
      <c r="AW21" s="20"/>
      <c r="AX21" s="20"/>
      <c r="AY21" s="15"/>
      <c r="AZ21" s="481"/>
      <c r="BA21" s="15"/>
      <c r="BB21" s="15"/>
      <c r="BC21" s="15"/>
      <c r="BD21" s="15"/>
      <c r="BE21" s="15"/>
      <c r="BF21" s="15"/>
    </row>
    <row r="22" spans="1:58" x14ac:dyDescent="0.25">
      <c r="A22" s="1410">
        <v>13</v>
      </c>
      <c r="B22" s="1411" t="s">
        <v>57</v>
      </c>
      <c r="C22" s="109" t="s">
        <v>89</v>
      </c>
      <c r="D22" s="16" t="s">
        <v>698</v>
      </c>
      <c r="E22" s="663" t="str">
        <f>VLOOKUP(D22,Poeng!$B$10:$R$252,Poeng!E$1,FALSE)</f>
        <v>Environmental managment</v>
      </c>
      <c r="F22" s="107">
        <f>VLOOKUP(D22,Poeng!$B$10:$AB$252,Poeng!AB$1,FALSE)</f>
        <v>1</v>
      </c>
      <c r="G22" s="1166">
        <f>'Assessment Issue Scoring'!G85</f>
        <v>0</v>
      </c>
      <c r="H22" s="108">
        <f>VLOOKUP(D22,Poeng!$B$10:$AE$252,Poeng!AE$1,FALSE)</f>
        <v>0</v>
      </c>
      <c r="I22" s="109" t="str">
        <f>VLOOKUP(D22,Poeng!$B$10:$BE$252,Poeng!BE$1,FALSE)</f>
        <v>N/A</v>
      </c>
      <c r="J22" s="74"/>
      <c r="K22" s="241"/>
      <c r="L22" s="608"/>
      <c r="M22" s="817"/>
      <c r="N22" s="77"/>
      <c r="O22" s="108">
        <f>VLOOKUP(D22,Poeng!$B$10:$BC$252,Poeng!AF$1,FALSE)</f>
        <v>0</v>
      </c>
      <c r="P22" s="108" t="str">
        <f>VLOOKUP(D22,Poeng!$B$10:$BH$252,Poeng!BH$1,FALSE)</f>
        <v>N/A</v>
      </c>
      <c r="Q22" s="558"/>
      <c r="R22" s="559"/>
      <c r="S22" s="552"/>
      <c r="T22" s="276"/>
      <c r="U22" s="77"/>
      <c r="V22" s="108">
        <f>VLOOKUP(D22,Poeng!$B$10:$BC$252,Poeng!AG$1,FALSE)</f>
        <v>0</v>
      </c>
      <c r="W22" s="108" t="str">
        <f>VLOOKUP(D22,Poeng!$B$10:$BK$252,Poeng!BK$1,FALSE)</f>
        <v>N/A</v>
      </c>
      <c r="X22" s="75"/>
      <c r="Y22" s="74"/>
      <c r="Z22" s="552"/>
      <c r="AC22" s="20">
        <f t="shared" si="0"/>
        <v>1</v>
      </c>
      <c r="AD22" s="1" t="e">
        <f>VLOOKUP(K22,'Assessment Details'!$O$49:$P$52,2,FALSE)</f>
        <v>#N/A</v>
      </c>
      <c r="AE22" s="1" t="e">
        <f>VLOOKUP(R22,'Assessment Details'!$O$49:$P$52,2,FALSE)</f>
        <v>#N/A</v>
      </c>
      <c r="AF22" s="1" t="e">
        <f>VLOOKUP(Y22,'Assessment Details'!$O$49:$P$52,2,FALSE)</f>
        <v>#N/A</v>
      </c>
    </row>
    <row r="23" spans="1:58" x14ac:dyDescent="0.25">
      <c r="A23" s="1410">
        <v>14</v>
      </c>
      <c r="B23" s="1411" t="s">
        <v>57</v>
      </c>
      <c r="C23" s="109" t="s">
        <v>89</v>
      </c>
      <c r="D23" s="16" t="s">
        <v>699</v>
      </c>
      <c r="E23" s="663" t="str">
        <f>VLOOKUP(D23,Poeng!$B$10:$R$252,Poeng!E$1,FALSE)</f>
        <v>BREEAM-NOR AP and BREEAM performance targets (stage 5 and 6)</v>
      </c>
      <c r="F23" s="107">
        <f>VLOOKUP(D23,Poeng!$B$10:$AB$252,Poeng!AB$1,FALSE)</f>
        <v>1</v>
      </c>
      <c r="G23" s="1166">
        <f>'Assessment Issue Scoring'!G88</f>
        <v>0</v>
      </c>
      <c r="H23" s="108">
        <f>VLOOKUP(D23,Poeng!$B$10:$AE$252,Poeng!AE$1,FALSE)</f>
        <v>0</v>
      </c>
      <c r="I23" s="109" t="str">
        <f>VLOOKUP(D23,Poeng!$B$10:$BE$252,Poeng!BE$1,FALSE)</f>
        <v>N/A</v>
      </c>
      <c r="J23" s="74"/>
      <c r="K23" s="241"/>
      <c r="L23" s="608"/>
      <c r="M23" s="817"/>
      <c r="N23" s="77"/>
      <c r="O23" s="108">
        <f>VLOOKUP(D23,Poeng!$B$10:$BC$252,Poeng!AF$1,FALSE)</f>
        <v>0</v>
      </c>
      <c r="P23" s="108" t="str">
        <f>VLOOKUP(D23,Poeng!$B$10:$BH$252,Poeng!BH$1,FALSE)</f>
        <v>N/A</v>
      </c>
      <c r="Q23" s="558"/>
      <c r="R23" s="559"/>
      <c r="S23" s="552"/>
      <c r="T23" s="276"/>
      <c r="U23" s="77"/>
      <c r="V23" s="108">
        <f>VLOOKUP(D23,Poeng!$B$10:$BC$252,Poeng!AG$1,FALSE)</f>
        <v>0</v>
      </c>
      <c r="W23" s="108" t="str">
        <f>VLOOKUP(D23,Poeng!$B$10:$BK$252,Poeng!BK$1,FALSE)</f>
        <v>N/A</v>
      </c>
      <c r="X23" s="75"/>
      <c r="Y23" s="74"/>
      <c r="Z23" s="552"/>
      <c r="AC23" s="20">
        <f t="shared" si="0"/>
        <v>1</v>
      </c>
      <c r="AD23" s="1" t="e">
        <f>VLOOKUP(K23,'Assessment Details'!$O$49:$P$52,2,FALSE)</f>
        <v>#N/A</v>
      </c>
      <c r="AE23" s="1" t="e">
        <f>VLOOKUP(R23,'Assessment Details'!$O$49:$P$52,2,FALSE)</f>
        <v>#N/A</v>
      </c>
      <c r="AF23" s="1" t="e">
        <f>VLOOKUP(Y23,'Assessment Details'!$O$49:$P$52,2,FALSE)</f>
        <v>#N/A</v>
      </c>
    </row>
    <row r="24" spans="1:58" x14ac:dyDescent="0.25">
      <c r="A24" s="1410">
        <v>15</v>
      </c>
      <c r="B24" s="1411" t="s">
        <v>57</v>
      </c>
      <c r="C24" s="109" t="s">
        <v>89</v>
      </c>
      <c r="D24" s="16" t="s">
        <v>700</v>
      </c>
      <c r="E24" s="663" t="str">
        <f>VLOOKUP(D24,Poeng!$B$10:$R$252,Poeng!E$1,FALSE)</f>
        <v>Considerate contruction: clean and tidy building process and checklist A1 (EU taxonomy requirement: criterion 5-6)</v>
      </c>
      <c r="F24" s="107">
        <f>VLOOKUP(D24,Poeng!$B$10:$AB$252,Poeng!AB$1,FALSE)</f>
        <v>1</v>
      </c>
      <c r="G24" s="1166">
        <f>'Assessment Issue Scoring'!G91</f>
        <v>0</v>
      </c>
      <c r="H24" s="108">
        <f>VLOOKUP(D24,Poeng!$B$10:$AE$252,Poeng!AE$1,FALSE)</f>
        <v>0</v>
      </c>
      <c r="I24" s="109" t="str">
        <f>VLOOKUP(D24,Poeng!$B$10:$BE$252,Poeng!BE$1,FALSE)</f>
        <v>Unclassified</v>
      </c>
      <c r="J24" s="74"/>
      <c r="K24" s="241"/>
      <c r="L24" s="608"/>
      <c r="M24" s="817"/>
      <c r="N24" s="77"/>
      <c r="O24" s="108">
        <f>VLOOKUP(D24,Poeng!$B$10:$BC$252,Poeng!AF$1,FALSE)</f>
        <v>0</v>
      </c>
      <c r="P24" s="108" t="str">
        <f>VLOOKUP(D24,Poeng!$B$10:$BH$252,Poeng!BH$1,FALSE)</f>
        <v>Unclassified</v>
      </c>
      <c r="Q24" s="558"/>
      <c r="R24" s="559"/>
      <c r="S24" s="552"/>
      <c r="T24" s="276"/>
      <c r="U24" s="77"/>
      <c r="V24" s="108">
        <f>VLOOKUP(D24,Poeng!$B$10:$BC$252,Poeng!AG$1,FALSE)</f>
        <v>0</v>
      </c>
      <c r="W24" s="108" t="str">
        <f>VLOOKUP(D24,Poeng!$B$10:$BK$252,Poeng!BK$1,FALSE)</f>
        <v>Unclassified</v>
      </c>
      <c r="X24" s="75"/>
      <c r="Y24" s="74"/>
      <c r="Z24" s="552"/>
      <c r="AC24" s="20">
        <f t="shared" si="0"/>
        <v>1</v>
      </c>
      <c r="AD24" s="1" t="e">
        <f>VLOOKUP(K24,'Assessment Details'!$O$49:$P$52,2,FALSE)</f>
        <v>#N/A</v>
      </c>
      <c r="AE24" s="1" t="e">
        <f>VLOOKUP(R24,'Assessment Details'!$O$49:$P$52,2,FALSE)</f>
        <v>#N/A</v>
      </c>
      <c r="AF24" s="1" t="e">
        <f>VLOOKUP(Y24,'Assessment Details'!$O$49:$P$52,2,FALSE)</f>
        <v>#N/A</v>
      </c>
    </row>
    <row r="25" spans="1:58" x14ac:dyDescent="0.25">
      <c r="A25" s="1410">
        <v>16</v>
      </c>
      <c r="B25" s="1411" t="s">
        <v>57</v>
      </c>
      <c r="C25" s="109" t="s">
        <v>89</v>
      </c>
      <c r="D25" s="16" t="s">
        <v>701</v>
      </c>
      <c r="E25" s="663" t="str">
        <f>VLOOKUP(D25,Poeng!$B$10:$R$252,Poeng!E$1,FALSE)</f>
        <v>Considerate contruction: INSTA 800 and checklist A1 (EU taxonomy requirement: criterion 7-9)</v>
      </c>
      <c r="F25" s="107">
        <f>VLOOKUP(D25,Poeng!$B$10:$AB$252,Poeng!AB$1,FALSE)</f>
        <v>1</v>
      </c>
      <c r="G25" s="1166">
        <f>'Assessment Issue Scoring'!G92</f>
        <v>0</v>
      </c>
      <c r="H25" s="108">
        <f>VLOOKUP(D25,Poeng!$B$10:$AE$252,Poeng!AE$1,FALSE)</f>
        <v>0</v>
      </c>
      <c r="I25" s="109" t="str">
        <f>VLOOKUP(D25,Poeng!$B$10:$BE$252,Poeng!BE$1,FALSE)</f>
        <v>Good</v>
      </c>
      <c r="J25" s="74"/>
      <c r="K25" s="241"/>
      <c r="L25" s="608"/>
      <c r="M25" s="817"/>
      <c r="N25" s="77"/>
      <c r="O25" s="108">
        <f>VLOOKUP(D25,Poeng!$B$10:$BC$252,Poeng!AF$1,FALSE)</f>
        <v>0</v>
      </c>
      <c r="P25" s="108" t="str">
        <f>VLOOKUP(D25,Poeng!$B$10:$BH$252,Poeng!BH$1,FALSE)</f>
        <v>Good</v>
      </c>
      <c r="Q25" s="558"/>
      <c r="R25" s="559"/>
      <c r="S25" s="552"/>
      <c r="T25" s="276"/>
      <c r="U25" s="77"/>
      <c r="V25" s="108">
        <f>VLOOKUP(D25,Poeng!$B$10:$BC$252,Poeng!AG$1,FALSE)</f>
        <v>0</v>
      </c>
      <c r="W25" s="108" t="str">
        <f>VLOOKUP(D25,Poeng!$B$10:$BK$252,Poeng!BK$1,FALSE)</f>
        <v>Good</v>
      </c>
      <c r="X25" s="75"/>
      <c r="Y25" s="74"/>
      <c r="Z25" s="552"/>
      <c r="AC25" s="20">
        <f t="shared" si="0"/>
        <v>1</v>
      </c>
      <c r="AD25" s="1" t="e">
        <f>VLOOKUP(K25,'Assessment Details'!$O$49:$P$52,2,FALSE)</f>
        <v>#N/A</v>
      </c>
      <c r="AE25" s="1" t="e">
        <f>VLOOKUP(R25,'Assessment Details'!$O$49:$P$52,2,FALSE)</f>
        <v>#N/A</v>
      </c>
      <c r="AF25" s="1" t="e">
        <f>VLOOKUP(Y25,'Assessment Details'!$O$49:$P$52,2,FALSE)</f>
        <v>#N/A</v>
      </c>
    </row>
    <row r="26" spans="1:58" x14ac:dyDescent="0.25">
      <c r="A26" s="1410">
        <v>17</v>
      </c>
      <c r="B26" s="1411" t="s">
        <v>57</v>
      </c>
      <c r="C26" s="109" t="s">
        <v>89</v>
      </c>
      <c r="D26" s="16" t="s">
        <v>888</v>
      </c>
      <c r="E26" s="663" t="str">
        <f>VLOOKUP(D26,Poeng!$B$10:$R$252,Poeng!E$1,FALSE)</f>
        <v>Energy consumption from activities on the construction site (step 2-4)</v>
      </c>
      <c r="F26" s="107">
        <f>VLOOKUP(D26,Poeng!$B$10:$AB$252,Poeng!AB$1,FALSE)</f>
        <v>1</v>
      </c>
      <c r="G26" s="1166">
        <f>'Assessment Issue Scoring'!G95</f>
        <v>0</v>
      </c>
      <c r="H26" s="108">
        <f>VLOOKUP(D26,Poeng!$B$10:$AE$252,Poeng!AE$1,FALSE)</f>
        <v>0</v>
      </c>
      <c r="I26" s="109" t="str">
        <f>VLOOKUP(D26,Poeng!$B$10:$BE$252,Poeng!BE$1,FALSE)</f>
        <v>Very Good</v>
      </c>
      <c r="J26" s="74"/>
      <c r="K26" s="241"/>
      <c r="L26" s="608"/>
      <c r="M26" s="817"/>
      <c r="N26" s="77"/>
      <c r="O26" s="108">
        <f>VLOOKUP(D26,Poeng!$B$10:$BC$252,Poeng!AF$1,FALSE)</f>
        <v>0</v>
      </c>
      <c r="P26" s="108" t="str">
        <f>VLOOKUP(D26,Poeng!$B$10:$BH$252,Poeng!BH$1,FALSE)</f>
        <v>Very Good</v>
      </c>
      <c r="Q26" s="558"/>
      <c r="R26" s="559"/>
      <c r="S26" s="552"/>
      <c r="T26" s="276"/>
      <c r="U26" s="77"/>
      <c r="V26" s="108">
        <f>VLOOKUP(D26,Poeng!$B$10:$BC$252,Poeng!AG$1,FALSE)</f>
        <v>0</v>
      </c>
      <c r="W26" s="108" t="str">
        <f>VLOOKUP(D26,Poeng!$B$10:$BK$252,Poeng!BK$1,FALSE)</f>
        <v>Very Good</v>
      </c>
      <c r="X26" s="75"/>
      <c r="Y26" s="74"/>
      <c r="Z26" s="552"/>
      <c r="AC26" s="20">
        <f t="shared" si="0"/>
        <v>1</v>
      </c>
      <c r="AD26" s="1" t="e">
        <f>VLOOKUP(K26,'Assessment Details'!$O$49:$P$52,2,FALSE)</f>
        <v>#N/A</v>
      </c>
      <c r="AE26" s="1" t="e">
        <f>VLOOKUP(R26,'Assessment Details'!$O$49:$P$52,2,FALSE)</f>
        <v>#N/A</v>
      </c>
      <c r="AF26" s="1" t="e">
        <f>VLOOKUP(Y26,'Assessment Details'!$O$49:$P$52,2,FALSE)</f>
        <v>#N/A</v>
      </c>
    </row>
    <row r="27" spans="1:58" x14ac:dyDescent="0.25">
      <c r="A27" s="1410">
        <v>18</v>
      </c>
      <c r="B27" s="1411" t="s">
        <v>57</v>
      </c>
      <c r="C27" s="109" t="s">
        <v>89</v>
      </c>
      <c r="D27" s="16" t="s">
        <v>889</v>
      </c>
      <c r="E27" s="663" t="str">
        <f>VLOOKUP(D27,Poeng!$B$10:$R$252,Poeng!E$1,FALSE)</f>
        <v>Energy consumption from transport of masses and waste (step 2-4)</v>
      </c>
      <c r="F27" s="107">
        <f>VLOOKUP(D27,Poeng!$B$10:$AB$252,Poeng!AB$1,FALSE)</f>
        <v>2</v>
      </c>
      <c r="G27" s="1166">
        <f>'Assessment Issue Scoring'!G97</f>
        <v>0</v>
      </c>
      <c r="H27" s="108">
        <f>VLOOKUP(D27,Poeng!$B$10:$AE$252,Poeng!AE$1,FALSE)</f>
        <v>0</v>
      </c>
      <c r="I27" s="109" t="str">
        <f>VLOOKUP(D27,Poeng!$B$10:$BE$252,Poeng!BE$1,FALSE)</f>
        <v>Very Good</v>
      </c>
      <c r="J27" s="74"/>
      <c r="K27" s="241"/>
      <c r="L27" s="608"/>
      <c r="M27" s="817"/>
      <c r="N27" s="77"/>
      <c r="O27" s="108">
        <f>VLOOKUP(D27,Poeng!$B$10:$BC$252,Poeng!AF$1,FALSE)</f>
        <v>0</v>
      </c>
      <c r="P27" s="108" t="str">
        <f>VLOOKUP(D27,Poeng!$B$10:$BH$252,Poeng!BH$1,FALSE)</f>
        <v>Very Good</v>
      </c>
      <c r="Q27" s="558"/>
      <c r="R27" s="559"/>
      <c r="S27" s="552"/>
      <c r="T27" s="276"/>
      <c r="U27" s="77"/>
      <c r="V27" s="108">
        <f>VLOOKUP(D27,Poeng!$B$10:$BC$252,Poeng!AG$1,FALSE)</f>
        <v>0</v>
      </c>
      <c r="W27" s="108" t="str">
        <f>VLOOKUP(D27,Poeng!$B$10:$BK$252,Poeng!BK$1,FALSE)</f>
        <v>Very Good</v>
      </c>
      <c r="X27" s="75"/>
      <c r="Y27" s="74"/>
      <c r="Z27" s="552"/>
      <c r="AC27" s="20">
        <f t="shared" si="0"/>
        <v>1</v>
      </c>
      <c r="AD27" s="1" t="e">
        <f>VLOOKUP(K27,'Assessment Details'!$O$49:$P$52,2,FALSE)</f>
        <v>#N/A</v>
      </c>
      <c r="AE27" s="1" t="e">
        <f>VLOOKUP(R27,'Assessment Details'!$O$49:$P$52,2,FALSE)</f>
        <v>#N/A</v>
      </c>
      <c r="AF27" s="1" t="e">
        <f>VLOOKUP(Y27,'Assessment Details'!$O$49:$P$52,2,FALSE)</f>
        <v>#N/A</v>
      </c>
    </row>
    <row r="28" spans="1:58" x14ac:dyDescent="0.25">
      <c r="A28" s="1410">
        <v>19</v>
      </c>
      <c r="B28" s="1411" t="s">
        <v>57</v>
      </c>
      <c r="C28" s="690" t="s">
        <v>90</v>
      </c>
      <c r="D28" s="628" t="s">
        <v>90</v>
      </c>
      <c r="E28" s="662" t="str">
        <f>VLOOKUP(D28,Poeng!$B$10:$R$252,Poeng!E$1,FALSE)</f>
        <v>Man 04 Commissioning and handover</v>
      </c>
      <c r="F28" s="667">
        <f>VLOOKUP(D28,Poeng!$B$10:$AB$252,Poeng!AB$1,FALSE)</f>
        <v>3</v>
      </c>
      <c r="G28" s="742"/>
      <c r="H28" s="668" t="str">
        <f>VLOOKUP(D28,Poeng!$B$10:$AI$252,Poeng!AI$1,FALSE)&amp;" c. "&amp;ROUND(VLOOKUP(D28,Poeng!$B$10:$AE$252,Poeng!AE$1,FALSE)*100,1)&amp;" %"</f>
        <v>0 c. 0 %</v>
      </c>
      <c r="I28" s="690" t="str">
        <f>VLOOKUP(D28,Poeng!$B$10:$BE$252,Poeng!BE$1,FALSE)</f>
        <v>N/A</v>
      </c>
      <c r="J28" s="74"/>
      <c r="K28" s="241"/>
      <c r="L28" s="608"/>
      <c r="M28" s="623"/>
      <c r="N28" s="742"/>
      <c r="O28" s="679" t="str">
        <f>VLOOKUP(D28,Poeng!$B$10:$BC$252,Poeng!AJ$1,FALSE)&amp;" c. "&amp;ROUND(VLOOKUP(D28,Poeng!$B$10:$BC$252,Poeng!AF$1,FALSE)*100,1)&amp;" %"</f>
        <v>0 c. 0 %</v>
      </c>
      <c r="P28" s="108" t="str">
        <f>VLOOKUP(D28,Poeng!$B$10:$BH$252,Poeng!BH$1,FALSE)</f>
        <v>N/A</v>
      </c>
      <c r="Q28" s="558"/>
      <c r="R28" s="559"/>
      <c r="S28" s="552"/>
      <c r="T28" s="276"/>
      <c r="U28" s="742"/>
      <c r="V28" s="679" t="str">
        <f>VLOOKUP(D28,Poeng!$B$10:$BC$252,Poeng!AK$1,FALSE)&amp;" c. "&amp;ROUND(VLOOKUP(D28,Poeng!$B$10:$BC$252,Poeng!AG$1,FALSE)*100,1)&amp;" %"</f>
        <v>0 c. 0 %</v>
      </c>
      <c r="W28" s="108" t="str">
        <f>VLOOKUP(D28,Poeng!$B$10:$BK$252,Poeng!BK$1,FALSE)</f>
        <v>N/A</v>
      </c>
      <c r="X28" s="75"/>
      <c r="Y28" s="74"/>
      <c r="Z28" s="552"/>
      <c r="AA28" s="117"/>
      <c r="AB28" s="481" t="s">
        <v>13</v>
      </c>
      <c r="AC28" s="20">
        <f t="shared" si="0"/>
        <v>1</v>
      </c>
      <c r="AD28" s="1" t="e">
        <f>VLOOKUP(K28,'Assessment Details'!$O$49:$P$52,2,FALSE)</f>
        <v>#N/A</v>
      </c>
      <c r="AE28" s="1" t="e">
        <f>VLOOKUP(R28,'Assessment Details'!$O$49:$P$52,2,FALSE)</f>
        <v>#N/A</v>
      </c>
      <c r="AF28" s="1" t="e">
        <f>VLOOKUP(Y28,'Assessment Details'!$O$49:$P$52,2,FALSE)</f>
        <v>#N/A</v>
      </c>
      <c r="AI28" s="64"/>
      <c r="AJ28" s="507" t="s">
        <v>375</v>
      </c>
      <c r="AK28" s="487" t="s">
        <v>385</v>
      </c>
      <c r="AL28" s="487" t="s">
        <v>386</v>
      </c>
      <c r="AM28" s="487" t="s">
        <v>387</v>
      </c>
      <c r="AN28" s="64"/>
      <c r="AO28" s="64"/>
      <c r="AP28" s="64"/>
      <c r="AR28" s="1" t="s">
        <v>13</v>
      </c>
      <c r="AS28" s="20" t="str">
        <f t="shared" si="3"/>
        <v>N/A</v>
      </c>
      <c r="AT28" s="20" t="str">
        <f t="shared" si="1"/>
        <v>N/A</v>
      </c>
      <c r="AU28" s="20" t="str">
        <f t="shared" si="2"/>
        <v>N/A</v>
      </c>
      <c r="AV28" s="20"/>
      <c r="AW28" s="20"/>
      <c r="AX28" s="20"/>
      <c r="AY28" s="15"/>
      <c r="AZ28" s="481"/>
      <c r="BA28" s="15"/>
      <c r="BB28" s="15"/>
      <c r="BC28" s="15"/>
      <c r="BD28" s="15"/>
      <c r="BE28" s="15"/>
      <c r="BF28" s="15"/>
    </row>
    <row r="29" spans="1:58" x14ac:dyDescent="0.25">
      <c r="A29" s="1410">
        <v>20</v>
      </c>
      <c r="B29" s="1411" t="s">
        <v>57</v>
      </c>
      <c r="C29" s="109" t="s">
        <v>90</v>
      </c>
      <c r="D29" s="16" t="s">
        <v>702</v>
      </c>
      <c r="E29" s="663" t="str">
        <f>VLOOKUP(D29,Poeng!$B$10:$R$252,Poeng!E$1,FALSE)</f>
        <v xml:space="preserve">Commissioning - testing schedule and responsibilities </v>
      </c>
      <c r="F29" s="107">
        <f>VLOOKUP(D29,Poeng!$B$10:$AB$252,Poeng!AB$1,FALSE)</f>
        <v>1</v>
      </c>
      <c r="G29" s="1166">
        <f>'Assessment Issue Scoring'!G140</f>
        <v>0</v>
      </c>
      <c r="H29" s="108">
        <f>VLOOKUP(D29,Poeng!$B$10:$AE$252,Poeng!AE$1,FALSE)</f>
        <v>0</v>
      </c>
      <c r="I29" s="109" t="str">
        <f>VLOOKUP(D29,Poeng!$B$10:$BE$252,Poeng!BE$1,FALSE)</f>
        <v>Unclassified</v>
      </c>
      <c r="J29" s="74"/>
      <c r="K29" s="241"/>
      <c r="L29" s="608"/>
      <c r="M29" s="817"/>
      <c r="N29" s="77"/>
      <c r="O29" s="108">
        <f>VLOOKUP(D29,Poeng!$B$10:$BC$252,Poeng!AF$1,FALSE)</f>
        <v>0</v>
      </c>
      <c r="P29" s="108" t="str">
        <f>VLOOKUP(D29,Poeng!$B$10:$BH$252,Poeng!BH$1,FALSE)</f>
        <v>Unclassified</v>
      </c>
      <c r="Q29" s="558"/>
      <c r="R29" s="559"/>
      <c r="S29" s="552"/>
      <c r="T29" s="276"/>
      <c r="U29" s="77"/>
      <c r="V29" s="108">
        <f>VLOOKUP(D29,Poeng!$B$10:$BC$252,Poeng!AG$1,FALSE)</f>
        <v>0</v>
      </c>
      <c r="W29" s="108" t="str">
        <f>VLOOKUP(D29,Poeng!$B$10:$BK$252,Poeng!BK$1,FALSE)</f>
        <v>Unclassified</v>
      </c>
      <c r="X29" s="75"/>
      <c r="Y29" s="74"/>
      <c r="Z29" s="552"/>
      <c r="AC29" s="20">
        <f t="shared" si="0"/>
        <v>1</v>
      </c>
      <c r="AD29" s="1" t="e">
        <f>VLOOKUP(K29,'Assessment Details'!$O$49:$P$52,2,FALSE)</f>
        <v>#N/A</v>
      </c>
      <c r="AE29" s="1" t="e">
        <f>VLOOKUP(R29,'Assessment Details'!$O$49:$P$52,2,FALSE)</f>
        <v>#N/A</v>
      </c>
      <c r="AF29" s="1" t="e">
        <f>VLOOKUP(Y29,'Assessment Details'!$O$49:$P$52,2,FALSE)</f>
        <v>#N/A</v>
      </c>
    </row>
    <row r="30" spans="1:58" x14ac:dyDescent="0.25">
      <c r="A30" s="1410">
        <v>21</v>
      </c>
      <c r="B30" s="1411" t="s">
        <v>57</v>
      </c>
      <c r="C30" s="109" t="s">
        <v>90</v>
      </c>
      <c r="D30" s="16" t="s">
        <v>703</v>
      </c>
      <c r="E30" s="663" t="str">
        <f>VLOOKUP(D30,Poeng!$B$10:$R$252,Poeng!E$1,FALSE)</f>
        <v>Commissioning - design, preperation and implementation</v>
      </c>
      <c r="F30" s="107">
        <f>VLOOKUP(D30,Poeng!$B$10:$AB$252,Poeng!AB$1,FALSE)</f>
        <v>1</v>
      </c>
      <c r="G30" s="1166">
        <f>'Assessment Issue Scoring'!G141</f>
        <v>0</v>
      </c>
      <c r="H30" s="108">
        <f>VLOOKUP(D30,Poeng!$B$10:$AE$252,Poeng!AE$1,FALSE)</f>
        <v>0</v>
      </c>
      <c r="I30" s="109" t="str">
        <f>VLOOKUP(D30,Poeng!$B$10:$BE$252,Poeng!BE$1,FALSE)</f>
        <v>N/A</v>
      </c>
      <c r="J30" s="74"/>
      <c r="K30" s="241"/>
      <c r="L30" s="608"/>
      <c r="M30" s="817"/>
      <c r="N30" s="77"/>
      <c r="O30" s="108">
        <f>VLOOKUP(D30,Poeng!$B$10:$BC$252,Poeng!AF$1,FALSE)</f>
        <v>0</v>
      </c>
      <c r="P30" s="108" t="str">
        <f>VLOOKUP(D30,Poeng!$B$10:$BH$252,Poeng!BH$1,FALSE)</f>
        <v>N/A</v>
      </c>
      <c r="Q30" s="558"/>
      <c r="R30" s="559"/>
      <c r="S30" s="552"/>
      <c r="T30" s="276"/>
      <c r="U30" s="77"/>
      <c r="V30" s="108">
        <f>VLOOKUP(D30,Poeng!$B$10:$BC$252,Poeng!AG$1,FALSE)</f>
        <v>0</v>
      </c>
      <c r="W30" s="108" t="str">
        <f>VLOOKUP(D30,Poeng!$B$10:$BK$252,Poeng!BK$1,FALSE)</f>
        <v>N/A</v>
      </c>
      <c r="X30" s="75"/>
      <c r="Y30" s="74"/>
      <c r="Z30" s="552"/>
      <c r="AC30" s="20">
        <f t="shared" si="0"/>
        <v>1</v>
      </c>
      <c r="AD30" s="1" t="e">
        <f>VLOOKUP(K30,'Assessment Details'!$O$49:$P$52,2,FALSE)</f>
        <v>#N/A</v>
      </c>
      <c r="AE30" s="1" t="e">
        <f>VLOOKUP(R30,'Assessment Details'!$O$49:$P$52,2,FALSE)</f>
        <v>#N/A</v>
      </c>
      <c r="AF30" s="1" t="e">
        <f>VLOOKUP(Y30,'Assessment Details'!$O$49:$P$52,2,FALSE)</f>
        <v>#N/A</v>
      </c>
    </row>
    <row r="31" spans="1:58" x14ac:dyDescent="0.25">
      <c r="A31" s="1410">
        <v>22</v>
      </c>
      <c r="B31" s="1411" t="s">
        <v>57</v>
      </c>
      <c r="C31" s="109" t="s">
        <v>90</v>
      </c>
      <c r="D31" s="16" t="s">
        <v>704</v>
      </c>
      <c r="E31" s="663" t="str">
        <f>VLOOKUP(D31,Poeng!$B$10:$R$252,Poeng!E$1,FALSE)</f>
        <v>Prepare for good handover</v>
      </c>
      <c r="F31" s="107">
        <f>VLOOKUP(D31,Poeng!$B$10:$AB$252,Poeng!AB$1,FALSE)</f>
        <v>1</v>
      </c>
      <c r="G31" s="1166">
        <f>'Assessment Issue Scoring'!G142</f>
        <v>0</v>
      </c>
      <c r="H31" s="108">
        <f>VLOOKUP(D31,Poeng!$B$10:$AE$252,Poeng!AE$1,FALSE)</f>
        <v>0</v>
      </c>
      <c r="I31" s="109" t="str">
        <f>VLOOKUP(D31,Poeng!$B$10:$BE$252,Poeng!BE$1,FALSE)</f>
        <v>Good</v>
      </c>
      <c r="J31" s="74"/>
      <c r="K31" s="241"/>
      <c r="L31" s="608"/>
      <c r="M31" s="817"/>
      <c r="N31" s="77"/>
      <c r="O31" s="108">
        <f>VLOOKUP(D31,Poeng!$B$10:$BC$252,Poeng!AF$1,FALSE)</f>
        <v>0</v>
      </c>
      <c r="P31" s="108" t="str">
        <f>VLOOKUP(D31,Poeng!$B$10:$BH$252,Poeng!BH$1,FALSE)</f>
        <v>Good</v>
      </c>
      <c r="Q31" s="558"/>
      <c r="R31" s="559"/>
      <c r="S31" s="552"/>
      <c r="T31" s="276"/>
      <c r="U31" s="77"/>
      <c r="V31" s="108">
        <f>VLOOKUP(D31,Poeng!$B$10:$BC$252,Poeng!AG$1,FALSE)</f>
        <v>0</v>
      </c>
      <c r="W31" s="108" t="str">
        <f>VLOOKUP(D31,Poeng!$B$10:$BK$252,Poeng!BK$1,FALSE)</f>
        <v>Good</v>
      </c>
      <c r="X31" s="75"/>
      <c r="Y31" s="74"/>
      <c r="Z31" s="552"/>
      <c r="AC31" s="20">
        <f t="shared" si="0"/>
        <v>1</v>
      </c>
      <c r="AD31" s="1" t="e">
        <f>VLOOKUP(K31,'Assessment Details'!$O$49:$P$52,2,FALSE)</f>
        <v>#N/A</v>
      </c>
      <c r="AE31" s="1" t="e">
        <f>VLOOKUP(R31,'Assessment Details'!$O$49:$P$52,2,FALSE)</f>
        <v>#N/A</v>
      </c>
      <c r="AF31" s="1" t="e">
        <f>VLOOKUP(Y31,'Assessment Details'!$O$49:$P$52,2,FALSE)</f>
        <v>#N/A</v>
      </c>
    </row>
    <row r="32" spans="1:58" x14ac:dyDescent="0.25">
      <c r="A32" s="1410">
        <v>23</v>
      </c>
      <c r="B32" s="1411" t="s">
        <v>57</v>
      </c>
      <c r="C32" s="690" t="s">
        <v>91</v>
      </c>
      <c r="D32" s="628" t="s">
        <v>91</v>
      </c>
      <c r="E32" s="662" t="str">
        <f>VLOOKUP(D32,Poeng!$B$10:$R$252,Poeng!E$1,FALSE)</f>
        <v>Man 05 Aftercare</v>
      </c>
      <c r="F32" s="667">
        <f>VLOOKUP(D32,Poeng!$B$10:$AB$252,Poeng!AB$1,FALSE)</f>
        <v>3</v>
      </c>
      <c r="G32" s="742"/>
      <c r="H32" s="668" t="str">
        <f>VLOOKUP(D32,Poeng!$B$10:$AI$252,Poeng!AI$1,FALSE)&amp;" c. "&amp;ROUND(VLOOKUP(D32,Poeng!$B$10:$AE$252,Poeng!AE$1,FALSE)*100,1)&amp;" %"</f>
        <v>0 c. 0 %</v>
      </c>
      <c r="I32" s="690" t="str">
        <f>VLOOKUP(D32,Poeng!$B$10:$BE$252,Poeng!BE$1,FALSE)</f>
        <v>N/A</v>
      </c>
      <c r="J32" s="74"/>
      <c r="K32" s="241"/>
      <c r="L32" s="608"/>
      <c r="M32" s="623"/>
      <c r="N32" s="742"/>
      <c r="O32" s="679" t="str">
        <f>VLOOKUP(D32,Poeng!$B$10:$BC$252,Poeng!AJ$1,FALSE)&amp;" c. "&amp;ROUND(VLOOKUP(D32,Poeng!$B$10:$BC$252,Poeng!AF$1,FALSE)*100,1)&amp;" %"</f>
        <v>0 c. 0 %</v>
      </c>
      <c r="P32" s="108" t="str">
        <f>VLOOKUP(D32,Poeng!$B$10:$BH$252,Poeng!BH$1,FALSE)</f>
        <v>N/A</v>
      </c>
      <c r="Q32" s="558"/>
      <c r="R32" s="559"/>
      <c r="S32" s="552"/>
      <c r="T32" s="276"/>
      <c r="U32" s="742"/>
      <c r="V32" s="679" t="str">
        <f>VLOOKUP(D32,Poeng!$B$10:$BC$252,Poeng!AK$1,FALSE)&amp;" c. "&amp;ROUND(VLOOKUP(D32,Poeng!$B$10:$BC$252,Poeng!AG$1,FALSE)*100,1)&amp;" %"</f>
        <v>0 c. 0 %</v>
      </c>
      <c r="W32" s="108" t="str">
        <f>VLOOKUP(D32,Poeng!$B$10:$BK$252,Poeng!BK$1,FALSE)</f>
        <v>N/A</v>
      </c>
      <c r="X32" s="75"/>
      <c r="Y32" s="74"/>
      <c r="Z32" s="552"/>
      <c r="AA32" s="117"/>
      <c r="AB32" s="481" t="s">
        <v>13</v>
      </c>
      <c r="AC32" s="20">
        <f t="shared" si="0"/>
        <v>1</v>
      </c>
      <c r="AD32" s="1" t="e">
        <f>VLOOKUP(K32,'Assessment Details'!$O$49:$P$52,2,FALSE)</f>
        <v>#N/A</v>
      </c>
      <c r="AE32" s="1" t="e">
        <f>VLOOKUP(R32,'Assessment Details'!$O$49:$P$52,2,FALSE)</f>
        <v>#N/A</v>
      </c>
      <c r="AF32" s="1" t="e">
        <f>VLOOKUP(Y32,'Assessment Details'!$O$49:$P$52,2,FALSE)</f>
        <v>#N/A</v>
      </c>
      <c r="AG32" s="8"/>
      <c r="AI32" s="64"/>
      <c r="AJ32" s="507" t="s">
        <v>292</v>
      </c>
      <c r="AK32" s="487" t="s">
        <v>385</v>
      </c>
      <c r="AL32" s="487" t="s">
        <v>387</v>
      </c>
      <c r="AM32" s="64"/>
      <c r="AN32" s="64"/>
      <c r="AO32" s="64"/>
      <c r="AP32" s="64"/>
      <c r="AR32" s="1" t="s">
        <v>13</v>
      </c>
      <c r="AS32" s="20" t="str">
        <f t="shared" si="3"/>
        <v>N/A</v>
      </c>
      <c r="AT32" s="20" t="str">
        <f t="shared" si="1"/>
        <v>N/A</v>
      </c>
      <c r="AU32" s="20" t="str">
        <f t="shared" si="2"/>
        <v>N/A</v>
      </c>
      <c r="AV32" s="20"/>
      <c r="AW32" s="20"/>
      <c r="AX32" s="20"/>
      <c r="AY32" s="15"/>
      <c r="AZ32" s="481"/>
      <c r="BA32" s="15"/>
      <c r="BB32" s="15"/>
      <c r="BC32" s="15"/>
      <c r="BD32" s="15"/>
      <c r="BE32" s="15"/>
      <c r="BF32" s="15"/>
    </row>
    <row r="33" spans="1:58" x14ac:dyDescent="0.25">
      <c r="A33" s="1410">
        <v>24</v>
      </c>
      <c r="B33" s="1411" t="s">
        <v>57</v>
      </c>
      <c r="C33" s="109" t="s">
        <v>91</v>
      </c>
      <c r="D33" s="16" t="s">
        <v>705</v>
      </c>
      <c r="E33" s="663" t="str">
        <f>VLOOKUP(D33,Poeng!$B$10:$R$252,Poeng!E$1,FALSE)</f>
        <v>Aftercare support</v>
      </c>
      <c r="F33" s="107">
        <f>VLOOKUP(D33,Poeng!$B$10:$AB$252,Poeng!AB$1,FALSE)</f>
        <v>1</v>
      </c>
      <c r="G33" s="1166">
        <f>'Assessment Issue Scoring'!G165</f>
        <v>0</v>
      </c>
      <c r="H33" s="108">
        <f>VLOOKUP(D33,Poeng!$B$10:$AE$252,Poeng!AE$1,FALSE)</f>
        <v>0</v>
      </c>
      <c r="I33" s="109" t="str">
        <f>VLOOKUP(D33,Poeng!$B$10:$BE$252,Poeng!BE$1,FALSE)</f>
        <v>N/A</v>
      </c>
      <c r="J33" s="74"/>
      <c r="K33" s="241"/>
      <c r="L33" s="608"/>
      <c r="M33" s="817"/>
      <c r="N33" s="77"/>
      <c r="O33" s="108">
        <f>VLOOKUP(D33,Poeng!$B$10:$BC$252,Poeng!AF$1,FALSE)</f>
        <v>0</v>
      </c>
      <c r="P33" s="108" t="str">
        <f>VLOOKUP(D33,Poeng!$B$10:$BH$252,Poeng!BH$1,FALSE)</f>
        <v>N/A</v>
      </c>
      <c r="Q33" s="558"/>
      <c r="R33" s="559"/>
      <c r="S33" s="552"/>
      <c r="T33" s="276"/>
      <c r="U33" s="77"/>
      <c r="V33" s="108">
        <f>VLOOKUP(D33,Poeng!$B$10:$BC$252,Poeng!AG$1,FALSE)</f>
        <v>0</v>
      </c>
      <c r="W33" s="108" t="str">
        <f>VLOOKUP(D33,Poeng!$B$10:$BK$252,Poeng!BK$1,FALSE)</f>
        <v>N/A</v>
      </c>
      <c r="X33" s="75"/>
      <c r="Y33" s="74"/>
      <c r="Z33" s="552"/>
      <c r="AC33" s="20">
        <f t="shared" si="0"/>
        <v>1</v>
      </c>
      <c r="AD33" s="1" t="e">
        <f>VLOOKUP(K33,'Assessment Details'!$O$49:$P$52,2,FALSE)</f>
        <v>#N/A</v>
      </c>
      <c r="AE33" s="1" t="e">
        <f>VLOOKUP(R33,'Assessment Details'!$O$49:$P$52,2,FALSE)</f>
        <v>#N/A</v>
      </c>
      <c r="AF33" s="1" t="e">
        <f>VLOOKUP(Y33,'Assessment Details'!$O$49:$P$52,2,FALSE)</f>
        <v>#N/A</v>
      </c>
    </row>
    <row r="34" spans="1:58" x14ac:dyDescent="0.25">
      <c r="A34" s="1410">
        <v>25</v>
      </c>
      <c r="B34" s="1411" t="s">
        <v>57</v>
      </c>
      <c r="C34" s="109" t="s">
        <v>91</v>
      </c>
      <c r="D34" s="16" t="s">
        <v>706</v>
      </c>
      <c r="E34" s="663" t="str">
        <f>VLOOKUP(D34,Poeng!$B$10:$R$252,Poeng!E$1,FALSE)</f>
        <v>Sesonal commisioning</v>
      </c>
      <c r="F34" s="107">
        <f>VLOOKUP(D34,Poeng!$B$10:$AB$252,Poeng!AB$1,FALSE)</f>
        <v>1</v>
      </c>
      <c r="G34" s="1166">
        <f>'Assessment Issue Scoring'!G166</f>
        <v>0</v>
      </c>
      <c r="H34" s="108">
        <f>VLOOKUP(D34,Poeng!$B$10:$AE$252,Poeng!AE$1,FALSE)</f>
        <v>0</v>
      </c>
      <c r="I34" s="109" t="str">
        <f>VLOOKUP(D34,Poeng!$B$10:$BE$252,Poeng!BE$1,FALSE)</f>
        <v>Very Good</v>
      </c>
      <c r="J34" s="74"/>
      <c r="K34" s="241"/>
      <c r="L34" s="608"/>
      <c r="M34" s="817"/>
      <c r="N34" s="77"/>
      <c r="O34" s="108">
        <f>VLOOKUP(D34,Poeng!$B$10:$BC$252,Poeng!AF$1,FALSE)</f>
        <v>0</v>
      </c>
      <c r="P34" s="108" t="str">
        <f>VLOOKUP(D34,Poeng!$B$10:$BH$252,Poeng!BH$1,FALSE)</f>
        <v>Very Good</v>
      </c>
      <c r="Q34" s="558"/>
      <c r="R34" s="559"/>
      <c r="S34" s="552"/>
      <c r="T34" s="276"/>
      <c r="U34" s="77"/>
      <c r="V34" s="108">
        <f>VLOOKUP(D34,Poeng!$B$10:$BC$252,Poeng!AG$1,FALSE)</f>
        <v>0</v>
      </c>
      <c r="W34" s="108" t="str">
        <f>VLOOKUP(D34,Poeng!$B$10:$BK$252,Poeng!BK$1,FALSE)</f>
        <v>Very Good</v>
      </c>
      <c r="X34" s="75"/>
      <c r="Y34" s="74"/>
      <c r="Z34" s="552"/>
      <c r="AC34" s="20">
        <f t="shared" si="0"/>
        <v>1</v>
      </c>
      <c r="AD34" s="1" t="e">
        <f>VLOOKUP(K34,'Assessment Details'!$O$49:$P$52,2,FALSE)</f>
        <v>#N/A</v>
      </c>
      <c r="AE34" s="1" t="e">
        <f>VLOOKUP(R34,'Assessment Details'!$O$49:$P$52,2,FALSE)</f>
        <v>#N/A</v>
      </c>
      <c r="AF34" s="1" t="e">
        <f>VLOOKUP(Y34,'Assessment Details'!$O$49:$P$52,2,FALSE)</f>
        <v>#N/A</v>
      </c>
    </row>
    <row r="35" spans="1:58" x14ac:dyDescent="0.25">
      <c r="A35" s="1410">
        <v>26</v>
      </c>
      <c r="B35" s="1411" t="s">
        <v>57</v>
      </c>
      <c r="C35" s="109" t="s">
        <v>91</v>
      </c>
      <c r="D35" s="16" t="s">
        <v>707</v>
      </c>
      <c r="E35" s="663" t="str">
        <f>VLOOKUP(D35,Poeng!$B$10:$R$252,Poeng!E$1,FALSE)</f>
        <v>Post-occypancy evaluation</v>
      </c>
      <c r="F35" s="107">
        <f>VLOOKUP(D35,Poeng!$B$10:$AB$252,Poeng!AB$1,FALSE)</f>
        <v>1</v>
      </c>
      <c r="G35" s="1166">
        <f>'Assessment Issue Scoring'!G167</f>
        <v>0</v>
      </c>
      <c r="H35" s="108">
        <f>VLOOKUP(D35,Poeng!$B$10:$AE$252,Poeng!AE$1,FALSE)</f>
        <v>0</v>
      </c>
      <c r="I35" s="109" t="str">
        <f>VLOOKUP(D35,Poeng!$B$10:$BE$252,Poeng!BE$1,FALSE)</f>
        <v>N/A</v>
      </c>
      <c r="J35" s="74"/>
      <c r="K35" s="241"/>
      <c r="L35" s="608"/>
      <c r="M35" s="817"/>
      <c r="N35" s="77"/>
      <c r="O35" s="108">
        <f>VLOOKUP(D35,Poeng!$B$10:$BC$252,Poeng!AF$1,FALSE)</f>
        <v>0</v>
      </c>
      <c r="P35" s="108" t="str">
        <f>VLOOKUP(D35,Poeng!$B$10:$BH$252,Poeng!BH$1,FALSE)</f>
        <v>N/A</v>
      </c>
      <c r="Q35" s="558"/>
      <c r="R35" s="559"/>
      <c r="S35" s="552"/>
      <c r="T35" s="276"/>
      <c r="U35" s="77"/>
      <c r="V35" s="108">
        <f>VLOOKUP(D35,Poeng!$B$10:$BC$252,Poeng!AG$1,FALSE)</f>
        <v>0</v>
      </c>
      <c r="W35" s="108" t="str">
        <f>VLOOKUP(D35,Poeng!$B$10:$BK$252,Poeng!BK$1,FALSE)</f>
        <v>N/A</v>
      </c>
      <c r="X35" s="75"/>
      <c r="Y35" s="74"/>
      <c r="Z35" s="552"/>
      <c r="AC35" s="20">
        <f t="shared" si="0"/>
        <v>1</v>
      </c>
      <c r="AD35" s="1" t="e">
        <f>VLOOKUP(K35,'Assessment Details'!$O$49:$P$52,2,FALSE)</f>
        <v>#N/A</v>
      </c>
      <c r="AE35" s="1" t="e">
        <f>VLOOKUP(R35,'Assessment Details'!$O$49:$P$52,2,FALSE)</f>
        <v>#N/A</v>
      </c>
      <c r="AF35" s="1" t="e">
        <f>VLOOKUP(Y35,'Assessment Details'!$O$49:$P$52,2,FALSE)</f>
        <v>#N/A</v>
      </c>
    </row>
    <row r="36" spans="1:58" ht="15.75" thickBot="1" x14ac:dyDescent="0.3">
      <c r="A36" s="1410">
        <v>27</v>
      </c>
      <c r="B36" s="1411" t="s">
        <v>57</v>
      </c>
      <c r="C36" s="805"/>
      <c r="D36" s="628" t="s">
        <v>860</v>
      </c>
      <c r="E36" s="277" t="s">
        <v>97</v>
      </c>
      <c r="F36" s="110">
        <f>Man_Credits</f>
        <v>21</v>
      </c>
      <c r="G36" s="691"/>
      <c r="H36" s="111">
        <f>Man_cont_tot</f>
        <v>0</v>
      </c>
      <c r="I36" s="669" t="str">
        <f>"Credits achieved: "&amp;Man_tot_user</f>
        <v>Credits achieved: 0</v>
      </c>
      <c r="J36" s="118"/>
      <c r="K36" s="242"/>
      <c r="L36" s="560"/>
      <c r="M36" s="623"/>
      <c r="N36" s="320"/>
      <c r="O36" s="111">
        <f>VLOOKUP(D36,Poeng!$B$10:$BC$252,Poeng!AF$1,FALSE)</f>
        <v>0</v>
      </c>
      <c r="P36" s="669" t="str">
        <f>"Credits achieved: "&amp;Man_d_user</f>
        <v>Credits achieved: 0</v>
      </c>
      <c r="Q36" s="561"/>
      <c r="R36" s="562"/>
      <c r="S36" s="560"/>
      <c r="T36" s="276"/>
      <c r="U36" s="320"/>
      <c r="V36" s="111">
        <f>VLOOKUP(D36,Poeng!$B$10:$BC$252,Poeng!AG$1,FALSE)</f>
        <v>0</v>
      </c>
      <c r="W36" s="669" t="str">
        <f>"Credits achieved: "&amp;Man_c_user</f>
        <v>Credits achieved: 0</v>
      </c>
      <c r="X36" s="319"/>
      <c r="Y36" s="119"/>
      <c r="Z36" s="560"/>
      <c r="AA36" s="117"/>
      <c r="AB36" s="482"/>
      <c r="AC36" s="20">
        <f t="shared" si="0"/>
        <v>1</v>
      </c>
      <c r="AD36" s="238">
        <v>0</v>
      </c>
      <c r="AE36" s="238">
        <v>0</v>
      </c>
      <c r="AF36" s="238">
        <v>0</v>
      </c>
      <c r="AG36" s="8"/>
      <c r="AI36" s="64"/>
      <c r="AJ36" s="507" t="s">
        <v>97</v>
      </c>
      <c r="AK36" s="64"/>
      <c r="AL36" s="64"/>
      <c r="AM36" s="64"/>
      <c r="AN36" s="64"/>
      <c r="AO36" s="64"/>
      <c r="AP36" s="64"/>
      <c r="AS36" s="20" t="str">
        <f t="shared" si="3"/>
        <v>N/A</v>
      </c>
      <c r="AT36" s="20" t="str">
        <f t="shared" si="1"/>
        <v>N/A</v>
      </c>
      <c r="AU36" s="20" t="str">
        <f t="shared" si="2"/>
        <v>N/A</v>
      </c>
      <c r="AV36" s="20"/>
      <c r="AW36" s="20"/>
      <c r="AX36" s="20"/>
      <c r="AY36" s="15"/>
      <c r="AZ36" s="482"/>
      <c r="BA36" s="15"/>
      <c r="BB36" s="15"/>
      <c r="BC36" s="15"/>
      <c r="BD36" s="15"/>
      <c r="BE36" s="15"/>
      <c r="BF36" s="15"/>
    </row>
    <row r="37" spans="1:58" x14ac:dyDescent="0.25">
      <c r="A37" s="1410">
        <v>28</v>
      </c>
      <c r="B37" s="1411" t="s">
        <v>57</v>
      </c>
      <c r="C37" s="279"/>
      <c r="D37" s="628"/>
      <c r="E37" s="278"/>
      <c r="F37" s="279"/>
      <c r="G37" s="280"/>
      <c r="H37" s="279"/>
      <c r="I37" s="279"/>
      <c r="J37" s="281"/>
      <c r="K37" s="280"/>
      <c r="L37" s="563"/>
      <c r="M37" s="623"/>
      <c r="N37" s="282"/>
      <c r="O37" s="282"/>
      <c r="P37" s="563"/>
      <c r="Q37" s="563"/>
      <c r="R37" s="564"/>
      <c r="S37" s="563"/>
      <c r="T37" s="276"/>
      <c r="U37" s="282"/>
      <c r="V37" s="282"/>
      <c r="W37" s="563"/>
      <c r="X37" s="281"/>
      <c r="Y37" s="282"/>
      <c r="Z37" s="563"/>
      <c r="AA37" s="117"/>
      <c r="AB37" s="281"/>
      <c r="AC37" s="20">
        <f t="shared" si="0"/>
        <v>1</v>
      </c>
      <c r="AD37" s="239">
        <v>0</v>
      </c>
      <c r="AE37" s="239">
        <v>0</v>
      </c>
      <c r="AF37" s="239">
        <v>0</v>
      </c>
      <c r="AI37" s="64"/>
      <c r="AJ37" s="508"/>
      <c r="AK37" s="64"/>
      <c r="AL37" s="64"/>
      <c r="AM37" s="64"/>
      <c r="AN37" s="64"/>
      <c r="AO37" s="64"/>
      <c r="AP37" s="64"/>
      <c r="AS37" s="20" t="str">
        <f t="shared" si="3"/>
        <v>N/A</v>
      </c>
      <c r="AT37" s="20" t="str">
        <f t="shared" si="1"/>
        <v>N/A</v>
      </c>
      <c r="AU37" s="20" t="str">
        <f t="shared" si="2"/>
        <v>N/A</v>
      </c>
      <c r="AV37" s="20"/>
      <c r="AW37" s="20"/>
      <c r="AX37" s="20"/>
      <c r="AZ37" s="281"/>
    </row>
    <row r="38" spans="1:58" ht="18.75" x14ac:dyDescent="0.25">
      <c r="A38" s="1410">
        <v>29</v>
      </c>
      <c r="B38" s="1412" t="s">
        <v>60</v>
      </c>
      <c r="C38" s="806"/>
      <c r="D38" s="628"/>
      <c r="E38" s="283" t="s">
        <v>41</v>
      </c>
      <c r="F38" s="272"/>
      <c r="G38" s="273"/>
      <c r="H38" s="272"/>
      <c r="I38" s="272"/>
      <c r="J38" s="284"/>
      <c r="K38" s="285"/>
      <c r="L38" s="555"/>
      <c r="M38" s="623"/>
      <c r="N38" s="289"/>
      <c r="O38" s="288"/>
      <c r="P38" s="556"/>
      <c r="Q38" s="556"/>
      <c r="R38" s="565"/>
      <c r="S38" s="557"/>
      <c r="T38" s="276"/>
      <c r="U38" s="289"/>
      <c r="V38" s="288"/>
      <c r="W38" s="556"/>
      <c r="X38" s="287"/>
      <c r="Y38" s="288"/>
      <c r="Z38" s="555"/>
      <c r="AA38" s="117"/>
      <c r="AB38" s="286"/>
      <c r="AC38" s="20">
        <f t="shared" si="0"/>
        <v>1</v>
      </c>
      <c r="AD38" s="237">
        <v>0</v>
      </c>
      <c r="AE38" s="237">
        <v>0</v>
      </c>
      <c r="AF38" s="237">
        <v>0</v>
      </c>
      <c r="AI38" s="64"/>
      <c r="AJ38" s="508" t="s">
        <v>41</v>
      </c>
      <c r="AK38" s="64"/>
      <c r="AL38" s="64"/>
      <c r="AM38" s="64"/>
      <c r="AN38" s="64"/>
      <c r="AO38" s="64"/>
      <c r="AP38" s="64"/>
      <c r="AS38" s="20" t="str">
        <f t="shared" si="3"/>
        <v>N/A</v>
      </c>
      <c r="AT38" s="20" t="str">
        <f t="shared" si="1"/>
        <v>N/A</v>
      </c>
      <c r="AU38" s="20" t="str">
        <f t="shared" si="2"/>
        <v>N/A</v>
      </c>
      <c r="AV38" s="20"/>
      <c r="AW38" s="20"/>
      <c r="AX38" s="20"/>
      <c r="AZ38" s="286"/>
    </row>
    <row r="39" spans="1:58" x14ac:dyDescent="0.25">
      <c r="A39" s="1410">
        <v>30</v>
      </c>
      <c r="B39" s="1412" t="s">
        <v>60</v>
      </c>
      <c r="C39" s="690" t="s">
        <v>111</v>
      </c>
      <c r="D39" s="628" t="s">
        <v>111</v>
      </c>
      <c r="E39" s="662" t="str">
        <f>VLOOKUP(D39,Poeng!$B$10:$R$252,Poeng!E$1,FALSE)</f>
        <v>Hea 01 Visual comfort</v>
      </c>
      <c r="F39" s="667">
        <f>VLOOKUP(D39,Poeng!$B$10:$AB$252,Poeng!AB$1,FALSE)</f>
        <v>7</v>
      </c>
      <c r="G39" s="741"/>
      <c r="H39" s="668" t="str">
        <f>VLOOKUP(D39,Poeng!$B$10:$AI$252,Poeng!AI$1,FALSE)&amp;" c. "&amp;ROUND(VLOOKUP(D39,Poeng!$B$10:$AE$252,Poeng!AE$1,FALSE)*100,1)&amp;" %"</f>
        <v>0 c. 0 %</v>
      </c>
      <c r="I39" s="689" t="str">
        <f>VLOOKUP(D39,Poeng!$B$10:$BE$252,Poeng!BE$1,FALSE)</f>
        <v>N/A</v>
      </c>
      <c r="J39" s="676"/>
      <c r="K39" s="677"/>
      <c r="L39" s="678"/>
      <c r="M39" s="623"/>
      <c r="N39" s="742"/>
      <c r="O39" s="679" t="str">
        <f>VLOOKUP(D39,Poeng!$B$10:$BC$252,Poeng!AJ$1,FALSE)&amp;" c. "&amp;ROUND(VLOOKUP(D39,Poeng!$B$10:$BC$252,Poeng!AF$1,FALSE)*100,1)&amp;" %"</f>
        <v>0 c. 0 %</v>
      </c>
      <c r="P39" s="108" t="str">
        <f>VLOOKUP(D39,Poeng!$B$10:$BH$252,Poeng!BH$1,FALSE)</f>
        <v>N/A</v>
      </c>
      <c r="Q39" s="558"/>
      <c r="R39" s="559"/>
      <c r="S39" s="552"/>
      <c r="T39" s="276"/>
      <c r="U39" s="742"/>
      <c r="V39" s="679" t="str">
        <f>VLOOKUP(D39,Poeng!$B$10:$BC$252,Poeng!AK$1,FALSE)&amp;" c. "&amp;ROUND(VLOOKUP(D39,Poeng!$B$10:$BC$252,Poeng!AG$1,FALSE)*100,1)&amp;" %"</f>
        <v>0 c. 0 %</v>
      </c>
      <c r="W39" s="108" t="str">
        <f>VLOOKUP(D39,Poeng!$B$10:$BK$252,Poeng!BK$1,FALSE)</f>
        <v>N/A</v>
      </c>
      <c r="X39" s="75"/>
      <c r="Y39" s="74"/>
      <c r="Z39" s="552"/>
      <c r="AA39" s="117"/>
      <c r="AB39" s="516" t="s">
        <v>13</v>
      </c>
      <c r="AC39" s="20">
        <f t="shared" si="0"/>
        <v>1</v>
      </c>
      <c r="AD39" s="1" t="e">
        <f>VLOOKUP(K39,'Assessment Details'!$O$49:$P$52,2,FALSE)</f>
        <v>#N/A</v>
      </c>
      <c r="AE39" s="1" t="e">
        <f>VLOOKUP(R39,'Assessment Details'!$O$49:$P$52,2,FALSE)</f>
        <v>#N/A</v>
      </c>
      <c r="AF39" s="1" t="e">
        <f>VLOOKUP(Y39,'Assessment Details'!$O$49:$P$52,2,FALSE)</f>
        <v>#N/A</v>
      </c>
      <c r="AI39" s="64" t="str">
        <f>ais_ja</f>
        <v>Ja</v>
      </c>
      <c r="AJ39" s="508" t="s">
        <v>109</v>
      </c>
      <c r="AK39" s="488" t="s">
        <v>422</v>
      </c>
      <c r="AL39" s="488" t="s">
        <v>420</v>
      </c>
      <c r="AM39" s="488" t="s">
        <v>421</v>
      </c>
      <c r="AN39" s="488" t="s">
        <v>435</v>
      </c>
      <c r="AO39" s="488" t="s">
        <v>434</v>
      </c>
      <c r="AP39" s="488" t="s">
        <v>436</v>
      </c>
      <c r="AR39" s="1" t="str">
        <f>IF($AJ$8=ais_nei,AIS_NA,"No")</f>
        <v>No</v>
      </c>
      <c r="AS39" s="20" t="str">
        <f t="shared" ref="AS39:AX39" si="4">IF(OR($AJ$4=ais_nei,$AJ$8=ais_nei),AIS_NA,IF(AK39="",AIS_NA,AK39))</f>
        <v>N/A</v>
      </c>
      <c r="AT39" s="20" t="str">
        <f t="shared" si="4"/>
        <v>N/A</v>
      </c>
      <c r="AU39" s="20" t="str">
        <f t="shared" si="4"/>
        <v>N/A</v>
      </c>
      <c r="AV39" s="20" t="str">
        <f t="shared" si="4"/>
        <v>N/A</v>
      </c>
      <c r="AW39" s="20" t="str">
        <f t="shared" si="4"/>
        <v>N/A</v>
      </c>
      <c r="AX39" s="20" t="str">
        <f t="shared" si="4"/>
        <v>N/A</v>
      </c>
      <c r="AZ39" s="481"/>
    </row>
    <row r="40" spans="1:58" x14ac:dyDescent="0.25">
      <c r="A40" s="1410">
        <v>31</v>
      </c>
      <c r="B40" s="1412" t="s">
        <v>60</v>
      </c>
      <c r="C40" s="109" t="str">
        <f>C39</f>
        <v>Hea 01</v>
      </c>
      <c r="D40" s="628" t="s">
        <v>708</v>
      </c>
      <c r="E40" s="663" t="str">
        <f>VLOOKUP(D40,Poeng!$B$10:$R$252,Poeng!E$1,FALSE)</f>
        <v>Pre-requisite: limitation of light flicker and stroboscopic effect</v>
      </c>
      <c r="F40" s="107" t="str">
        <f>VLOOKUP(D40,Poeng!$B$10:$AB$252,Poeng!AB$1,FALSE)</f>
        <v>Yes/No</v>
      </c>
      <c r="G40" s="1261" t="str">
        <f>'Assessment Issue Scoring'!E189</f>
        <v>Please select</v>
      </c>
      <c r="H40" s="108" t="str">
        <f>VLOOKUP(D40,Poeng!$B$10:$AE$252,Poeng!AE$1,FALSE)</f>
        <v>-</v>
      </c>
      <c r="I40" s="109" t="str">
        <f>VLOOKUP(D40,Poeng!$B$10:$BE$252,Poeng!BE$1,FALSE)</f>
        <v>Unclassified</v>
      </c>
      <c r="J40" s="836"/>
      <c r="K40" s="837" t="s">
        <v>0</v>
      </c>
      <c r="L40" s="838"/>
      <c r="M40" s="623"/>
      <c r="N40" s="77"/>
      <c r="O40" s="108" t="str">
        <f>VLOOKUP(D40,Poeng!$B$10:$BC$252,Poeng!AF$1,FALSE)</f>
        <v>-</v>
      </c>
      <c r="P40" s="108" t="str">
        <f>VLOOKUP(D40,Poeng!$B$10:$BH$252,Poeng!BH$1,FALSE)</f>
        <v>Unclassified</v>
      </c>
      <c r="Q40" s="558"/>
      <c r="R40" s="559"/>
      <c r="S40" s="552"/>
      <c r="T40" s="276"/>
      <c r="U40" s="77"/>
      <c r="V40" s="108" t="str">
        <f>VLOOKUP(D40,Poeng!$B$10:$BC$252,Poeng!AG$1,FALSE)</f>
        <v>-</v>
      </c>
      <c r="W40" s="108" t="str">
        <f>VLOOKUP(D40,Poeng!$B$10:$BK$252,Poeng!BK$1,FALSE)</f>
        <v>Unclassified</v>
      </c>
      <c r="X40" s="75"/>
      <c r="Y40" s="74"/>
      <c r="Z40" s="552"/>
      <c r="AA40" s="117"/>
      <c r="AB40" s="516"/>
      <c r="AC40" s="20">
        <f t="shared" ref="AC40" si="5">IF(F40="",1,IF(F40=0,2,1))</f>
        <v>1</v>
      </c>
      <c r="AD40" s="1">
        <f>VLOOKUP(K40,'Assessment Details'!$O$49:$P$52,2,FALSE)</f>
        <v>4</v>
      </c>
      <c r="AE40" s="1" t="e">
        <f>VLOOKUP(R40,'Assessment Details'!$O$49:$P$52,2,FALSE)</f>
        <v>#N/A</v>
      </c>
      <c r="AF40" s="1" t="e">
        <f>VLOOKUP(Y40,'Assessment Details'!$O$49:$P$52,2,FALSE)</f>
        <v>#N/A</v>
      </c>
      <c r="AI40" s="64"/>
      <c r="AJ40" s="508"/>
      <c r="AK40" s="488"/>
      <c r="AL40" s="488"/>
      <c r="AM40" s="488"/>
      <c r="AN40" s="488"/>
      <c r="AO40" s="488"/>
      <c r="AP40" s="488"/>
      <c r="AS40" s="20"/>
      <c r="AT40" s="20"/>
      <c r="AU40" s="20"/>
      <c r="AV40" s="20"/>
      <c r="AW40" s="20"/>
      <c r="AX40" s="20"/>
      <c r="AZ40" s="481"/>
    </row>
    <row r="41" spans="1:58" x14ac:dyDescent="0.25">
      <c r="A41" s="1410">
        <v>32</v>
      </c>
      <c r="B41" s="1412" t="s">
        <v>60</v>
      </c>
      <c r="C41" s="109" t="str">
        <f>C40</f>
        <v>Hea 01</v>
      </c>
      <c r="D41" s="628" t="s">
        <v>1824</v>
      </c>
      <c r="E41" s="663" t="str">
        <f>VLOOKUP(D41,Poeng!$B$10:$R$252,Poeng!E$1,FALSE)</f>
        <v>Pre-requisite: daylight assessments</v>
      </c>
      <c r="F41" s="107" t="str">
        <f>VLOOKUP(D41,Poeng!$B$10:$AB$252,Poeng!AB$1,FALSE)</f>
        <v>Yes/No</v>
      </c>
      <c r="G41" s="1261" t="str">
        <f>'Assessment Issue Scoring'!E190</f>
        <v>Please select</v>
      </c>
      <c r="H41" s="108" t="str">
        <f>VLOOKUP(D41,Poeng!$B$10:$AE$252,Poeng!AE$1,FALSE)</f>
        <v>-</v>
      </c>
      <c r="I41" s="109" t="str">
        <f>VLOOKUP(D41,Poeng!$B$10:$BE$252,Poeng!BE$1,FALSE)</f>
        <v>Unclassified</v>
      </c>
      <c r="J41" s="836"/>
      <c r="K41" s="837"/>
      <c r="L41" s="838"/>
      <c r="M41" s="623"/>
      <c r="N41" s="77"/>
      <c r="O41" s="108" t="str">
        <f>VLOOKUP(D41,Poeng!$B$10:$BC$252,Poeng!AF$1,FALSE)</f>
        <v>-</v>
      </c>
      <c r="P41" s="108" t="str">
        <f>VLOOKUP(D41,Poeng!$B$10:$BH$252,Poeng!BH$1,FALSE)</f>
        <v>Unclassified</v>
      </c>
      <c r="Q41" s="558"/>
      <c r="R41" s="559"/>
      <c r="S41" s="552"/>
      <c r="T41" s="276"/>
      <c r="U41" s="77"/>
      <c r="V41" s="108" t="str">
        <f>VLOOKUP(D41,Poeng!$B$10:$BC$252,Poeng!AG$1,FALSE)</f>
        <v>-</v>
      </c>
      <c r="W41" s="108" t="str">
        <f>VLOOKUP(D41,Poeng!$B$10:$BK$252,Poeng!BK$1,FALSE)</f>
        <v>Unclassified</v>
      </c>
      <c r="X41" s="75"/>
      <c r="Y41" s="74"/>
      <c r="Z41" s="552"/>
      <c r="AA41" s="117"/>
      <c r="AB41" s="516"/>
      <c r="AC41" s="20"/>
      <c r="AD41" s="1"/>
      <c r="AE41" s="1"/>
      <c r="AF41" s="1"/>
      <c r="AI41" s="64"/>
      <c r="AJ41" s="508"/>
      <c r="AK41" s="488"/>
      <c r="AL41" s="488"/>
      <c r="AM41" s="488"/>
      <c r="AN41" s="488"/>
      <c r="AO41" s="488"/>
      <c r="AP41" s="488"/>
      <c r="AS41" s="20"/>
      <c r="AT41" s="20"/>
      <c r="AU41" s="20"/>
      <c r="AV41" s="20"/>
      <c r="AW41" s="20"/>
      <c r="AX41" s="20"/>
      <c r="AZ41" s="481"/>
    </row>
    <row r="42" spans="1:58" x14ac:dyDescent="0.25">
      <c r="A42" s="1410">
        <v>33</v>
      </c>
      <c r="B42" s="1412" t="s">
        <v>60</v>
      </c>
      <c r="C42" s="109" t="str">
        <f>C39</f>
        <v>Hea 01</v>
      </c>
      <c r="D42" s="628" t="s">
        <v>709</v>
      </c>
      <c r="E42" s="663" t="str">
        <f>VLOOKUP(D42,Poeng!$B$10:$R$252,Poeng!E$1,FALSE)</f>
        <v>Daylighting</v>
      </c>
      <c r="F42" s="107">
        <f>VLOOKUP(D42,Poeng!$B$10:$AB$252,Poeng!AB$1,FALSE)</f>
        <v>3</v>
      </c>
      <c r="G42" s="1166">
        <f>'Assessment Issue Scoring'!G191</f>
        <v>0</v>
      </c>
      <c r="H42" s="108">
        <f>VLOOKUP(D42,Poeng!$B$10:$AE$252,Poeng!AE$1,FALSE)</f>
        <v>0</v>
      </c>
      <c r="I42" s="109" t="str">
        <f>VLOOKUP(D42,Poeng!$B$10:$BE$252,Poeng!BE$1,FALSE)</f>
        <v>N/A</v>
      </c>
      <c r="J42" s="74"/>
      <c r="K42" s="241" t="s">
        <v>0</v>
      </c>
      <c r="L42" s="608"/>
      <c r="M42" s="623"/>
      <c r="N42" s="77"/>
      <c r="O42" s="108">
        <f>VLOOKUP(D42,Poeng!$B$10:$BC$252,Poeng!AF$1,FALSE)</f>
        <v>0</v>
      </c>
      <c r="P42" s="108" t="str">
        <f>VLOOKUP(D42,Poeng!$B$10:$BH$252,Poeng!BH$1,FALSE)</f>
        <v>N/A</v>
      </c>
      <c r="Q42" s="558"/>
      <c r="R42" s="559" t="s">
        <v>0</v>
      </c>
      <c r="S42" s="552"/>
      <c r="T42" s="276"/>
      <c r="U42" s="77"/>
      <c r="V42" s="108">
        <f>VLOOKUP(D42,Poeng!$B$10:$BC$252,Poeng!AG$1,FALSE)</f>
        <v>0</v>
      </c>
      <c r="W42" s="108" t="str">
        <f>VLOOKUP(D42,Poeng!$B$10:$BK$252,Poeng!BK$1,FALSE)</f>
        <v>N/A</v>
      </c>
      <c r="X42" s="75"/>
      <c r="Y42" s="74"/>
      <c r="Z42" s="552"/>
      <c r="AA42" s="117"/>
      <c r="AB42" s="516"/>
      <c r="AC42" s="20">
        <f t="shared" si="0"/>
        <v>1</v>
      </c>
      <c r="AD42" s="1">
        <f>VLOOKUP(K42,'Assessment Details'!$O$49:$P$52,2,FALSE)</f>
        <v>4</v>
      </c>
      <c r="AE42" s="1">
        <f>VLOOKUP(R42,'Assessment Details'!$O$49:$P$52,2,FALSE)</f>
        <v>4</v>
      </c>
      <c r="AF42" s="1" t="e">
        <f>VLOOKUP(Y42,'Assessment Details'!$O$49:$P$52,2,FALSE)</f>
        <v>#N/A</v>
      </c>
      <c r="AI42" s="64"/>
      <c r="AJ42" s="508"/>
      <c r="AK42" s="488"/>
      <c r="AL42" s="488"/>
      <c r="AM42" s="488"/>
      <c r="AN42" s="488"/>
      <c r="AO42" s="488"/>
      <c r="AP42" s="488"/>
      <c r="AS42" s="20"/>
      <c r="AT42" s="20"/>
      <c r="AU42" s="20"/>
      <c r="AV42" s="20"/>
      <c r="AW42" s="20"/>
      <c r="AX42" s="20"/>
      <c r="AZ42" s="481"/>
    </row>
    <row r="43" spans="1:58" x14ac:dyDescent="0.25">
      <c r="A43" s="1410">
        <v>34</v>
      </c>
      <c r="B43" s="1412" t="s">
        <v>60</v>
      </c>
      <c r="C43" s="109" t="str">
        <f t="shared" ref="C43:C102" si="6">C42</f>
        <v>Hea 01</v>
      </c>
      <c r="D43" s="628" t="s">
        <v>710</v>
      </c>
      <c r="E43" s="663" t="str">
        <f>VLOOKUP(D43,Poeng!$B$10:$R$252,Poeng!E$1,FALSE)</f>
        <v xml:space="preserve">Control of glare from sunlight </v>
      </c>
      <c r="F43" s="107">
        <f>VLOOKUP(D43,Poeng!$B$10:$AB$252,Poeng!AB$1,FALSE)</f>
        <v>1</v>
      </c>
      <c r="G43" s="1166">
        <f>'Assessment Issue Scoring'!G192</f>
        <v>0</v>
      </c>
      <c r="H43" s="108">
        <f>VLOOKUP(D43,Poeng!$B$10:$AE$252,Poeng!AE$1,FALSE)</f>
        <v>0</v>
      </c>
      <c r="I43" s="109" t="str">
        <f>VLOOKUP(D43,Poeng!$B$10:$BE$252,Poeng!BE$1,FALSE)</f>
        <v>N/A</v>
      </c>
      <c r="J43" s="74"/>
      <c r="K43" s="241"/>
      <c r="L43" s="608"/>
      <c r="M43" s="623"/>
      <c r="N43" s="77"/>
      <c r="O43" s="108">
        <f>VLOOKUP(D43,Poeng!$B$10:$BC$252,Poeng!AF$1,FALSE)</f>
        <v>0</v>
      </c>
      <c r="P43" s="108" t="str">
        <f>VLOOKUP(D43,Poeng!$B$10:$BH$252,Poeng!BH$1,FALSE)</f>
        <v>N/A</v>
      </c>
      <c r="Q43" s="558"/>
      <c r="R43" s="559"/>
      <c r="S43" s="552"/>
      <c r="T43" s="276"/>
      <c r="U43" s="77"/>
      <c r="V43" s="108">
        <f>VLOOKUP(D43,Poeng!$B$10:$BC$252,Poeng!AG$1,FALSE)</f>
        <v>0</v>
      </c>
      <c r="W43" s="108" t="str">
        <f>VLOOKUP(D43,Poeng!$B$10:$BK$252,Poeng!BK$1,FALSE)</f>
        <v>N/A</v>
      </c>
      <c r="X43" s="75"/>
      <c r="Y43" s="74"/>
      <c r="Z43" s="552"/>
      <c r="AA43" s="117"/>
      <c r="AB43" s="516"/>
      <c r="AC43" s="20">
        <f t="shared" si="0"/>
        <v>1</v>
      </c>
      <c r="AD43" s="1" t="e">
        <f>VLOOKUP(K43,'Assessment Details'!$O$49:$P$52,2,FALSE)</f>
        <v>#N/A</v>
      </c>
      <c r="AE43" s="1" t="e">
        <f>VLOOKUP(R43,'Assessment Details'!$O$49:$P$52,2,FALSE)</f>
        <v>#N/A</v>
      </c>
      <c r="AF43" s="1" t="e">
        <f>VLOOKUP(Y43,'Assessment Details'!$O$49:$P$52,2,FALSE)</f>
        <v>#N/A</v>
      </c>
      <c r="AI43" s="64"/>
      <c r="AJ43" s="508"/>
      <c r="AK43" s="488"/>
      <c r="AL43" s="488"/>
      <c r="AM43" s="488"/>
      <c r="AN43" s="488"/>
      <c r="AO43" s="488"/>
      <c r="AP43" s="488"/>
      <c r="AS43" s="20"/>
      <c r="AT43" s="20"/>
      <c r="AU43" s="20"/>
      <c r="AV43" s="20"/>
      <c r="AW43" s="20"/>
      <c r="AX43" s="20"/>
      <c r="AZ43" s="481"/>
    </row>
    <row r="44" spans="1:58" x14ac:dyDescent="0.25">
      <c r="A44" s="1410">
        <v>35</v>
      </c>
      <c r="B44" s="1412" t="s">
        <v>60</v>
      </c>
      <c r="C44" s="109" t="str">
        <f t="shared" si="6"/>
        <v>Hea 01</v>
      </c>
      <c r="D44" s="628" t="s">
        <v>711</v>
      </c>
      <c r="E44" s="663" t="str">
        <f>VLOOKUP(D44,Poeng!$B$10:$R$252,Poeng!E$1,FALSE)</f>
        <v xml:space="preserve">View out </v>
      </c>
      <c r="F44" s="107">
        <f>VLOOKUP(D44,Poeng!$B$10:$AB$252,Poeng!AB$1,FALSE)</f>
        <v>1</v>
      </c>
      <c r="G44" s="1166">
        <f>'Assessment Issue Scoring'!G193</f>
        <v>0</v>
      </c>
      <c r="H44" s="108">
        <f>VLOOKUP(D44,Poeng!$B$10:$AE$252,Poeng!AE$1,FALSE)</f>
        <v>0</v>
      </c>
      <c r="I44" s="109" t="str">
        <f>VLOOKUP(D44,Poeng!$B$10:$BE$252,Poeng!BE$1,FALSE)</f>
        <v>N/A</v>
      </c>
      <c r="J44" s="74"/>
      <c r="K44" s="241"/>
      <c r="L44" s="608"/>
      <c r="M44" s="623"/>
      <c r="N44" s="77"/>
      <c r="O44" s="108">
        <f>VLOOKUP(D44,Poeng!$B$10:$BC$252,Poeng!AF$1,FALSE)</f>
        <v>0</v>
      </c>
      <c r="P44" s="108" t="str">
        <f>VLOOKUP(D44,Poeng!$B$10:$BH$252,Poeng!BH$1,FALSE)</f>
        <v>N/A</v>
      </c>
      <c r="Q44" s="558"/>
      <c r="R44" s="559"/>
      <c r="S44" s="608"/>
      <c r="T44" s="276"/>
      <c r="U44" s="77"/>
      <c r="V44" s="108">
        <f>VLOOKUP(D44,Poeng!$B$10:$BC$252,Poeng!AG$1,FALSE)</f>
        <v>0</v>
      </c>
      <c r="W44" s="108" t="str">
        <f>VLOOKUP(D44,Poeng!$B$10:$BK$252,Poeng!BK$1,FALSE)</f>
        <v>N/A</v>
      </c>
      <c r="X44" s="75"/>
      <c r="Y44" s="74"/>
      <c r="Z44" s="608"/>
      <c r="AA44" s="117"/>
      <c r="AB44" s="516"/>
      <c r="AC44" s="20">
        <f t="shared" si="0"/>
        <v>1</v>
      </c>
      <c r="AD44" s="1" t="e">
        <f>VLOOKUP(K44,'Assessment Details'!$O$49:$P$52,2,FALSE)</f>
        <v>#N/A</v>
      </c>
      <c r="AE44" s="1" t="e">
        <f>VLOOKUP(R44,'Assessment Details'!$O$49:$P$52,2,FALSE)</f>
        <v>#N/A</v>
      </c>
      <c r="AF44" s="1" t="e">
        <f>VLOOKUP(Y44,'Assessment Details'!$O$49:$P$52,2,FALSE)</f>
        <v>#N/A</v>
      </c>
      <c r="AI44" s="64"/>
      <c r="AJ44" s="508"/>
      <c r="AK44" s="488"/>
      <c r="AL44" s="488"/>
      <c r="AM44" s="488"/>
      <c r="AN44" s="488"/>
      <c r="AO44" s="488"/>
      <c r="AP44" s="488"/>
      <c r="AS44" s="20"/>
      <c r="AT44" s="20"/>
      <c r="AU44" s="20"/>
      <c r="AV44" s="20"/>
      <c r="AW44" s="20"/>
      <c r="AX44" s="20"/>
      <c r="AZ44" s="481"/>
    </row>
    <row r="45" spans="1:58" x14ac:dyDescent="0.25">
      <c r="A45" s="1410">
        <v>36</v>
      </c>
      <c r="B45" s="1412" t="s">
        <v>60</v>
      </c>
      <c r="C45" s="109" t="str">
        <f t="shared" si="6"/>
        <v>Hea 01</v>
      </c>
      <c r="D45" s="628" t="s">
        <v>712</v>
      </c>
      <c r="E45" s="663" t="str">
        <f>VLOOKUP(D45,Poeng!$B$10:$R$252,Poeng!E$1,FALSE)</f>
        <v xml:space="preserve">Sunlight </v>
      </c>
      <c r="F45" s="107">
        <f>VLOOKUP(D45,Poeng!$B$10:$AB$252,Poeng!AB$1,FALSE)</f>
        <v>1</v>
      </c>
      <c r="G45" s="1166">
        <f>'Assessment Issue Scoring'!G194</f>
        <v>0</v>
      </c>
      <c r="H45" s="108">
        <f>VLOOKUP(D45,Poeng!$B$10:$AE$252,Poeng!AE$1,FALSE)</f>
        <v>0</v>
      </c>
      <c r="I45" s="109" t="str">
        <f>VLOOKUP(D45,Poeng!$B$10:$BE$252,Poeng!BE$1,FALSE)</f>
        <v>N/A</v>
      </c>
      <c r="J45" s="74"/>
      <c r="K45" s="241"/>
      <c r="L45" s="608"/>
      <c r="M45" s="623"/>
      <c r="N45" s="77"/>
      <c r="O45" s="108">
        <f>VLOOKUP(D45,Poeng!$B$10:$BC$252,Poeng!AF$1,FALSE)</f>
        <v>0</v>
      </c>
      <c r="P45" s="108" t="str">
        <f>VLOOKUP(D45,Poeng!$B$10:$BH$252,Poeng!BH$1,FALSE)</f>
        <v>N/A</v>
      </c>
      <c r="Q45" s="558"/>
      <c r="R45" s="559"/>
      <c r="S45" s="608"/>
      <c r="T45" s="276"/>
      <c r="U45" s="77"/>
      <c r="V45" s="108">
        <f>VLOOKUP(D45,Poeng!$B$10:$BC$252,Poeng!AG$1,FALSE)</f>
        <v>0</v>
      </c>
      <c r="W45" s="108" t="str">
        <f>VLOOKUP(D45,Poeng!$B$10:$BK$252,Poeng!BK$1,FALSE)</f>
        <v>N/A</v>
      </c>
      <c r="X45" s="75"/>
      <c r="Y45" s="74"/>
      <c r="Z45" s="608"/>
      <c r="AA45" s="117"/>
      <c r="AB45" s="516"/>
      <c r="AC45" s="20">
        <f t="shared" si="0"/>
        <v>1</v>
      </c>
      <c r="AD45" s="1" t="e">
        <f>VLOOKUP(K45,'Assessment Details'!$O$49:$P$52,2,FALSE)</f>
        <v>#N/A</v>
      </c>
      <c r="AE45" s="1" t="e">
        <f>VLOOKUP(R45,'Assessment Details'!$O$49:$P$52,2,FALSE)</f>
        <v>#N/A</v>
      </c>
      <c r="AF45" s="1" t="e">
        <f>VLOOKUP(Y45,'Assessment Details'!$O$49:$P$52,2,FALSE)</f>
        <v>#N/A</v>
      </c>
      <c r="AI45" s="64"/>
      <c r="AJ45" s="508"/>
      <c r="AK45" s="488"/>
      <c r="AL45" s="488"/>
      <c r="AM45" s="488"/>
      <c r="AN45" s="488"/>
      <c r="AO45" s="488"/>
      <c r="AP45" s="488"/>
      <c r="AS45" s="20"/>
      <c r="AT45" s="20"/>
      <c r="AU45" s="20"/>
      <c r="AV45" s="20"/>
      <c r="AW45" s="20"/>
      <c r="AX45" s="20"/>
      <c r="AZ45" s="481"/>
    </row>
    <row r="46" spans="1:58" x14ac:dyDescent="0.25">
      <c r="A46" s="1410">
        <v>37</v>
      </c>
      <c r="B46" s="1412" t="s">
        <v>60</v>
      </c>
      <c r="C46" s="109" t="str">
        <f t="shared" si="6"/>
        <v>Hea 01</v>
      </c>
      <c r="D46" s="628" t="s">
        <v>932</v>
      </c>
      <c r="E46" s="663" t="str">
        <f>VLOOKUP(D46,Poeng!$B$10:$R$252,Poeng!E$1,FALSE)</f>
        <v xml:space="preserve">Internal and external lighting levels, zoning and control </v>
      </c>
      <c r="F46" s="107">
        <f>VLOOKUP(D46,Poeng!$B$10:$AB$252,Poeng!AB$1,FALSE)</f>
        <v>1</v>
      </c>
      <c r="G46" s="1166">
        <f>'Assessment Issue Scoring'!G195</f>
        <v>0</v>
      </c>
      <c r="H46" s="108">
        <f>VLOOKUP(D46,Poeng!$B$10:$AE$252,Poeng!AE$1,FALSE)</f>
        <v>0</v>
      </c>
      <c r="I46" s="109" t="str">
        <f>VLOOKUP(D46,Poeng!$B$10:$BE$252,Poeng!BE$1,FALSE)</f>
        <v>N/A</v>
      </c>
      <c r="J46" s="74"/>
      <c r="K46" s="241"/>
      <c r="L46" s="608"/>
      <c r="M46" s="623"/>
      <c r="N46" s="77"/>
      <c r="O46" s="108">
        <f>VLOOKUP(D46,Poeng!$B$10:$BC$252,Poeng!AF$1,FALSE)</f>
        <v>0</v>
      </c>
      <c r="P46" s="108" t="str">
        <f>VLOOKUP(D46,Poeng!$B$10:$BH$252,Poeng!BH$1,FALSE)</f>
        <v>N/A</v>
      </c>
      <c r="Q46" s="558"/>
      <c r="R46" s="559"/>
      <c r="S46" s="552"/>
      <c r="T46" s="276"/>
      <c r="U46" s="77"/>
      <c r="V46" s="108">
        <f>VLOOKUP(D46,Poeng!$B$10:$BC$252,Poeng!AG$1,FALSE)</f>
        <v>0</v>
      </c>
      <c r="W46" s="108" t="str">
        <f>VLOOKUP(D46,Poeng!$B$10:$BK$252,Poeng!BK$1,FALSE)</f>
        <v>N/A</v>
      </c>
      <c r="X46" s="75"/>
      <c r="Y46" s="74"/>
      <c r="Z46" s="552"/>
      <c r="AA46" s="117"/>
      <c r="AB46" s="516"/>
      <c r="AC46" s="20">
        <f t="shared" si="0"/>
        <v>1</v>
      </c>
      <c r="AD46" s="1" t="e">
        <f>VLOOKUP(K46,'Assessment Details'!$O$49:$P$52,2,FALSE)</f>
        <v>#N/A</v>
      </c>
      <c r="AE46" s="1" t="e">
        <f>VLOOKUP(R46,'Assessment Details'!$O$49:$P$52,2,FALSE)</f>
        <v>#N/A</v>
      </c>
      <c r="AF46" s="1" t="e">
        <f>VLOOKUP(Y46,'Assessment Details'!$O$49:$P$52,2,FALSE)</f>
        <v>#N/A</v>
      </c>
      <c r="AI46" s="64"/>
      <c r="AJ46" s="508"/>
      <c r="AK46" s="488"/>
      <c r="AL46" s="488"/>
      <c r="AM46" s="488"/>
      <c r="AN46" s="488"/>
      <c r="AO46" s="488"/>
      <c r="AP46" s="488"/>
      <c r="AS46" s="20"/>
      <c r="AT46" s="20"/>
      <c r="AU46" s="20"/>
      <c r="AV46" s="20"/>
      <c r="AW46" s="20"/>
      <c r="AX46" s="20"/>
      <c r="AZ46" s="481"/>
    </row>
    <row r="47" spans="1:58" x14ac:dyDescent="0.25">
      <c r="A47" s="1410">
        <v>38</v>
      </c>
      <c r="B47" s="1412" t="s">
        <v>60</v>
      </c>
      <c r="C47" s="690" t="s">
        <v>112</v>
      </c>
      <c r="D47" s="628" t="s">
        <v>112</v>
      </c>
      <c r="E47" s="662" t="str">
        <f>VLOOKUP(D47,Poeng!$B$10:$R$252,Poeng!E$1,FALSE)</f>
        <v>Hea 02 Indoor air quality</v>
      </c>
      <c r="F47" s="667">
        <f>VLOOKUP(D47,Poeng!$B$10:$AB$252,Poeng!AB$1,FALSE)</f>
        <v>4</v>
      </c>
      <c r="G47" s="742"/>
      <c r="H47" s="668" t="str">
        <f>VLOOKUP(D47,Poeng!$B$10:$AI$252,Poeng!AI$1,FALSE)&amp;" c. "&amp;ROUND(VLOOKUP(D47,Poeng!$B$10:$AE$252,Poeng!AE$1,FALSE)*100,1)&amp;" %"</f>
        <v>0 c. 0 %</v>
      </c>
      <c r="I47" s="690" t="str">
        <f>VLOOKUP(D47,Poeng!$B$10:$BE$252,Poeng!BE$1,FALSE)</f>
        <v>N/A</v>
      </c>
      <c r="J47" s="74"/>
      <c r="K47" s="241"/>
      <c r="L47" s="608"/>
      <c r="M47" s="623"/>
      <c r="N47" s="742"/>
      <c r="O47" s="679" t="str">
        <f>VLOOKUP(D47,Poeng!$B$10:$BC$252,Poeng!AJ$1,FALSE)&amp;" c. "&amp;ROUND(VLOOKUP(D47,Poeng!$B$10:$BC$252,Poeng!AF$1,FALSE)*100,1)&amp;" %"</f>
        <v>0 c. 0 %</v>
      </c>
      <c r="P47" s="108" t="str">
        <f>VLOOKUP(D47,Poeng!$B$10:$BH$252,Poeng!BH$1,FALSE)</f>
        <v>N/A</v>
      </c>
      <c r="Q47" s="558"/>
      <c r="R47" s="559"/>
      <c r="S47" s="552"/>
      <c r="T47" s="276"/>
      <c r="U47" s="742"/>
      <c r="V47" s="679" t="str">
        <f>VLOOKUP(D47,Poeng!$B$10:$BC$252,Poeng!AK$1,FALSE)&amp;" c. "&amp;ROUND(VLOOKUP(D47,Poeng!$B$10:$BC$252,Poeng!AG$1,FALSE)*100,1)&amp;" %"</f>
        <v>0 c. 0 %</v>
      </c>
      <c r="W47" s="108" t="str">
        <f>VLOOKUP(D47,Poeng!$B$10:$BK$252,Poeng!BK$1,FALSE)</f>
        <v>N/A</v>
      </c>
      <c r="X47" s="75"/>
      <c r="Y47" s="74"/>
      <c r="Z47" s="552"/>
      <c r="AA47" s="117"/>
      <c r="AB47" s="481" t="s">
        <v>425</v>
      </c>
      <c r="AC47" s="20">
        <f t="shared" si="0"/>
        <v>1</v>
      </c>
      <c r="AD47" s="1" t="e">
        <f>VLOOKUP(K47,'Assessment Details'!$O$49:$P$52,2,FALSE)</f>
        <v>#N/A</v>
      </c>
      <c r="AE47" s="1" t="e">
        <f>VLOOKUP(R47,'Assessment Details'!$O$49:$P$52,2,FALSE)</f>
        <v>#N/A</v>
      </c>
      <c r="AF47" s="1" t="e">
        <f>VLOOKUP(Y47,'Assessment Details'!$O$49:$P$52,2,FALSE)</f>
        <v>#N/A</v>
      </c>
      <c r="AI47" s="64" t="str">
        <f>ais_ja</f>
        <v>Ja</v>
      </c>
      <c r="AJ47" s="508" t="s">
        <v>106</v>
      </c>
      <c r="AK47" s="488" t="s">
        <v>423</v>
      </c>
      <c r="AL47" s="488" t="s">
        <v>424</v>
      </c>
      <c r="AM47" s="488" t="s">
        <v>425</v>
      </c>
      <c r="AN47" s="488" t="s">
        <v>426</v>
      </c>
      <c r="AO47" s="488" t="s">
        <v>417</v>
      </c>
      <c r="AP47" s="488"/>
      <c r="AR47" s="1" t="s">
        <v>13</v>
      </c>
      <c r="AS47" s="20" t="str">
        <f t="shared" si="3"/>
        <v>N/A</v>
      </c>
      <c r="AT47" s="20" t="str">
        <f t="shared" si="1"/>
        <v>N/A</v>
      </c>
      <c r="AU47" s="20" t="str">
        <f t="shared" si="2"/>
        <v>N/A</v>
      </c>
      <c r="AV47" s="20" t="str">
        <f t="shared" ref="AV47" si="7">IF($AJ$4=ais_nei,AIS_NA,IF(AN47="",AIS_NA,AN47))</f>
        <v>N/A</v>
      </c>
      <c r="AW47" s="20" t="str">
        <f t="shared" ref="AW47" si="8">IF($AJ$4=ais_nei,AIS_NA,IF(AO47="",AIS_NA,AO47))</f>
        <v>N/A</v>
      </c>
      <c r="AX47" s="20"/>
      <c r="AZ47" s="481"/>
    </row>
    <row r="48" spans="1:58" x14ac:dyDescent="0.25">
      <c r="A48" s="1410">
        <v>39</v>
      </c>
      <c r="B48" s="1412" t="s">
        <v>60</v>
      </c>
      <c r="C48" s="109" t="str">
        <f t="shared" si="6"/>
        <v>Hea 02</v>
      </c>
      <c r="D48" s="16" t="s">
        <v>713</v>
      </c>
      <c r="E48" s="663" t="str">
        <f>VLOOKUP(D48,Poeng!$B$10:$R$252,Poeng!E$1,FALSE)</f>
        <v xml:space="preserve">Pre-requisite: indoor air quality </v>
      </c>
      <c r="F48" s="107" t="str">
        <f>VLOOKUP(D48,Poeng!$B$10:$AB$252,Poeng!AB$1,FALSE)</f>
        <v>Yes/No</v>
      </c>
      <c r="G48" s="1261" t="str">
        <f>'Assessment Issue Scoring'!E218</f>
        <v>Yes</v>
      </c>
      <c r="H48" s="108" t="str">
        <f>VLOOKUP(D48,Poeng!$B$10:$AE$252,Poeng!AE$1,FALSE)</f>
        <v>-</v>
      </c>
      <c r="I48" s="109" t="str">
        <f>VLOOKUP(D48,Poeng!$B$10:$BE$252,Poeng!BE$1,FALSE)</f>
        <v>Outstanding</v>
      </c>
      <c r="J48" s="74"/>
      <c r="K48" s="241"/>
      <c r="L48" s="608"/>
      <c r="M48" s="623"/>
      <c r="N48" s="77"/>
      <c r="O48" s="108" t="str">
        <f>VLOOKUP(D48,Poeng!$B$10:$BC$252,Poeng!AF$1,FALSE)</f>
        <v>-</v>
      </c>
      <c r="P48" s="108" t="str">
        <f>VLOOKUP(D48,Poeng!$B$10:$BH$252,Poeng!BH$1,FALSE)</f>
        <v>Unclassified</v>
      </c>
      <c r="Q48" s="558"/>
      <c r="R48" s="559"/>
      <c r="S48" s="552"/>
      <c r="T48" s="276"/>
      <c r="U48" s="77"/>
      <c r="V48" s="108" t="str">
        <f>VLOOKUP(D48,Poeng!$B$10:$BC$252,Poeng!AG$1,FALSE)</f>
        <v>-</v>
      </c>
      <c r="W48" s="108" t="str">
        <f>VLOOKUP(D48,Poeng!$B$10:$BK$252,Poeng!BK$1,FALSE)</f>
        <v>Unclassified</v>
      </c>
      <c r="X48" s="75"/>
      <c r="Y48" s="74"/>
      <c r="Z48" s="552"/>
      <c r="AC48" s="20">
        <f t="shared" si="0"/>
        <v>1</v>
      </c>
      <c r="AD48" s="1" t="e">
        <f>VLOOKUP(K48,'Assessment Details'!$O$49:$P$52,2,FALSE)</f>
        <v>#N/A</v>
      </c>
      <c r="AE48" s="1" t="e">
        <f>VLOOKUP(R48,'Assessment Details'!$O$49:$P$52,2,FALSE)</f>
        <v>#N/A</v>
      </c>
      <c r="AF48" s="1" t="e">
        <f>VLOOKUP(Y48,'Assessment Details'!$O$49:$P$52,2,FALSE)</f>
        <v>#N/A</v>
      </c>
    </row>
    <row r="49" spans="1:52" x14ac:dyDescent="0.25">
      <c r="A49" s="1410">
        <v>40</v>
      </c>
      <c r="B49" s="1412" t="s">
        <v>60</v>
      </c>
      <c r="C49" s="109" t="str">
        <f t="shared" si="6"/>
        <v>Hea 02</v>
      </c>
      <c r="D49" s="16" t="s">
        <v>714</v>
      </c>
      <c r="E49" s="663" t="str">
        <f>VLOOKUP(D49,Poeng!$B$10:$R$252,Poeng!E$1,FALSE)</f>
        <v>Ventilation</v>
      </c>
      <c r="F49" s="107">
        <f>VLOOKUP(D49,Poeng!$B$10:$AB$252,Poeng!AB$1,FALSE)</f>
        <v>1</v>
      </c>
      <c r="G49" s="1166">
        <f>'Assessment Issue Scoring'!G219</f>
        <v>0</v>
      </c>
      <c r="H49" s="108">
        <f>VLOOKUP(D49,Poeng!$B$10:$AE$252,Poeng!AE$1,FALSE)</f>
        <v>0</v>
      </c>
      <c r="I49" s="109" t="str">
        <f>VLOOKUP(D49,Poeng!$B$10:$BE$252,Poeng!BE$1,FALSE)</f>
        <v>N/A</v>
      </c>
      <c r="J49" s="74"/>
      <c r="K49" s="241"/>
      <c r="L49" s="608"/>
      <c r="M49" s="623"/>
      <c r="N49" s="77"/>
      <c r="O49" s="108">
        <f>VLOOKUP(D49,Poeng!$B$10:$BC$252,Poeng!AF$1,FALSE)</f>
        <v>0</v>
      </c>
      <c r="P49" s="108" t="str">
        <f>VLOOKUP(D49,Poeng!$B$10:$BH$252,Poeng!BH$1,FALSE)</f>
        <v>N/A</v>
      </c>
      <c r="Q49" s="558"/>
      <c r="R49" s="559"/>
      <c r="S49" s="552"/>
      <c r="T49" s="276"/>
      <c r="U49" s="77"/>
      <c r="V49" s="108">
        <f>VLOOKUP(D49,Poeng!$B$10:$BC$252,Poeng!AG$1,FALSE)</f>
        <v>0</v>
      </c>
      <c r="W49" s="108" t="str">
        <f>VLOOKUP(D49,Poeng!$B$10:$BK$252,Poeng!BK$1,FALSE)</f>
        <v>N/A</v>
      </c>
      <c r="X49" s="75"/>
      <c r="Y49" s="74"/>
      <c r="Z49" s="552"/>
      <c r="AC49" s="20">
        <f t="shared" si="0"/>
        <v>1</v>
      </c>
      <c r="AD49" s="1" t="e">
        <f>VLOOKUP(K49,'Assessment Details'!$O$49:$P$52,2,FALSE)</f>
        <v>#N/A</v>
      </c>
      <c r="AE49" s="1" t="e">
        <f>VLOOKUP(R49,'Assessment Details'!$O$49:$P$52,2,FALSE)</f>
        <v>#N/A</v>
      </c>
      <c r="AF49" s="1" t="e">
        <f>VLOOKUP(Y49,'Assessment Details'!$O$49:$P$52,2,FALSE)</f>
        <v>#N/A</v>
      </c>
    </row>
    <row r="50" spans="1:52" x14ac:dyDescent="0.25">
      <c r="A50" s="1410">
        <v>41</v>
      </c>
      <c r="B50" s="1412" t="s">
        <v>60</v>
      </c>
      <c r="C50" s="109" t="str">
        <f t="shared" si="6"/>
        <v>Hea 02</v>
      </c>
      <c r="D50" s="16" t="s">
        <v>715</v>
      </c>
      <c r="E50" s="663" t="str">
        <f>VLOOKUP(D50,Poeng!$B$10:$R$252,Poeng!E$1,FALSE)</f>
        <v>Emissions from construction products (EU taxonomy requirement: criterion 5)</v>
      </c>
      <c r="F50" s="107">
        <f>VLOOKUP(D50,Poeng!$B$10:$AB$252,Poeng!AB$1,FALSE)</f>
        <v>2</v>
      </c>
      <c r="G50" s="1261">
        <f>'Assessment Issue Scoring'!G220</f>
        <v>0</v>
      </c>
      <c r="H50" s="108">
        <f>VLOOKUP(D50,Poeng!$B$10:$AE$252,Poeng!AE$1,FALSE)</f>
        <v>0</v>
      </c>
      <c r="I50" s="109" t="str">
        <f>VLOOKUP(D50,Poeng!$B$10:$BE$252,Poeng!BE$1,FALSE)</f>
        <v>Good</v>
      </c>
      <c r="J50" s="74"/>
      <c r="K50" s="241"/>
      <c r="L50" s="608"/>
      <c r="M50" s="623"/>
      <c r="N50" s="77"/>
      <c r="O50" s="108">
        <f>VLOOKUP(D50,Poeng!$B$10:$BC$252,Poeng!AF$1,FALSE)</f>
        <v>0</v>
      </c>
      <c r="P50" s="108" t="str">
        <f>VLOOKUP(D50,Poeng!$B$10:$BH$252,Poeng!BH$1,FALSE)</f>
        <v>Good</v>
      </c>
      <c r="Q50" s="558"/>
      <c r="R50" s="559"/>
      <c r="S50" s="552"/>
      <c r="T50" s="276"/>
      <c r="U50" s="77"/>
      <c r="V50" s="108">
        <f>VLOOKUP(D50,Poeng!$B$10:$BC$252,Poeng!AG$1,FALSE)</f>
        <v>0</v>
      </c>
      <c r="W50" s="108" t="str">
        <f>VLOOKUP(D50,Poeng!$B$10:$BK$252,Poeng!BK$1,FALSE)</f>
        <v>Good</v>
      </c>
      <c r="X50" s="75"/>
      <c r="Y50" s="74"/>
      <c r="Z50" s="552"/>
      <c r="AC50" s="20">
        <f t="shared" si="0"/>
        <v>1</v>
      </c>
      <c r="AD50" s="1" t="e">
        <f>VLOOKUP(K50,'Assessment Details'!$O$49:$P$52,2,FALSE)</f>
        <v>#N/A</v>
      </c>
      <c r="AE50" s="1" t="e">
        <f>VLOOKUP(R50,'Assessment Details'!$O$49:$P$52,2,FALSE)</f>
        <v>#N/A</v>
      </c>
      <c r="AF50" s="1" t="e">
        <f>VLOOKUP(Y50,'Assessment Details'!$O$49:$P$52,2,FALSE)</f>
        <v>#N/A</v>
      </c>
    </row>
    <row r="51" spans="1:52" x14ac:dyDescent="0.25">
      <c r="A51" s="1410">
        <v>42</v>
      </c>
      <c r="B51" s="1412" t="s">
        <v>60</v>
      </c>
      <c r="C51" s="109" t="str">
        <f t="shared" si="6"/>
        <v>Hea 02</v>
      </c>
      <c r="D51" s="16" t="s">
        <v>716</v>
      </c>
      <c r="E51" s="663" t="str">
        <f>VLOOKUP(D51,Poeng!$B$10:$R$252,Poeng!E$1,FALSE)</f>
        <v xml:space="preserve">Post-construction indoor air quality measurement </v>
      </c>
      <c r="F51" s="107">
        <f>VLOOKUP(D51,Poeng!$B$10:$AB$252,Poeng!AB$1,FALSE)</f>
        <v>1</v>
      </c>
      <c r="G51" s="1166">
        <f>'Assessment Issue Scoring'!G221</f>
        <v>0</v>
      </c>
      <c r="H51" s="108">
        <f>VLOOKUP(D51,Poeng!$B$10:$AE$252,Poeng!AE$1,FALSE)</f>
        <v>0</v>
      </c>
      <c r="I51" s="109" t="str">
        <f>VLOOKUP(D51,Poeng!$B$10:$BE$252,Poeng!BE$1,FALSE)</f>
        <v>N/A</v>
      </c>
      <c r="J51" s="74"/>
      <c r="K51" s="241"/>
      <c r="L51" s="608"/>
      <c r="M51" s="623"/>
      <c r="N51" s="77"/>
      <c r="O51" s="108">
        <f>VLOOKUP(D51,Poeng!$B$10:$BC$252,Poeng!AF$1,FALSE)</f>
        <v>0</v>
      </c>
      <c r="P51" s="108" t="str">
        <f>VLOOKUP(D51,Poeng!$B$10:$BH$252,Poeng!BH$1,FALSE)</f>
        <v>N/A</v>
      </c>
      <c r="Q51" s="558"/>
      <c r="R51" s="559"/>
      <c r="S51" s="552"/>
      <c r="T51" s="276"/>
      <c r="U51" s="77"/>
      <c r="V51" s="108">
        <f>VLOOKUP(D51,Poeng!$B$10:$BC$252,Poeng!AG$1,FALSE)</f>
        <v>0</v>
      </c>
      <c r="W51" s="108" t="str">
        <f>VLOOKUP(D51,Poeng!$B$10:$BK$252,Poeng!BK$1,FALSE)</f>
        <v>N/A</v>
      </c>
      <c r="X51" s="75"/>
      <c r="Y51" s="74"/>
      <c r="Z51" s="552"/>
      <c r="AC51" s="20">
        <f t="shared" si="0"/>
        <v>1</v>
      </c>
      <c r="AD51" s="1" t="e">
        <f>VLOOKUP(K51,'Assessment Details'!$O$49:$P$52,2,FALSE)</f>
        <v>#N/A</v>
      </c>
      <c r="AE51" s="1" t="e">
        <f>VLOOKUP(R51,'Assessment Details'!$O$49:$P$52,2,FALSE)</f>
        <v>#N/A</v>
      </c>
      <c r="AF51" s="1" t="e">
        <f>VLOOKUP(Y51,'Assessment Details'!$O$49:$P$52,2,FALSE)</f>
        <v>#N/A</v>
      </c>
    </row>
    <row r="52" spans="1:52" x14ac:dyDescent="0.25">
      <c r="A52" s="1410">
        <v>43</v>
      </c>
      <c r="B52" s="1412" t="s">
        <v>60</v>
      </c>
      <c r="C52" s="690" t="s">
        <v>113</v>
      </c>
      <c r="D52" s="628" t="s">
        <v>113</v>
      </c>
      <c r="E52" s="662" t="str">
        <f>VLOOKUP(D52,Poeng!$B$10:$R$252,Poeng!E$1,FALSE)</f>
        <v>Hea 03 Thermal comfort</v>
      </c>
      <c r="F52" s="667">
        <f>VLOOKUP(D52,Poeng!$B$10:$AB$252,Poeng!AB$1,FALSE)</f>
        <v>3</v>
      </c>
      <c r="G52" s="742"/>
      <c r="H52" s="668" t="str">
        <f>VLOOKUP(D52,Poeng!$B$10:$AI$252,Poeng!AI$1,FALSE)&amp;" c. "&amp;ROUND(VLOOKUP(D52,Poeng!$B$10:$AE$252,Poeng!AE$1,FALSE)*100,1)&amp;" %"</f>
        <v>0 c. 0 %</v>
      </c>
      <c r="I52" s="690" t="str">
        <f>VLOOKUP(D52,Poeng!$B$10:$BE$252,Poeng!BE$1,FALSE)</f>
        <v>N/A</v>
      </c>
      <c r="J52" s="74"/>
      <c r="K52" s="241"/>
      <c r="L52" s="608"/>
      <c r="M52" s="623"/>
      <c r="N52" s="742"/>
      <c r="O52" s="679" t="str">
        <f>VLOOKUP(D52,Poeng!$B$10:$BC$252,Poeng!AJ$1,FALSE)&amp;" c. "&amp;ROUND(VLOOKUP(D52,Poeng!$B$10:$BC$252,Poeng!AF$1,FALSE)*100,1)&amp;" %"</f>
        <v>0 c. 0 %</v>
      </c>
      <c r="P52" s="108" t="str">
        <f>VLOOKUP(D52,Poeng!$B$10:$BH$252,Poeng!BH$1,FALSE)</f>
        <v>N/A</v>
      </c>
      <c r="Q52" s="558"/>
      <c r="R52" s="559"/>
      <c r="S52" s="552"/>
      <c r="T52" s="276"/>
      <c r="U52" s="742"/>
      <c r="V52" s="679" t="str">
        <f>VLOOKUP(D52,Poeng!$B$10:$BC$252,Poeng!AK$1,FALSE)&amp;" c. "&amp;ROUND(VLOOKUP(D52,Poeng!$B$10:$BC$252,Poeng!AG$1,FALSE)*100,1)&amp;" %"</f>
        <v>0 c. 0 %</v>
      </c>
      <c r="W52" s="108" t="str">
        <f>VLOOKUP(D52,Poeng!$B$10:$BK$252,Poeng!BK$1,FALSE)</f>
        <v>N/A</v>
      </c>
      <c r="X52" s="75"/>
      <c r="Y52" s="74"/>
      <c r="Z52" s="552"/>
      <c r="AA52" s="117"/>
      <c r="AB52" s="481" t="s">
        <v>13</v>
      </c>
      <c r="AC52" s="20">
        <f t="shared" si="0"/>
        <v>1</v>
      </c>
      <c r="AD52" s="1" t="e">
        <f>VLOOKUP(K52,'Assessment Details'!$O$49:$P$52,2,FALSE)</f>
        <v>#N/A</v>
      </c>
      <c r="AE52" s="1" t="e">
        <f>VLOOKUP(R52,'Assessment Details'!$O$49:$P$52,2,FALSE)</f>
        <v>#N/A</v>
      </c>
      <c r="AF52" s="1" t="e">
        <f>VLOOKUP(Y52,'Assessment Details'!$O$49:$P$52,2,FALSE)</f>
        <v>#N/A</v>
      </c>
      <c r="AI52" s="64" t="str">
        <f>ais_ja</f>
        <v>Ja</v>
      </c>
      <c r="AJ52" s="508" t="s">
        <v>107</v>
      </c>
      <c r="AK52" s="487" t="s">
        <v>385</v>
      </c>
      <c r="AL52" s="487" t="s">
        <v>389</v>
      </c>
      <c r="AM52" s="487" t="s">
        <v>387</v>
      </c>
      <c r="AN52" s="64"/>
      <c r="AO52" s="64"/>
      <c r="AP52" s="64"/>
      <c r="AR52" s="1" t="s">
        <v>13</v>
      </c>
      <c r="AS52" s="20" t="str">
        <f t="shared" si="3"/>
        <v>N/A</v>
      </c>
      <c r="AT52" s="20" t="str">
        <f t="shared" si="1"/>
        <v>N/A</v>
      </c>
      <c r="AU52" s="20" t="str">
        <f t="shared" si="2"/>
        <v>N/A</v>
      </c>
      <c r="AV52" s="20"/>
      <c r="AW52" s="20"/>
      <c r="AX52" s="20"/>
      <c r="AZ52" s="481"/>
    </row>
    <row r="53" spans="1:52" x14ac:dyDescent="0.25">
      <c r="A53" s="1410">
        <v>44</v>
      </c>
      <c r="B53" s="1412" t="s">
        <v>60</v>
      </c>
      <c r="C53" s="109" t="str">
        <f t="shared" si="6"/>
        <v>Hea 03</v>
      </c>
      <c r="D53" s="628" t="s">
        <v>717</v>
      </c>
      <c r="E53" s="663" t="str">
        <f>VLOOKUP(D53,Poeng!$B$10:$R$252,Poeng!E$1,FALSE)</f>
        <v xml:space="preserve">Thermal modelling </v>
      </c>
      <c r="F53" s="107">
        <f>VLOOKUP(D53,Poeng!$B$10:$AB$252,Poeng!AB$1,FALSE)</f>
        <v>1</v>
      </c>
      <c r="G53" s="1166">
        <f>'Assessment Issue Scoring'!G248</f>
        <v>0</v>
      </c>
      <c r="H53" s="108">
        <f>VLOOKUP(D53,Poeng!$B$10:$AE$252,Poeng!AE$1,FALSE)</f>
        <v>0</v>
      </c>
      <c r="I53" s="109" t="str">
        <f>VLOOKUP(D53,Poeng!$B$10:$BE$252,Poeng!BE$1,FALSE)</f>
        <v>N/A</v>
      </c>
      <c r="J53" s="74"/>
      <c r="K53" s="241"/>
      <c r="L53" s="608"/>
      <c r="M53" s="623"/>
      <c r="N53" s="77"/>
      <c r="O53" s="108">
        <f>VLOOKUP(D53,Poeng!$B$10:$BC$252,Poeng!AF$1,FALSE)</f>
        <v>0</v>
      </c>
      <c r="P53" s="108" t="str">
        <f>VLOOKUP(D53,Poeng!$B$10:$BH$252,Poeng!BH$1,FALSE)</f>
        <v>N/A</v>
      </c>
      <c r="Q53" s="558"/>
      <c r="R53" s="559"/>
      <c r="S53" s="552"/>
      <c r="T53" s="276"/>
      <c r="U53" s="77"/>
      <c r="V53" s="108">
        <f>VLOOKUP(D53,Poeng!$B$10:$BC$252,Poeng!AG$1,FALSE)</f>
        <v>0</v>
      </c>
      <c r="W53" s="108" t="str">
        <f>VLOOKUP(D53,Poeng!$B$10:$BK$252,Poeng!BK$1,FALSE)</f>
        <v>N/A</v>
      </c>
      <c r="X53" s="75"/>
      <c r="Y53" s="74"/>
      <c r="Z53" s="608"/>
      <c r="AA53" s="117"/>
      <c r="AB53" s="481"/>
      <c r="AC53" s="20">
        <f t="shared" si="0"/>
        <v>1</v>
      </c>
      <c r="AD53" s="1" t="e">
        <f>VLOOKUP(K53,'Assessment Details'!$O$49:$P$52,2,FALSE)</f>
        <v>#N/A</v>
      </c>
      <c r="AE53" s="1" t="e">
        <f>VLOOKUP(R53,'Assessment Details'!$O$49:$P$52,2,FALSE)</f>
        <v>#N/A</v>
      </c>
      <c r="AF53" s="1" t="e">
        <f>VLOOKUP(Y53,'Assessment Details'!$O$49:$P$52,2,FALSE)</f>
        <v>#N/A</v>
      </c>
      <c r="AI53" s="64"/>
      <c r="AJ53" s="508"/>
      <c r="AK53" s="487"/>
      <c r="AL53" s="487"/>
      <c r="AM53" s="487"/>
      <c r="AN53" s="64"/>
      <c r="AO53" s="64"/>
      <c r="AP53" s="64"/>
      <c r="AS53" s="20"/>
      <c r="AT53" s="20"/>
      <c r="AU53" s="20"/>
      <c r="AV53" s="20"/>
      <c r="AW53" s="20"/>
      <c r="AX53" s="20"/>
      <c r="AZ53" s="481"/>
    </row>
    <row r="54" spans="1:52" x14ac:dyDescent="0.25">
      <c r="A54" s="1410">
        <v>45</v>
      </c>
      <c r="B54" s="1412" t="s">
        <v>60</v>
      </c>
      <c r="C54" s="109" t="str">
        <f t="shared" si="6"/>
        <v>Hea 03</v>
      </c>
      <c r="D54" s="628" t="s">
        <v>718</v>
      </c>
      <c r="E54" s="663" t="str">
        <f>VLOOKUP(D54,Poeng!$B$10:$R$252,Poeng!E$1,FALSE)</f>
        <v xml:space="preserve">Design for future thermal comfort </v>
      </c>
      <c r="F54" s="107">
        <f>VLOOKUP(D54,Poeng!$B$10:$AB$252,Poeng!AB$1,FALSE)</f>
        <v>1</v>
      </c>
      <c r="G54" s="1166">
        <f>'Assessment Issue Scoring'!G249</f>
        <v>0</v>
      </c>
      <c r="H54" s="108">
        <f>VLOOKUP(D54,Poeng!$B$10:$AE$252,Poeng!AE$1,FALSE)</f>
        <v>0</v>
      </c>
      <c r="I54" s="109" t="str">
        <f>VLOOKUP(D54,Poeng!$B$10:$BE$252,Poeng!BE$1,FALSE)</f>
        <v>N/A</v>
      </c>
      <c r="J54" s="74"/>
      <c r="K54" s="241"/>
      <c r="L54" s="608"/>
      <c r="M54" s="623"/>
      <c r="N54" s="77"/>
      <c r="O54" s="108">
        <f>VLOOKUP(D54,Poeng!$B$10:$BC$252,Poeng!AF$1,FALSE)</f>
        <v>0</v>
      </c>
      <c r="P54" s="108" t="str">
        <f>VLOOKUP(D54,Poeng!$B$10:$BH$252,Poeng!BH$1,FALSE)</f>
        <v>N/A</v>
      </c>
      <c r="Q54" s="558"/>
      <c r="R54" s="559"/>
      <c r="S54" s="552"/>
      <c r="T54" s="276"/>
      <c r="U54" s="77"/>
      <c r="V54" s="108">
        <f>VLOOKUP(D54,Poeng!$B$10:$BC$252,Poeng!AG$1,FALSE)</f>
        <v>0</v>
      </c>
      <c r="W54" s="108" t="str">
        <f>VLOOKUP(D54,Poeng!$B$10:$BK$252,Poeng!BK$1,FALSE)</f>
        <v>N/A</v>
      </c>
      <c r="X54" s="75"/>
      <c r="Y54" s="74"/>
      <c r="Z54" s="608"/>
      <c r="AA54" s="117"/>
      <c r="AB54" s="481"/>
      <c r="AC54" s="20">
        <f t="shared" si="0"/>
        <v>1</v>
      </c>
      <c r="AD54" s="1" t="e">
        <f>VLOOKUP(K54,'Assessment Details'!$O$49:$P$52,2,FALSE)</f>
        <v>#N/A</v>
      </c>
      <c r="AE54" s="1" t="e">
        <f>VLOOKUP(R54,'Assessment Details'!$O$49:$P$52,2,FALSE)</f>
        <v>#N/A</v>
      </c>
      <c r="AF54" s="1" t="e">
        <f>VLOOKUP(Y54,'Assessment Details'!$O$49:$P$52,2,FALSE)</f>
        <v>#N/A</v>
      </c>
      <c r="AI54" s="64"/>
      <c r="AJ54" s="508"/>
      <c r="AK54" s="487"/>
      <c r="AL54" s="487"/>
      <c r="AM54" s="487"/>
      <c r="AN54" s="64"/>
      <c r="AO54" s="64"/>
      <c r="AP54" s="64"/>
      <c r="AS54" s="20"/>
      <c r="AT54" s="20"/>
      <c r="AU54" s="20"/>
      <c r="AV54" s="20"/>
      <c r="AW54" s="20"/>
      <c r="AX54" s="20"/>
      <c r="AZ54" s="481"/>
    </row>
    <row r="55" spans="1:52" x14ac:dyDescent="0.25">
      <c r="A55" s="1410">
        <v>46</v>
      </c>
      <c r="B55" s="1412" t="s">
        <v>60</v>
      </c>
      <c r="C55" s="109" t="str">
        <f t="shared" si="6"/>
        <v>Hea 03</v>
      </c>
      <c r="D55" s="628" t="s">
        <v>719</v>
      </c>
      <c r="E55" s="663" t="str">
        <f>VLOOKUP(D55,Poeng!$B$10:$R$252,Poeng!E$1,FALSE)</f>
        <v xml:space="preserve">Thermal zoning and controls </v>
      </c>
      <c r="F55" s="107">
        <f>VLOOKUP(D55,Poeng!$B$10:$AB$252,Poeng!AB$1,FALSE)</f>
        <v>1</v>
      </c>
      <c r="G55" s="1166">
        <f>'Assessment Issue Scoring'!G250</f>
        <v>0</v>
      </c>
      <c r="H55" s="108">
        <f>VLOOKUP(D55,Poeng!$B$10:$AE$252,Poeng!AE$1,FALSE)</f>
        <v>0</v>
      </c>
      <c r="I55" s="109" t="str">
        <f>VLOOKUP(D55,Poeng!$B$10:$BE$252,Poeng!BE$1,FALSE)</f>
        <v>N/A</v>
      </c>
      <c r="J55" s="74"/>
      <c r="K55" s="241"/>
      <c r="L55" s="608"/>
      <c r="M55" s="623"/>
      <c r="N55" s="77"/>
      <c r="O55" s="108">
        <f>VLOOKUP(D55,Poeng!$B$10:$BC$252,Poeng!AF$1,FALSE)</f>
        <v>0</v>
      </c>
      <c r="P55" s="108" t="str">
        <f>VLOOKUP(D55,Poeng!$B$10:$BH$252,Poeng!BH$1,FALSE)</f>
        <v>N/A</v>
      </c>
      <c r="Q55" s="558"/>
      <c r="R55" s="559"/>
      <c r="S55" s="552"/>
      <c r="T55" s="276"/>
      <c r="U55" s="77"/>
      <c r="V55" s="108">
        <f>VLOOKUP(D55,Poeng!$B$10:$BC$252,Poeng!AG$1,FALSE)</f>
        <v>0</v>
      </c>
      <c r="W55" s="108" t="str">
        <f>VLOOKUP(D55,Poeng!$B$10:$BK$252,Poeng!BK$1,FALSE)</f>
        <v>N/A</v>
      </c>
      <c r="X55" s="75"/>
      <c r="Y55" s="74"/>
      <c r="Z55" s="608"/>
      <c r="AA55" s="117"/>
      <c r="AB55" s="481"/>
      <c r="AC55" s="20">
        <f t="shared" si="0"/>
        <v>1</v>
      </c>
      <c r="AD55" s="1" t="e">
        <f>VLOOKUP(K55,'Assessment Details'!$O$49:$P$52,2,FALSE)</f>
        <v>#N/A</v>
      </c>
      <c r="AE55" s="1" t="e">
        <f>VLOOKUP(R55,'Assessment Details'!$O$49:$P$52,2,FALSE)</f>
        <v>#N/A</v>
      </c>
      <c r="AF55" s="1" t="e">
        <f>VLOOKUP(Y55,'Assessment Details'!$O$49:$P$52,2,FALSE)</f>
        <v>#N/A</v>
      </c>
      <c r="AI55" s="64"/>
      <c r="AJ55" s="508"/>
      <c r="AK55" s="487"/>
      <c r="AL55" s="487"/>
      <c r="AM55" s="487"/>
      <c r="AN55" s="64"/>
      <c r="AO55" s="64"/>
      <c r="AP55" s="64"/>
      <c r="AS55" s="20"/>
      <c r="AT55" s="20"/>
      <c r="AU55" s="20"/>
      <c r="AV55" s="20"/>
      <c r="AW55" s="20"/>
      <c r="AX55" s="20"/>
      <c r="AZ55" s="481"/>
    </row>
    <row r="56" spans="1:52" x14ac:dyDescent="0.25">
      <c r="A56" s="1410">
        <v>47</v>
      </c>
      <c r="B56" s="1412" t="s">
        <v>60</v>
      </c>
      <c r="C56" s="690" t="s">
        <v>115</v>
      </c>
      <c r="D56" s="628" t="s">
        <v>115</v>
      </c>
      <c r="E56" s="662" t="str">
        <f>VLOOKUP(D56,Poeng!$B$10:$R$252,Poeng!E$1,FALSE)</f>
        <v>Hea 05 Acoustic performance</v>
      </c>
      <c r="F56" s="667">
        <f>VLOOKUP(D56,Poeng!$B$10:$AB$252,Poeng!AB$1,FALSE)</f>
        <v>3</v>
      </c>
      <c r="G56" s="742"/>
      <c r="H56" s="668" t="str">
        <f>VLOOKUP(D56,Poeng!$B$10:$AI$252,Poeng!AI$1,FALSE)&amp;" c. "&amp;ROUND(VLOOKUP(D56,Poeng!$B$10:$AE$252,Poeng!AE$1,FALSE)*100,1)&amp;" %"</f>
        <v>0 c. 0 %</v>
      </c>
      <c r="I56" s="690" t="str">
        <f>VLOOKUP(D56,Poeng!$B$10:$BE$252,Poeng!BE$1,FALSE)</f>
        <v>N/A</v>
      </c>
      <c r="J56" s="74"/>
      <c r="K56" s="241"/>
      <c r="L56" s="608"/>
      <c r="M56" s="623"/>
      <c r="N56" s="742"/>
      <c r="O56" s="679" t="str">
        <f>VLOOKUP(D56,Poeng!$B$10:$BC$252,Poeng!AJ$1,FALSE)&amp;" c. "&amp;ROUND(VLOOKUP(D56,Poeng!$B$10:$BC$252,Poeng!AF$1,FALSE)*100,1)&amp;" %"</f>
        <v>0 c. 0 %</v>
      </c>
      <c r="P56" s="108" t="str">
        <f>VLOOKUP(D56,Poeng!$B$10:$BH$252,Poeng!BH$1,FALSE)</f>
        <v>N/A</v>
      </c>
      <c r="Q56" s="558"/>
      <c r="R56" s="559"/>
      <c r="S56" s="552"/>
      <c r="T56" s="276"/>
      <c r="U56" s="742"/>
      <c r="V56" s="679" t="str">
        <f>VLOOKUP(D56,Poeng!$B$10:$BC$252,Poeng!AK$1,FALSE)&amp;" c. "&amp;ROUND(VLOOKUP(D56,Poeng!$B$10:$BC$252,Poeng!AG$1,FALSE)*100,1)&amp;" %"</f>
        <v>0 c. 0 %</v>
      </c>
      <c r="W56" s="108" t="str">
        <f>VLOOKUP(D56,Poeng!$B$10:$BK$252,Poeng!BK$1,FALSE)</f>
        <v>N/A</v>
      </c>
      <c r="X56" s="75"/>
      <c r="Y56" s="74"/>
      <c r="Z56" s="552"/>
      <c r="AA56" s="117"/>
      <c r="AB56" s="481" t="s">
        <v>13</v>
      </c>
      <c r="AC56" s="20">
        <f t="shared" si="0"/>
        <v>1</v>
      </c>
      <c r="AD56" s="1" t="e">
        <f>VLOOKUP(K56,'Assessment Details'!$O$49:$P$52,2,FALSE)</f>
        <v>#N/A</v>
      </c>
      <c r="AE56" s="1" t="e">
        <f>VLOOKUP(R56,'Assessment Details'!$O$49:$P$52,2,FALSE)</f>
        <v>#N/A</v>
      </c>
      <c r="AF56" s="1" t="e">
        <f>VLOOKUP(Y56,'Assessment Details'!$O$49:$P$52,2,FALSE)</f>
        <v>#N/A</v>
      </c>
      <c r="AI56" s="64"/>
      <c r="AJ56" s="508" t="s">
        <v>121</v>
      </c>
      <c r="AK56" s="487" t="s">
        <v>13</v>
      </c>
      <c r="AL56" s="489" t="s">
        <v>12</v>
      </c>
      <c r="AM56" s="64"/>
      <c r="AN56" s="64"/>
      <c r="AO56" s="64"/>
      <c r="AP56" s="64"/>
      <c r="AS56" s="20" t="str">
        <f t="shared" si="3"/>
        <v>N/A</v>
      </c>
      <c r="AT56" s="20" t="str">
        <f t="shared" si="1"/>
        <v>N/A</v>
      </c>
      <c r="AU56" s="20" t="str">
        <f t="shared" si="2"/>
        <v>N/A</v>
      </c>
      <c r="AV56" s="20"/>
      <c r="AW56" s="20"/>
      <c r="AX56" s="20"/>
      <c r="AZ56" s="481"/>
    </row>
    <row r="57" spans="1:52" x14ac:dyDescent="0.25">
      <c r="A57" s="1410">
        <v>48</v>
      </c>
      <c r="B57" s="1412" t="s">
        <v>60</v>
      </c>
      <c r="C57" s="109" t="str">
        <f t="shared" si="6"/>
        <v>Hea 05</v>
      </c>
      <c r="D57" s="628" t="s">
        <v>720</v>
      </c>
      <c r="E57" s="663" t="str">
        <f>VLOOKUP(D57,Poeng!$B$10:$R$252,Poeng!E$1,FALSE)</f>
        <v xml:space="preserve">Pre-requisite: suitably qualified acoustician </v>
      </c>
      <c r="F57" s="107" t="str">
        <f>VLOOKUP(D57,Poeng!$B$10:$AB$252,Poeng!AB$1,FALSE)</f>
        <v>Yes/No</v>
      </c>
      <c r="G57" s="1261" t="str">
        <f>'Assessment Issue Scoring'!E276</f>
        <v>Please select</v>
      </c>
      <c r="H57" s="108" t="str">
        <f>VLOOKUP(D57,Poeng!$B$10:$AE$252,Poeng!AE$1,FALSE)</f>
        <v>-</v>
      </c>
      <c r="I57" s="109" t="str">
        <f>VLOOKUP(D57,Poeng!$B$10:$BE$252,Poeng!BE$1,FALSE)</f>
        <v>N/A</v>
      </c>
      <c r="J57" s="74"/>
      <c r="K57" s="241"/>
      <c r="L57" s="608"/>
      <c r="M57" s="623"/>
      <c r="N57" s="77"/>
      <c r="O57" s="108" t="str">
        <f>VLOOKUP(D57,Poeng!$B$10:$BC$252,Poeng!AF$1,FALSE)</f>
        <v>-</v>
      </c>
      <c r="P57" s="108" t="str">
        <f>VLOOKUP(D57,Poeng!$B$10:$BH$252,Poeng!BH$1,FALSE)</f>
        <v>N/A</v>
      </c>
      <c r="Q57" s="558"/>
      <c r="R57" s="559"/>
      <c r="S57" s="552"/>
      <c r="T57" s="276"/>
      <c r="U57" s="77"/>
      <c r="V57" s="108" t="str">
        <f>VLOOKUP(D57,Poeng!$B$10:$BC$252,Poeng!AG$1,FALSE)</f>
        <v>-</v>
      </c>
      <c r="W57" s="108" t="str">
        <f>VLOOKUP(D57,Poeng!$B$10:$BK$252,Poeng!BK$1,FALSE)</f>
        <v>N/A</v>
      </c>
      <c r="X57" s="75"/>
      <c r="Y57" s="74"/>
      <c r="Z57" s="552"/>
      <c r="AA57" s="117"/>
      <c r="AB57" s="481"/>
      <c r="AC57" s="20">
        <f t="shared" si="0"/>
        <v>1</v>
      </c>
      <c r="AD57" s="1" t="e">
        <f>VLOOKUP(K57,'Assessment Details'!$O$49:$P$52,2,FALSE)</f>
        <v>#N/A</v>
      </c>
      <c r="AE57" s="1" t="e">
        <f>VLOOKUP(R57,'Assessment Details'!$O$49:$P$52,2,FALSE)</f>
        <v>#N/A</v>
      </c>
      <c r="AF57" s="1" t="e">
        <f>VLOOKUP(Y57,'Assessment Details'!$O$49:$P$52,2,FALSE)</f>
        <v>#N/A</v>
      </c>
      <c r="AI57" s="64"/>
      <c r="AJ57" s="508"/>
      <c r="AK57" s="487"/>
      <c r="AL57" s="489"/>
      <c r="AM57" s="64"/>
      <c r="AN57" s="64"/>
      <c r="AO57" s="64"/>
      <c r="AP57" s="64"/>
      <c r="AS57" s="20"/>
      <c r="AT57" s="20"/>
      <c r="AU57" s="20"/>
      <c r="AV57" s="20"/>
      <c r="AW57" s="20"/>
      <c r="AX57" s="20"/>
      <c r="AZ57" s="481"/>
    </row>
    <row r="58" spans="1:52" x14ac:dyDescent="0.25">
      <c r="A58" s="1410">
        <v>49</v>
      </c>
      <c r="B58" s="1412" t="s">
        <v>60</v>
      </c>
      <c r="C58" s="109" t="str">
        <f t="shared" si="6"/>
        <v>Hea 05</v>
      </c>
      <c r="D58" s="628" t="s">
        <v>721</v>
      </c>
      <c r="E58" s="663" t="str">
        <f>VLOOKUP(D58,Poeng!$B$10:$R$252,Poeng!E$1,FALSE)</f>
        <v xml:space="preserve">Sound class requirements </v>
      </c>
      <c r="F58" s="107">
        <f>VLOOKUP(D58,Poeng!$B$10:$AB$252,Poeng!AB$1,FALSE)</f>
        <v>3</v>
      </c>
      <c r="G58" s="1166">
        <f>'Assessment Issue Scoring'!G279</f>
        <v>0</v>
      </c>
      <c r="H58" s="108">
        <f>VLOOKUP(D58,Poeng!$B$10:$AE$252,Poeng!AE$1,FALSE)</f>
        <v>0</v>
      </c>
      <c r="I58" s="109" t="str">
        <f>VLOOKUP(D58,Poeng!$B$10:$BE$252,Poeng!BE$1,FALSE)</f>
        <v>N/A</v>
      </c>
      <c r="J58" s="74"/>
      <c r="K58" s="241"/>
      <c r="L58" s="608"/>
      <c r="M58" s="623"/>
      <c r="N58" s="77"/>
      <c r="O58" s="108">
        <f>VLOOKUP(D58,Poeng!$B$10:$BC$252,Poeng!AF$1,FALSE)</f>
        <v>0</v>
      </c>
      <c r="P58" s="108" t="str">
        <f>VLOOKUP(D58,Poeng!$B$10:$BH$252,Poeng!BH$1,FALSE)</f>
        <v>N/A</v>
      </c>
      <c r="Q58" s="558"/>
      <c r="R58" s="559"/>
      <c r="S58" s="608"/>
      <c r="T58" s="276"/>
      <c r="U58" s="77"/>
      <c r="V58" s="108">
        <f>VLOOKUP(D58,Poeng!$B$10:$BC$252,Poeng!AG$1,FALSE)</f>
        <v>0</v>
      </c>
      <c r="W58" s="108" t="str">
        <f>VLOOKUP(D58,Poeng!$B$10:$BK$252,Poeng!BK$1,FALSE)</f>
        <v>N/A</v>
      </c>
      <c r="X58" s="75"/>
      <c r="Y58" s="74"/>
      <c r="Z58" s="608"/>
      <c r="AA58" s="117"/>
      <c r="AB58" s="481"/>
      <c r="AC58" s="20">
        <f t="shared" si="0"/>
        <v>1</v>
      </c>
      <c r="AD58" s="1" t="e">
        <f>VLOOKUP(K58,'Assessment Details'!$O$49:$P$52,2,FALSE)</f>
        <v>#N/A</v>
      </c>
      <c r="AE58" s="1" t="e">
        <f>VLOOKUP(R58,'Assessment Details'!$O$49:$P$52,2,FALSE)</f>
        <v>#N/A</v>
      </c>
      <c r="AF58" s="1" t="e">
        <f>VLOOKUP(Y58,'Assessment Details'!$O$49:$P$52,2,FALSE)</f>
        <v>#N/A</v>
      </c>
      <c r="AI58" s="64"/>
      <c r="AJ58" s="508"/>
      <c r="AK58" s="487"/>
      <c r="AL58" s="489"/>
      <c r="AM58" s="64"/>
      <c r="AN58" s="64"/>
      <c r="AO58" s="64"/>
      <c r="AP58" s="64"/>
      <c r="AS58" s="20"/>
      <c r="AT58" s="20"/>
      <c r="AU58" s="20"/>
      <c r="AV58" s="20"/>
      <c r="AW58" s="20"/>
      <c r="AX58" s="20"/>
      <c r="AZ58" s="481"/>
    </row>
    <row r="59" spans="1:52" x14ac:dyDescent="0.25">
      <c r="A59" s="1410">
        <v>50</v>
      </c>
      <c r="B59" s="1412" t="s">
        <v>60</v>
      </c>
      <c r="C59" s="690" t="s">
        <v>116</v>
      </c>
      <c r="D59" s="628" t="s">
        <v>116</v>
      </c>
      <c r="E59" s="662" t="str">
        <f>VLOOKUP(D59,Poeng!$B$10:$R$252,Poeng!E$1,FALSE)</f>
        <v>Hea 06 Safe access</v>
      </c>
      <c r="F59" s="667">
        <f>VLOOKUP(D59,Poeng!$B$10:$AB$252,Poeng!AB$1,FALSE)</f>
        <v>2</v>
      </c>
      <c r="G59" s="742"/>
      <c r="H59" s="668" t="str">
        <f>VLOOKUP(D59,Poeng!$B$10:$AI$252,Poeng!AI$1,FALSE)&amp;" c. "&amp;ROUND(VLOOKUP(D59,Poeng!$B$10:$AE$252,Poeng!AE$1,FALSE)*100,1)&amp;" %"</f>
        <v>0 c. 0 %</v>
      </c>
      <c r="I59" s="690" t="str">
        <f>VLOOKUP(D59,Poeng!$B$10:$BE$252,Poeng!BE$1,FALSE)</f>
        <v>N/A</v>
      </c>
      <c r="J59" s="74"/>
      <c r="K59" s="241"/>
      <c r="L59" s="608"/>
      <c r="M59" s="623"/>
      <c r="N59" s="742"/>
      <c r="O59" s="679" t="str">
        <f>VLOOKUP(D59,Poeng!$B$10:$BC$252,Poeng!AJ$1,FALSE)&amp;" c. "&amp;ROUND(VLOOKUP(D59,Poeng!$B$10:$BC$252,Poeng!AF$1,FALSE)*100,1)&amp;" %"</f>
        <v>0 c. 0 %</v>
      </c>
      <c r="P59" s="108" t="str">
        <f>VLOOKUP(D59,Poeng!$B$10:$BH$252,Poeng!BH$1,FALSE)</f>
        <v>N/A</v>
      </c>
      <c r="Q59" s="558"/>
      <c r="R59" s="559"/>
      <c r="S59" s="552"/>
      <c r="T59" s="276"/>
      <c r="U59" s="742"/>
      <c r="V59" s="679" t="str">
        <f>VLOOKUP(D59,Poeng!$B$10:$BC$252,Poeng!AK$1,FALSE)&amp;" c. "&amp;ROUND(VLOOKUP(D59,Poeng!$B$10:$BC$252,Poeng!AG$1,FALSE)*100,1)&amp;" %"</f>
        <v>0 c. 0 %</v>
      </c>
      <c r="W59" s="108" t="str">
        <f>VLOOKUP(D59,Poeng!$B$10:$BK$252,Poeng!BK$1,FALSE)</f>
        <v>N/A</v>
      </c>
      <c r="X59" s="75"/>
      <c r="Y59" s="74"/>
      <c r="Z59" s="552"/>
      <c r="AA59" s="117"/>
      <c r="AB59" s="481" t="s">
        <v>14</v>
      </c>
      <c r="AC59" s="20">
        <f t="shared" si="0"/>
        <v>1</v>
      </c>
      <c r="AD59" s="1" t="e">
        <f>VLOOKUP(K59,'Assessment Details'!$O$49:$P$52,2,FALSE)</f>
        <v>#N/A</v>
      </c>
      <c r="AE59" s="1" t="e">
        <f>VLOOKUP(R59,'Assessment Details'!$O$49:$P$52,2,FALSE)</f>
        <v>#N/A</v>
      </c>
      <c r="AF59" s="1" t="e">
        <f>VLOOKUP(Y59,'Assessment Details'!$O$49:$P$52,2,FALSE)</f>
        <v>#N/A</v>
      </c>
      <c r="AI59" s="64"/>
      <c r="AJ59" s="508" t="s">
        <v>108</v>
      </c>
      <c r="AK59" s="64"/>
      <c r="AL59" s="64"/>
      <c r="AM59" s="64"/>
      <c r="AN59" s="64"/>
      <c r="AO59" s="64"/>
      <c r="AP59" s="64"/>
      <c r="AS59" s="20" t="str">
        <f t="shared" si="3"/>
        <v>N/A</v>
      </c>
      <c r="AT59" s="20" t="str">
        <f t="shared" si="1"/>
        <v>N/A</v>
      </c>
      <c r="AU59" s="20" t="str">
        <f t="shared" si="2"/>
        <v>N/A</v>
      </c>
      <c r="AV59" s="20"/>
      <c r="AW59" s="20"/>
      <c r="AX59" s="20"/>
      <c r="AZ59" s="481"/>
    </row>
    <row r="60" spans="1:52" x14ac:dyDescent="0.25">
      <c r="A60" s="1410">
        <v>51</v>
      </c>
      <c r="B60" s="1412" t="s">
        <v>60</v>
      </c>
      <c r="C60" s="109" t="str">
        <f t="shared" si="6"/>
        <v>Hea 06</v>
      </c>
      <c r="D60" s="628" t="s">
        <v>722</v>
      </c>
      <c r="E60" s="663" t="str">
        <f>VLOOKUP(D60,Poeng!$B$10:$R$252,Poeng!E$1,FALSE)</f>
        <v xml:space="preserve">Inclusive design </v>
      </c>
      <c r="F60" s="107">
        <f>VLOOKUP(D60,Poeng!$B$10:$AB$252,Poeng!AB$1,FALSE)</f>
        <v>1</v>
      </c>
      <c r="G60" s="1166">
        <f>'Assessment Issue Scoring'!G299</f>
        <v>0</v>
      </c>
      <c r="H60" s="108">
        <f>VLOOKUP(D60,Poeng!$B$10:$AE$252,Poeng!AE$1,FALSE)</f>
        <v>0</v>
      </c>
      <c r="I60" s="109" t="str">
        <f>VLOOKUP(D60,Poeng!$B$10:$BE$252,Poeng!BE$1,FALSE)</f>
        <v>N/A</v>
      </c>
      <c r="J60" s="74"/>
      <c r="K60" s="241"/>
      <c r="L60" s="608"/>
      <c r="M60" s="623"/>
      <c r="N60" s="77"/>
      <c r="O60" s="108">
        <f>VLOOKUP(D60,Poeng!$B$10:$BC$252,Poeng!AF$1,FALSE)</f>
        <v>0</v>
      </c>
      <c r="P60" s="108" t="str">
        <f>VLOOKUP(D60,Poeng!$B$10:$BH$252,Poeng!BH$1,FALSE)</f>
        <v>N/A</v>
      </c>
      <c r="Q60" s="558"/>
      <c r="R60" s="559"/>
      <c r="S60" s="552"/>
      <c r="T60" s="276"/>
      <c r="U60" s="77"/>
      <c r="V60" s="108">
        <f>VLOOKUP(D60,Poeng!$B$10:$BC$252,Poeng!AG$1,FALSE)</f>
        <v>0</v>
      </c>
      <c r="W60" s="108" t="str">
        <f>VLOOKUP(D60,Poeng!$B$10:$BK$252,Poeng!BK$1,FALSE)</f>
        <v>N/A</v>
      </c>
      <c r="X60" s="75"/>
      <c r="Y60" s="74"/>
      <c r="Z60" s="608"/>
      <c r="AA60" s="117"/>
      <c r="AB60" s="481"/>
      <c r="AC60" s="20">
        <f t="shared" si="0"/>
        <v>1</v>
      </c>
      <c r="AD60" s="1" t="e">
        <f>VLOOKUP(K60,'Assessment Details'!$O$49:$P$52,2,FALSE)</f>
        <v>#N/A</v>
      </c>
      <c r="AE60" s="1" t="e">
        <f>VLOOKUP(R60,'Assessment Details'!$O$49:$P$52,2,FALSE)</f>
        <v>#N/A</v>
      </c>
      <c r="AF60" s="1" t="e">
        <f>VLOOKUP(Y60,'Assessment Details'!$O$49:$P$52,2,FALSE)</f>
        <v>#N/A</v>
      </c>
      <c r="AI60" s="64"/>
      <c r="AJ60" s="508"/>
      <c r="AK60" s="64"/>
      <c r="AL60" s="64"/>
      <c r="AM60" s="64"/>
      <c r="AN60" s="64"/>
      <c r="AO60" s="64"/>
      <c r="AP60" s="64"/>
      <c r="AS60" s="20"/>
      <c r="AT60" s="20"/>
      <c r="AU60" s="20"/>
      <c r="AV60" s="20"/>
      <c r="AW60" s="20"/>
      <c r="AX60" s="20"/>
      <c r="AZ60" s="481"/>
    </row>
    <row r="61" spans="1:52" x14ac:dyDescent="0.25">
      <c r="A61" s="1410">
        <v>52</v>
      </c>
      <c r="B61" s="1412" t="s">
        <v>60</v>
      </c>
      <c r="C61" s="109" t="str">
        <f t="shared" si="6"/>
        <v>Hea 06</v>
      </c>
      <c r="D61" s="628" t="s">
        <v>723</v>
      </c>
      <c r="E61" s="663" t="str">
        <f>VLOOKUP(D61,Poeng!$B$10:$R$252,Poeng!E$1,FALSE)</f>
        <v xml:space="preserve">Biofilik design </v>
      </c>
      <c r="F61" s="107">
        <f>VLOOKUP(D61,Poeng!$B$10:$AB$252,Poeng!AB$1,FALSE)</f>
        <v>1</v>
      </c>
      <c r="G61" s="1166">
        <f>'Assessment Issue Scoring'!G300</f>
        <v>0</v>
      </c>
      <c r="H61" s="108">
        <f>VLOOKUP(D61,Poeng!$B$10:$AE$252,Poeng!AE$1,FALSE)</f>
        <v>0</v>
      </c>
      <c r="I61" s="109" t="str">
        <f>VLOOKUP(D61,Poeng!$B$10:$BE$252,Poeng!BE$1,FALSE)</f>
        <v>N/A</v>
      </c>
      <c r="J61" s="74"/>
      <c r="K61" s="241"/>
      <c r="L61" s="608"/>
      <c r="M61" s="623"/>
      <c r="N61" s="77"/>
      <c r="O61" s="108">
        <f>VLOOKUP(D61,Poeng!$B$10:$BC$252,Poeng!AF$1,FALSE)</f>
        <v>0</v>
      </c>
      <c r="P61" s="108" t="str">
        <f>VLOOKUP(D61,Poeng!$B$10:$BH$252,Poeng!BH$1,FALSE)</f>
        <v>N/A</v>
      </c>
      <c r="Q61" s="558"/>
      <c r="R61" s="559"/>
      <c r="S61" s="552"/>
      <c r="T61" s="276"/>
      <c r="U61" s="77"/>
      <c r="V61" s="108">
        <f>VLOOKUP(D61,Poeng!$B$10:$BC$252,Poeng!AG$1,FALSE)</f>
        <v>0</v>
      </c>
      <c r="W61" s="108" t="str">
        <f>VLOOKUP(D61,Poeng!$B$10:$BK$252,Poeng!BK$1,FALSE)</f>
        <v>N/A</v>
      </c>
      <c r="X61" s="75"/>
      <c r="Y61" s="74"/>
      <c r="Z61" s="552"/>
      <c r="AA61" s="117"/>
      <c r="AB61" s="481"/>
      <c r="AC61" s="20">
        <f t="shared" si="0"/>
        <v>1</v>
      </c>
      <c r="AD61" s="1" t="e">
        <f>VLOOKUP(K61,'Assessment Details'!$O$49:$P$52,2,FALSE)</f>
        <v>#N/A</v>
      </c>
      <c r="AE61" s="1" t="e">
        <f>VLOOKUP(R61,'Assessment Details'!$O$49:$P$52,2,FALSE)</f>
        <v>#N/A</v>
      </c>
      <c r="AF61" s="1" t="e">
        <f>VLOOKUP(Y61,'Assessment Details'!$O$49:$P$52,2,FALSE)</f>
        <v>#N/A</v>
      </c>
      <c r="AI61" s="64"/>
      <c r="AJ61" s="508"/>
      <c r="AK61" s="64"/>
      <c r="AL61" s="64"/>
      <c r="AM61" s="64"/>
      <c r="AN61" s="64"/>
      <c r="AO61" s="64"/>
      <c r="AP61" s="64"/>
      <c r="AS61" s="20"/>
      <c r="AT61" s="20"/>
      <c r="AU61" s="20"/>
      <c r="AV61" s="20"/>
      <c r="AW61" s="20"/>
      <c r="AX61" s="20"/>
      <c r="AZ61" s="481"/>
    </row>
    <row r="62" spans="1:52" x14ac:dyDescent="0.25">
      <c r="A62" s="1410">
        <v>53</v>
      </c>
      <c r="B62" s="1412" t="s">
        <v>60</v>
      </c>
      <c r="C62" s="690" t="s">
        <v>118</v>
      </c>
      <c r="D62" s="1496" t="s">
        <v>118</v>
      </c>
      <c r="E62" s="662" t="str">
        <f>VLOOKUP(D62,Poeng!$B$10:$R$252,Poeng!E$1,FALSE)</f>
        <v>Hea 08 Private space</v>
      </c>
      <c r="F62" s="667">
        <f>VLOOKUP(D62,Poeng!$B$10:$AB$252,Poeng!AB$1,FALSE)</f>
        <v>0</v>
      </c>
      <c r="G62" s="742"/>
      <c r="H62" s="668" t="str">
        <f>VLOOKUP(D62,Poeng!$B$10:$AI$252,Poeng!AI$1,FALSE)&amp;" c. "&amp;ROUND(VLOOKUP(D62,Poeng!$B$10:$AE$252,Poeng!AE$1,FALSE)*100,1)&amp;" %"</f>
        <v>0 c. 0 %</v>
      </c>
      <c r="I62" s="690" t="str">
        <f>VLOOKUP(D62,Poeng!$B$10:$BE$252,Poeng!BE$1,FALSE)</f>
        <v>N/A</v>
      </c>
      <c r="J62" s="74"/>
      <c r="K62" s="241"/>
      <c r="L62" s="608"/>
      <c r="M62" s="623"/>
      <c r="N62" s="742"/>
      <c r="O62" s="679" t="str">
        <f>VLOOKUP(D62,Poeng!$B$10:$BC$252,Poeng!AJ$1,FALSE)&amp;" c. "&amp;ROUND(VLOOKUP(D62,Poeng!$B$10:$BC$252,Poeng!AF$1,FALSE)*100,1)&amp;" %"</f>
        <v>0 c. 0 %</v>
      </c>
      <c r="P62" s="108" t="str">
        <f>VLOOKUP(D62,Poeng!$B$10:$BH$252,Poeng!BH$1,FALSE)</f>
        <v>N/A</v>
      </c>
      <c r="Q62" s="558"/>
      <c r="R62" s="559"/>
      <c r="S62" s="552"/>
      <c r="T62" s="276"/>
      <c r="U62" s="742"/>
      <c r="V62" s="679" t="str">
        <f>VLOOKUP(D62,Poeng!$B$10:$BC$252,Poeng!AK$1,FALSE)&amp;" c. "&amp;ROUND(VLOOKUP(D62,Poeng!$B$10:$BC$252,Poeng!AG$1,FALSE)*100,1)&amp;" %"</f>
        <v>0 c. 0 %</v>
      </c>
      <c r="W62" s="108" t="str">
        <f>VLOOKUP(D62,Poeng!$B$10:$BK$252,Poeng!BK$1,FALSE)</f>
        <v>N/A</v>
      </c>
      <c r="X62" s="75"/>
      <c r="Y62" s="74"/>
      <c r="Z62" s="552"/>
      <c r="AA62" s="117"/>
      <c r="AB62" s="481" t="s">
        <v>14</v>
      </c>
      <c r="AC62" s="20">
        <f t="shared" si="0"/>
        <v>2</v>
      </c>
      <c r="AD62" s="1" t="e">
        <f>VLOOKUP(K62,'Assessment Details'!$O$49:$P$52,2,FALSE)</f>
        <v>#N/A</v>
      </c>
      <c r="AE62" s="1" t="e">
        <f>VLOOKUP(R62,'Assessment Details'!$O$49:$P$52,2,FALSE)</f>
        <v>#N/A</v>
      </c>
      <c r="AF62" s="1" t="e">
        <f>VLOOKUP(Y62,'Assessment Details'!$O$49:$P$52,2,FALSE)</f>
        <v>#N/A</v>
      </c>
      <c r="AI62" s="64"/>
      <c r="AJ62" s="508" t="s">
        <v>110</v>
      </c>
      <c r="AK62" s="64"/>
      <c r="AL62" s="64"/>
      <c r="AM62" s="64"/>
      <c r="AN62" s="64"/>
      <c r="AO62" s="64"/>
      <c r="AP62" s="64"/>
      <c r="AS62" s="20" t="str">
        <f t="shared" si="3"/>
        <v>N/A</v>
      </c>
      <c r="AT62" s="20" t="str">
        <f t="shared" si="1"/>
        <v>N/A</v>
      </c>
      <c r="AU62" s="20" t="str">
        <f t="shared" si="2"/>
        <v>N/A</v>
      </c>
      <c r="AV62" s="20"/>
      <c r="AW62" s="20"/>
      <c r="AX62" s="20"/>
      <c r="AZ62" s="481"/>
    </row>
    <row r="63" spans="1:52" x14ac:dyDescent="0.25">
      <c r="A63" s="1410">
        <v>54</v>
      </c>
      <c r="B63" s="1412" t="s">
        <v>60</v>
      </c>
      <c r="C63" s="109" t="str">
        <f t="shared" si="6"/>
        <v>Hea 08</v>
      </c>
      <c r="D63" s="1496" t="s">
        <v>724</v>
      </c>
      <c r="E63" s="663" t="str">
        <f>VLOOKUP(D63,Poeng!$B$10:$R$252,Poeng!E$1,FALSE)</f>
        <v xml:space="preserve">Private outdoor spaces </v>
      </c>
      <c r="F63" s="107">
        <f>VLOOKUP(D63,Poeng!$B$10:$AB$252,Poeng!AB$1,FALSE)</f>
        <v>0</v>
      </c>
      <c r="G63" s="1166">
        <f>'Assessment Issue Scoring'!E325</f>
        <v>0</v>
      </c>
      <c r="H63" s="108">
        <f>VLOOKUP(D63,Poeng!$B$10:$AE$252,Poeng!AE$1,FALSE)</f>
        <v>0</v>
      </c>
      <c r="I63" s="109" t="str">
        <f>VLOOKUP(D63,Poeng!$B$10:$BE$252,Poeng!BE$1,FALSE)</f>
        <v>N/A</v>
      </c>
      <c r="J63" s="74"/>
      <c r="K63" s="241"/>
      <c r="L63" s="608"/>
      <c r="M63" s="623"/>
      <c r="N63" s="77"/>
      <c r="O63" s="108">
        <f>VLOOKUP(D63,Poeng!$B$10:$BC$252,Poeng!AF$1,FALSE)</f>
        <v>0</v>
      </c>
      <c r="P63" s="108" t="str">
        <f>VLOOKUP(D63,Poeng!$B$10:$BH$252,Poeng!BH$1,FALSE)</f>
        <v>N/A</v>
      </c>
      <c r="Q63" s="558"/>
      <c r="R63" s="559"/>
      <c r="S63" s="608"/>
      <c r="T63" s="276"/>
      <c r="U63" s="77"/>
      <c r="V63" s="108">
        <f>VLOOKUP(D63,Poeng!$B$10:$BC$252,Poeng!AG$1,FALSE)</f>
        <v>0</v>
      </c>
      <c r="W63" s="108" t="str">
        <f>VLOOKUP(D63,Poeng!$B$10:$BK$252,Poeng!BK$1,FALSE)</f>
        <v>N/A</v>
      </c>
      <c r="X63" s="75"/>
      <c r="Y63" s="74"/>
      <c r="Z63" s="608"/>
      <c r="AA63" s="117"/>
      <c r="AB63" s="534"/>
      <c r="AC63" s="20">
        <f t="shared" si="0"/>
        <v>2</v>
      </c>
      <c r="AD63" s="1" t="e">
        <f>VLOOKUP(K63,'Assessment Details'!$O$49:$P$52,2,FALSE)</f>
        <v>#N/A</v>
      </c>
      <c r="AE63" s="1" t="e">
        <f>VLOOKUP(R63,'Assessment Details'!$O$49:$P$52,2,FALSE)</f>
        <v>#N/A</v>
      </c>
      <c r="AF63" s="1" t="e">
        <f>VLOOKUP(Y63,'Assessment Details'!$O$49:$P$52,2,FALSE)</f>
        <v>#N/A</v>
      </c>
      <c r="AI63" s="64"/>
      <c r="AJ63" s="508"/>
      <c r="AK63" s="64"/>
      <c r="AL63" s="64"/>
      <c r="AM63" s="64"/>
      <c r="AN63" s="64"/>
      <c r="AO63" s="64"/>
      <c r="AP63" s="64"/>
      <c r="AS63" s="20"/>
      <c r="AT63" s="20"/>
      <c r="AU63" s="20"/>
      <c r="AV63" s="20"/>
      <c r="AW63" s="20"/>
      <c r="AX63" s="20"/>
      <c r="AZ63" s="534"/>
    </row>
    <row r="64" spans="1:52" ht="15.75" thickBot="1" x14ac:dyDescent="0.3">
      <c r="A64" s="1410">
        <v>55</v>
      </c>
      <c r="B64" s="1412" t="s">
        <v>60</v>
      </c>
      <c r="C64" s="805"/>
      <c r="D64" s="628" t="s">
        <v>861</v>
      </c>
      <c r="E64" s="277" t="s">
        <v>98</v>
      </c>
      <c r="F64" s="110">
        <f>Hea_Credits</f>
        <v>19</v>
      </c>
      <c r="G64" s="115"/>
      <c r="H64" s="111">
        <f>Hea_cont_tot</f>
        <v>0</v>
      </c>
      <c r="I64" s="669" t="str">
        <f>"Credits achieved: "&amp;HW_tot_user</f>
        <v>Credits achieved: 0</v>
      </c>
      <c r="J64" s="118"/>
      <c r="K64" s="242"/>
      <c r="L64" s="560"/>
      <c r="M64" s="623"/>
      <c r="N64" s="320"/>
      <c r="O64" s="111">
        <f>VLOOKUP(D64,Poeng!$B$10:$BC$252,Poeng!AF$1,FALSE)</f>
        <v>0</v>
      </c>
      <c r="P64" s="669" t="str">
        <f>"Credits achieved: "&amp;HW_d_user</f>
        <v>Credits achieved: 0</v>
      </c>
      <c r="Q64" s="561"/>
      <c r="R64" s="562"/>
      <c r="S64" s="560"/>
      <c r="T64" s="276"/>
      <c r="U64" s="320"/>
      <c r="V64" s="111">
        <f>VLOOKUP(D64,Poeng!$B$10:$BC$252,Poeng!AG$1,FALSE)</f>
        <v>0</v>
      </c>
      <c r="W64" s="669" t="str">
        <f>"Credits achieved: "&amp;HW_c_user</f>
        <v>Credits achieved: 0</v>
      </c>
      <c r="X64" s="319"/>
      <c r="Y64" s="120"/>
      <c r="Z64" s="560"/>
      <c r="AA64" s="117"/>
      <c r="AB64" s="482"/>
      <c r="AC64" s="20">
        <f t="shared" si="0"/>
        <v>1</v>
      </c>
      <c r="AD64" s="238">
        <v>0</v>
      </c>
      <c r="AE64" s="238">
        <v>0</v>
      </c>
      <c r="AF64" s="238">
        <v>0</v>
      </c>
      <c r="AI64" s="64"/>
      <c r="AJ64" s="508" t="s">
        <v>98</v>
      </c>
      <c r="AK64" s="64"/>
      <c r="AL64" s="64"/>
      <c r="AM64" s="64"/>
      <c r="AN64" s="64"/>
      <c r="AO64" s="64"/>
      <c r="AP64" s="64"/>
      <c r="AS64" s="20" t="str">
        <f t="shared" si="3"/>
        <v>N/A</v>
      </c>
      <c r="AT64" s="20" t="str">
        <f t="shared" si="1"/>
        <v>N/A</v>
      </c>
      <c r="AU64" s="20" t="str">
        <f t="shared" si="2"/>
        <v>N/A</v>
      </c>
      <c r="AV64" s="20"/>
      <c r="AW64" s="20"/>
      <c r="AX64" s="20"/>
      <c r="AZ64" s="482"/>
    </row>
    <row r="65" spans="1:52" x14ac:dyDescent="0.25">
      <c r="A65" s="1410">
        <v>56</v>
      </c>
      <c r="B65" s="1412" t="s">
        <v>60</v>
      </c>
      <c r="C65" s="807"/>
      <c r="D65" s="628"/>
      <c r="E65" s="290"/>
      <c r="F65" s="279"/>
      <c r="G65" s="280"/>
      <c r="H65" s="279"/>
      <c r="I65" s="279"/>
      <c r="J65" s="281"/>
      <c r="K65" s="280"/>
      <c r="L65" s="563"/>
      <c r="M65" s="623"/>
      <c r="N65" s="282"/>
      <c r="O65" s="282"/>
      <c r="P65" s="563"/>
      <c r="Q65" s="563"/>
      <c r="R65" s="564"/>
      <c r="S65" s="563"/>
      <c r="T65" s="276"/>
      <c r="U65" s="282"/>
      <c r="V65" s="282"/>
      <c r="W65" s="563"/>
      <c r="X65" s="281"/>
      <c r="Y65" s="282"/>
      <c r="Z65" s="563"/>
      <c r="AA65" s="117"/>
      <c r="AB65" s="281"/>
      <c r="AC65" s="20">
        <f t="shared" si="0"/>
        <v>1</v>
      </c>
      <c r="AD65" s="239">
        <v>0</v>
      </c>
      <c r="AE65" s="239">
        <v>0</v>
      </c>
      <c r="AF65" s="239">
        <v>0</v>
      </c>
      <c r="AI65" s="64"/>
      <c r="AJ65" s="508"/>
      <c r="AK65" s="64"/>
      <c r="AL65" s="64"/>
      <c r="AM65" s="64"/>
      <c r="AN65" s="64"/>
      <c r="AO65" s="64"/>
      <c r="AP65" s="64"/>
      <c r="AS65" s="20" t="str">
        <f t="shared" si="3"/>
        <v>N/A</v>
      </c>
      <c r="AT65" s="20" t="str">
        <f t="shared" si="1"/>
        <v>N/A</v>
      </c>
      <c r="AU65" s="20" t="str">
        <f t="shared" si="2"/>
        <v>N/A</v>
      </c>
      <c r="AV65" s="20"/>
      <c r="AW65" s="20"/>
      <c r="AX65" s="20"/>
      <c r="AZ65" s="281"/>
    </row>
    <row r="66" spans="1:52" ht="18.75" x14ac:dyDescent="0.25">
      <c r="A66" s="1410">
        <v>57</v>
      </c>
      <c r="B66" s="1412" t="s">
        <v>61</v>
      </c>
      <c r="C66" s="808"/>
      <c r="D66" s="628"/>
      <c r="E66" s="291" t="s">
        <v>40</v>
      </c>
      <c r="F66" s="272"/>
      <c r="G66" s="273"/>
      <c r="H66" s="292"/>
      <c r="I66" s="272"/>
      <c r="J66" s="284"/>
      <c r="K66" s="285"/>
      <c r="L66" s="566"/>
      <c r="M66" s="623"/>
      <c r="N66" s="295"/>
      <c r="O66" s="288"/>
      <c r="P66" s="556"/>
      <c r="Q66" s="567"/>
      <c r="R66" s="568"/>
      <c r="S66" s="569"/>
      <c r="T66" s="276"/>
      <c r="U66" s="295"/>
      <c r="V66" s="294"/>
      <c r="W66" s="556"/>
      <c r="X66" s="284"/>
      <c r="Y66" s="294"/>
      <c r="Z66" s="566"/>
      <c r="AA66" s="117"/>
      <c r="AB66" s="293"/>
      <c r="AC66" s="20">
        <f t="shared" si="0"/>
        <v>1</v>
      </c>
      <c r="AD66" s="237">
        <v>0</v>
      </c>
      <c r="AE66" s="237">
        <v>0</v>
      </c>
      <c r="AF66" s="237">
        <v>0</v>
      </c>
      <c r="AI66" s="64"/>
      <c r="AJ66" s="508" t="s">
        <v>40</v>
      </c>
      <c r="AK66" s="64"/>
      <c r="AL66" s="64"/>
      <c r="AM66" s="64"/>
      <c r="AN66" s="64"/>
      <c r="AO66" s="64"/>
      <c r="AP66" s="64"/>
      <c r="AS66" s="20" t="str">
        <f t="shared" si="3"/>
        <v>N/A</v>
      </c>
      <c r="AT66" s="20" t="str">
        <f t="shared" si="1"/>
        <v>N/A</v>
      </c>
      <c r="AU66" s="20" t="str">
        <f t="shared" si="2"/>
        <v>N/A</v>
      </c>
      <c r="AV66" s="20"/>
      <c r="AW66" s="20"/>
      <c r="AX66" s="20"/>
      <c r="AZ66" s="293"/>
    </row>
    <row r="67" spans="1:52" x14ac:dyDescent="0.25">
      <c r="A67" s="1410">
        <v>58</v>
      </c>
      <c r="B67" s="1412" t="s">
        <v>61</v>
      </c>
      <c r="C67" s="690" t="s">
        <v>129</v>
      </c>
      <c r="D67" s="628" t="s">
        <v>129</v>
      </c>
      <c r="E67" s="662" t="str">
        <f>VLOOKUP(D67,Poeng!$B$10:$R$252,Poeng!E$1,FALSE)</f>
        <v>Ene 01 Energy efficiency</v>
      </c>
      <c r="F67" s="667">
        <f>VLOOKUP(D67,Poeng!$B$10:$AB$252,Poeng!AB$1,FALSE)</f>
        <v>12</v>
      </c>
      <c r="G67" s="741"/>
      <c r="H67" s="668" t="str">
        <f>VLOOKUP(D67,Poeng!$B$10:$AI$252,Poeng!AI$1,FALSE)&amp;" c. "&amp;ROUND(VLOOKUP(D67,Poeng!$B$10:$AE$252,Poeng!AE$1,FALSE)*100,1)&amp;" %"</f>
        <v>0 c. 0 %</v>
      </c>
      <c r="I67" s="689" t="str">
        <f>VLOOKUP(D67,Poeng!$B$10:$BE$252,Poeng!BE$1,FALSE)</f>
        <v>N/A</v>
      </c>
      <c r="J67" s="676"/>
      <c r="K67" s="677"/>
      <c r="L67" s="678"/>
      <c r="M67" s="623"/>
      <c r="N67" s="742"/>
      <c r="O67" s="815" t="str">
        <f>VLOOKUP(D67,Poeng!$B$10:$BC$252,Poeng!AJ$1,FALSE)&amp;" c. "&amp;ROUND(VLOOKUP(D67,Poeng!$B$10:$BC$252,Poeng!AF$1,FALSE)*100,1)&amp;" %"</f>
        <v>0 c. 0 %</v>
      </c>
      <c r="P67" s="108" t="str">
        <f>VLOOKUP(D67,Poeng!$B$10:$BH$252,Poeng!BH$1,FALSE)</f>
        <v>N/A</v>
      </c>
      <c r="Q67" s="558"/>
      <c r="R67" s="559"/>
      <c r="S67" s="552"/>
      <c r="T67" s="276"/>
      <c r="U67" s="742"/>
      <c r="V67" s="679" t="str">
        <f>VLOOKUP(D67,Poeng!$B$10:$BC$252,Poeng!AK$1,FALSE)&amp;" c. "&amp;ROUND(VLOOKUP(D67,Poeng!$B$10:$BC$252,Poeng!AG$1,FALSE)*100,1)&amp;" %"</f>
        <v>0 c. 0 %</v>
      </c>
      <c r="W67" s="108" t="str">
        <f>VLOOKUP(D67,Poeng!$B$10:$BK$252,Poeng!BK$1,FALSE)</f>
        <v>N/A</v>
      </c>
      <c r="X67" s="75"/>
      <c r="Y67" s="74"/>
      <c r="Z67" s="552"/>
      <c r="AA67" s="117"/>
      <c r="AB67" s="481" t="s">
        <v>13</v>
      </c>
      <c r="AC67" s="20">
        <f t="shared" si="0"/>
        <v>1</v>
      </c>
      <c r="AD67" s="1" t="e">
        <f>VLOOKUP(K67,'Assessment Details'!$O$49:$P$52,2,FALSE)</f>
        <v>#N/A</v>
      </c>
      <c r="AE67" s="1" t="e">
        <f>VLOOKUP(R67,'Assessment Details'!$O$49:$P$52,2,FALSE)</f>
        <v>#N/A</v>
      </c>
      <c r="AF67" s="1" t="e">
        <f>VLOOKUP(Y67,'Assessment Details'!$O$49:$P$52,2,FALSE)</f>
        <v>#N/A</v>
      </c>
      <c r="AI67" s="64"/>
      <c r="AJ67" s="508" t="s">
        <v>122</v>
      </c>
      <c r="AK67" s="487" t="s">
        <v>385</v>
      </c>
      <c r="AL67" s="487" t="s">
        <v>387</v>
      </c>
      <c r="AM67" s="64"/>
      <c r="AN67" s="64"/>
      <c r="AO67" s="64"/>
      <c r="AP67" s="64"/>
      <c r="AR67" s="1" t="s">
        <v>13</v>
      </c>
      <c r="AS67" s="20" t="str">
        <f t="shared" si="3"/>
        <v>N/A</v>
      </c>
      <c r="AT67" s="20" t="str">
        <f t="shared" si="1"/>
        <v>N/A</v>
      </c>
      <c r="AU67" s="20" t="str">
        <f t="shared" si="2"/>
        <v>N/A</v>
      </c>
      <c r="AV67" s="20"/>
      <c r="AW67" s="20"/>
      <c r="AX67" s="20"/>
      <c r="AZ67" s="481"/>
    </row>
    <row r="68" spans="1:52" x14ac:dyDescent="0.25">
      <c r="A68" s="1410">
        <v>59</v>
      </c>
      <c r="B68" s="1412" t="s">
        <v>61</v>
      </c>
      <c r="C68" s="109" t="str">
        <f t="shared" si="6"/>
        <v>Ene 01</v>
      </c>
      <c r="D68" s="16" t="s">
        <v>725</v>
      </c>
      <c r="E68" s="663" t="str">
        <f>VLOOKUP(D68,Poeng!$B$10:$R$252,Poeng!E$1,FALSE)</f>
        <v xml:space="preserve">Passive design </v>
      </c>
      <c r="F68" s="107">
        <f>VLOOKUP(D68,Poeng!$B$10:$AB$252,Poeng!AB$1,FALSE)</f>
        <v>2</v>
      </c>
      <c r="G68" s="1166">
        <f>'Assessment Issue Scoring'!G345</f>
        <v>0</v>
      </c>
      <c r="H68" s="108">
        <f>VLOOKUP(D68,Poeng!$B$10:$AE$252,Poeng!AE$1,FALSE)</f>
        <v>0</v>
      </c>
      <c r="I68" s="109" t="str">
        <f>VLOOKUP(D68,Poeng!$B$10:$BE$252,Poeng!BE$1,FALSE)</f>
        <v>N/A</v>
      </c>
      <c r="J68" s="74"/>
      <c r="K68" s="241"/>
      <c r="L68" s="552"/>
      <c r="M68" s="623"/>
      <c r="N68" s="77"/>
      <c r="O68" s="108">
        <f>VLOOKUP(D68,Poeng!$B$10:$BC$252,Poeng!AF$1,FALSE)</f>
        <v>0</v>
      </c>
      <c r="P68" s="108" t="str">
        <f>VLOOKUP(D68,Poeng!$B$10:$BH$252,Poeng!BH$1,FALSE)</f>
        <v>N/A</v>
      </c>
      <c r="Q68" s="558"/>
      <c r="R68" s="559"/>
      <c r="S68" s="552"/>
      <c r="T68" s="276"/>
      <c r="U68" s="77"/>
      <c r="V68" s="108">
        <f>VLOOKUP(D68,Poeng!$B$10:$BC$252,Poeng!AG$1,FALSE)</f>
        <v>0</v>
      </c>
      <c r="W68" s="108" t="str">
        <f>VLOOKUP(D68,Poeng!$B$10:$BK$252,Poeng!BK$1,FALSE)</f>
        <v>N/A</v>
      </c>
      <c r="X68" s="75"/>
      <c r="Y68" s="74"/>
      <c r="Z68" s="552"/>
      <c r="AC68" s="20">
        <f t="shared" si="0"/>
        <v>1</v>
      </c>
      <c r="AD68" s="1" t="e">
        <f>VLOOKUP(K68,'Assessment Details'!$O$49:$P$52,2,FALSE)</f>
        <v>#N/A</v>
      </c>
      <c r="AE68" s="1" t="e">
        <f>VLOOKUP(R68,'Assessment Details'!$O$49:$P$52,2,FALSE)</f>
        <v>#N/A</v>
      </c>
      <c r="AF68" s="1" t="e">
        <f>VLOOKUP(Y68,'Assessment Details'!$O$49:$P$52,2,FALSE)</f>
        <v>#N/A</v>
      </c>
    </row>
    <row r="69" spans="1:52" x14ac:dyDescent="0.25">
      <c r="A69" s="1410">
        <v>60</v>
      </c>
      <c r="B69" s="1412" t="s">
        <v>61</v>
      </c>
      <c r="C69" s="109" t="str">
        <f t="shared" si="6"/>
        <v>Ene 01</v>
      </c>
      <c r="D69" s="16" t="s">
        <v>726</v>
      </c>
      <c r="E69" s="663" t="str">
        <f>VLOOKUP(D69,Poeng!$B$10:$R$252,Poeng!E$1,FALSE)</f>
        <v xml:space="preserve">Low and zero carbon technologies </v>
      </c>
      <c r="F69" s="107">
        <f>VLOOKUP(D69,Poeng!$B$10:$AB$252,Poeng!AB$1,FALSE)</f>
        <v>1</v>
      </c>
      <c r="G69" s="1166">
        <f>'Assessment Issue Scoring'!G346</f>
        <v>0</v>
      </c>
      <c r="H69" s="108">
        <f>VLOOKUP(D69,Poeng!$B$10:$AE$252,Poeng!AE$1,FALSE)</f>
        <v>0</v>
      </c>
      <c r="I69" s="109" t="str">
        <f>VLOOKUP(D69,Poeng!$B$10:$BE$252,Poeng!BE$1,FALSE)</f>
        <v>N/A</v>
      </c>
      <c r="J69" s="74"/>
      <c r="K69" s="241"/>
      <c r="L69" s="608"/>
      <c r="M69" s="623"/>
      <c r="N69" s="77"/>
      <c r="O69" s="108">
        <f>VLOOKUP(D69,Poeng!$B$10:$BC$252,Poeng!AF$1,FALSE)</f>
        <v>0</v>
      </c>
      <c r="P69" s="108" t="str">
        <f>VLOOKUP(D69,Poeng!$B$10:$BH$252,Poeng!BH$1,FALSE)</f>
        <v>N/A</v>
      </c>
      <c r="Q69" s="558"/>
      <c r="R69" s="559"/>
      <c r="S69" s="552"/>
      <c r="T69" s="276"/>
      <c r="U69" s="77"/>
      <c r="V69" s="108">
        <f>VLOOKUP(D69,Poeng!$B$10:$BC$252,Poeng!AG$1,FALSE)</f>
        <v>0</v>
      </c>
      <c r="W69" s="108" t="str">
        <f>VLOOKUP(D69,Poeng!$B$10:$BK$252,Poeng!BK$1,FALSE)</f>
        <v>N/A</v>
      </c>
      <c r="X69" s="75"/>
      <c r="Y69" s="74"/>
      <c r="Z69" s="552"/>
      <c r="AC69" s="20">
        <f t="shared" si="0"/>
        <v>1</v>
      </c>
      <c r="AD69" s="1" t="e">
        <f>VLOOKUP(K69,'Assessment Details'!$O$49:$P$52,2,FALSE)</f>
        <v>#N/A</v>
      </c>
      <c r="AE69" s="1" t="e">
        <f>VLOOKUP(R69,'Assessment Details'!$O$49:$P$52,2,FALSE)</f>
        <v>#N/A</v>
      </c>
      <c r="AF69" s="1" t="e">
        <f>VLOOKUP(Y69,'Assessment Details'!$O$49:$P$52,2,FALSE)</f>
        <v>#N/A</v>
      </c>
    </row>
    <row r="70" spans="1:52" x14ac:dyDescent="0.25">
      <c r="A70" s="1410">
        <v>61</v>
      </c>
      <c r="B70" s="1412" t="s">
        <v>61</v>
      </c>
      <c r="C70" s="109" t="str">
        <f>C69</f>
        <v>Ene 01</v>
      </c>
      <c r="D70" s="16" t="s">
        <v>727</v>
      </c>
      <c r="E70" s="663" t="str">
        <f>VLOOKUP(D70,Poeng!$B$10:$R$252,Poeng!E$1,FALSE)</f>
        <v xml:space="preserve">Energy performance </v>
      </c>
      <c r="F70" s="107">
        <f>VLOOKUP(D70,Poeng!$B$10:$AB$252,Poeng!AB$1,FALSE)</f>
        <v>4</v>
      </c>
      <c r="G70" s="1166">
        <f>'Assessment Issue Scoring'!G347</f>
        <v>0</v>
      </c>
      <c r="H70" s="108">
        <f>VLOOKUP(D70,Poeng!$B$10:$AE$252,Poeng!AE$1,FALSE)</f>
        <v>0</v>
      </c>
      <c r="I70" s="109" t="str">
        <f>VLOOKUP(D70,Poeng!$B$10:$BE$252,Poeng!BE$1,FALSE)</f>
        <v>Very Good</v>
      </c>
      <c r="J70" s="74"/>
      <c r="K70" s="241"/>
      <c r="L70" s="608"/>
      <c r="M70" s="623"/>
      <c r="N70" s="77"/>
      <c r="O70" s="108">
        <f>VLOOKUP(D70,Poeng!$B$10:$BC$252,Poeng!AF$1,FALSE)</f>
        <v>0</v>
      </c>
      <c r="P70" s="108" t="str">
        <f>VLOOKUP(D70,Poeng!$B$10:$BH$252,Poeng!BH$1,FALSE)</f>
        <v>Very Good</v>
      </c>
      <c r="Q70" s="558"/>
      <c r="R70" s="559"/>
      <c r="S70" s="552"/>
      <c r="T70" s="276"/>
      <c r="U70" s="77"/>
      <c r="V70" s="108">
        <f>VLOOKUP(D70,Poeng!$B$10:$BC$252,Poeng!AG$1,FALSE)</f>
        <v>0</v>
      </c>
      <c r="W70" s="108" t="str">
        <f>VLOOKUP(D70,Poeng!$B$10:$BK$252,Poeng!BK$1,FALSE)</f>
        <v>Very Good</v>
      </c>
      <c r="X70" s="75"/>
      <c r="Y70" s="74"/>
      <c r="Z70" s="552"/>
      <c r="AC70" s="20">
        <f t="shared" si="0"/>
        <v>1</v>
      </c>
      <c r="AD70" s="1" t="e">
        <f>VLOOKUP(K70,'Assessment Details'!$O$49:$P$52,2,FALSE)</f>
        <v>#N/A</v>
      </c>
      <c r="AE70" s="1" t="e">
        <f>VLOOKUP(R70,'Assessment Details'!$O$49:$P$52,2,FALSE)</f>
        <v>#N/A</v>
      </c>
      <c r="AF70" s="1" t="e">
        <f>VLOOKUP(Y70,'Assessment Details'!$O$49:$P$52,2,FALSE)</f>
        <v>#N/A</v>
      </c>
    </row>
    <row r="71" spans="1:52" x14ac:dyDescent="0.25">
      <c r="A71" s="1410">
        <v>62</v>
      </c>
      <c r="B71" s="1412" t="s">
        <v>61</v>
      </c>
      <c r="C71" s="109" t="str">
        <f>C69</f>
        <v>Ene 01</v>
      </c>
      <c r="D71" s="16" t="s">
        <v>995</v>
      </c>
      <c r="E71" s="663" t="str">
        <f>VLOOKUP(D71,Poeng!$B$10:$R$259,Poeng!E$1,FALSE)</f>
        <v>EU taxonomy requirements: criterion 9 and 10</v>
      </c>
      <c r="F71" s="107" t="str">
        <f>VLOOKUP(D71,Poeng!$B$10:$AB$259,Poeng!AB$1,FALSE)</f>
        <v>Yes/No</v>
      </c>
      <c r="G71" s="1166" t="str">
        <f>'Assessment Issue Scoring'!E348</f>
        <v>Please select</v>
      </c>
      <c r="H71" s="108" t="str">
        <f>VLOOKUP(D71,Poeng!$B$10:$AE$259,Poeng!AE$1,FALSE)</f>
        <v>-</v>
      </c>
      <c r="I71" s="109" t="str">
        <f>VLOOKUP(D71,Poeng!$B$10:$BE$259,Poeng!BE$1,FALSE)</f>
        <v>N/A</v>
      </c>
      <c r="J71" s="74"/>
      <c r="K71" s="241"/>
      <c r="L71" s="608"/>
      <c r="M71" s="623"/>
      <c r="N71" s="77"/>
      <c r="O71" s="108" t="str">
        <f>VLOOKUP(D71,Poeng!$B$10:$BC$259,Poeng!AF$1,FALSE)</f>
        <v>-</v>
      </c>
      <c r="P71" s="108" t="str">
        <f>VLOOKUP(D71,Poeng!$B$10:$BH$259,Poeng!BH$1,FALSE)</f>
        <v>N/A</v>
      </c>
      <c r="Q71" s="558"/>
      <c r="R71" s="559" t="s">
        <v>0</v>
      </c>
      <c r="S71" s="552"/>
      <c r="T71" s="276"/>
      <c r="U71" s="77"/>
      <c r="V71" s="108" t="str">
        <f>VLOOKUP(D71,Poeng!$B$10:$BC$259,Poeng!AG$1,FALSE)</f>
        <v>-</v>
      </c>
      <c r="W71" s="108" t="str">
        <f>VLOOKUP(D71,Poeng!$B$10:$BK$259,Poeng!BK$1,FALSE)</f>
        <v>N/A</v>
      </c>
      <c r="X71" s="75"/>
      <c r="Y71" s="74"/>
      <c r="Z71" s="552"/>
      <c r="AC71" s="20">
        <f t="shared" ref="AC71" si="9">IF(F71="",1,IF(F71=0,2,1))</f>
        <v>1</v>
      </c>
      <c r="AD71" s="1" t="e">
        <f>VLOOKUP(K71,'Assessment Details'!$O$49:$P$52,2,FALSE)</f>
        <v>#N/A</v>
      </c>
      <c r="AE71" s="1">
        <f>VLOOKUP(R71,'Assessment Details'!$O$49:$P$52,2,FALSE)</f>
        <v>4</v>
      </c>
      <c r="AF71" s="1" t="e">
        <f>VLOOKUP(Y71,'Assessment Details'!$O$49:$P$52,2,FALSE)</f>
        <v>#N/A</v>
      </c>
    </row>
    <row r="72" spans="1:52" x14ac:dyDescent="0.25">
      <c r="A72" s="1410">
        <v>63</v>
      </c>
      <c r="B72" s="1412" t="s">
        <v>61</v>
      </c>
      <c r="C72" s="109" t="str">
        <f>C70</f>
        <v>Ene 01</v>
      </c>
      <c r="D72" s="16" t="s">
        <v>728</v>
      </c>
      <c r="E72" s="663" t="str">
        <f>VLOOKUP(D72,Poeng!$B$10:$R$252,Poeng!E$1,FALSE)</f>
        <v>Adaptation to EU taxonomy</v>
      </c>
      <c r="F72" s="107">
        <f>VLOOKUP(D72,Poeng!$B$10:$AB$252,Poeng!AB$1,FALSE)</f>
        <v>1</v>
      </c>
      <c r="G72" s="1166">
        <f>'Assessment Issue Scoring'!G349</f>
        <v>0</v>
      </c>
      <c r="H72" s="108">
        <f>VLOOKUP(D72,Poeng!$B$10:$AE$252,Poeng!AE$1,FALSE)</f>
        <v>0</v>
      </c>
      <c r="I72" s="109" t="str">
        <f>VLOOKUP(D72,Poeng!$B$10:$BE$252,Poeng!BE$1,FALSE)</f>
        <v>Very Good</v>
      </c>
      <c r="J72" s="74"/>
      <c r="K72" s="241"/>
      <c r="L72" s="608"/>
      <c r="M72" s="623"/>
      <c r="N72" s="77"/>
      <c r="O72" s="108">
        <f>VLOOKUP(D72,Poeng!$B$10:$BC$252,Poeng!AF$1,FALSE)</f>
        <v>0</v>
      </c>
      <c r="P72" s="108" t="str">
        <f>VLOOKUP(D72,Poeng!$B$10:$BH$252,Poeng!BH$1,FALSE)</f>
        <v>Very Good</v>
      </c>
      <c r="Q72" s="558"/>
      <c r="R72" s="559"/>
      <c r="S72" s="552"/>
      <c r="T72" s="276"/>
      <c r="U72" s="77"/>
      <c r="V72" s="108">
        <f>VLOOKUP(D72,Poeng!$B$10:$BC$252,Poeng!AG$1,FALSE)</f>
        <v>0</v>
      </c>
      <c r="W72" s="108" t="str">
        <f>VLOOKUP(D72,Poeng!$B$10:$BK$252,Poeng!BK$1,FALSE)</f>
        <v>Very Good</v>
      </c>
      <c r="X72" s="75"/>
      <c r="Y72" s="74"/>
      <c r="Z72" s="552"/>
      <c r="AC72" s="20">
        <f t="shared" si="0"/>
        <v>1</v>
      </c>
      <c r="AD72" s="1" t="e">
        <f>VLOOKUP(K72,'Assessment Details'!$O$49:$P$52,2,FALSE)</f>
        <v>#N/A</v>
      </c>
      <c r="AE72" s="1" t="e">
        <f>VLOOKUP(R72,'Assessment Details'!$O$49:$P$52,2,FALSE)</f>
        <v>#N/A</v>
      </c>
      <c r="AF72" s="1" t="e">
        <f>VLOOKUP(Y72,'Assessment Details'!$O$49:$P$52,2,FALSE)</f>
        <v>#N/A</v>
      </c>
    </row>
    <row r="73" spans="1:52" x14ac:dyDescent="0.25">
      <c r="A73" s="1410">
        <v>64</v>
      </c>
      <c r="B73" s="1412" t="s">
        <v>61</v>
      </c>
      <c r="C73" s="109" t="str">
        <f>C71</f>
        <v>Ene 01</v>
      </c>
      <c r="D73" s="16" t="s">
        <v>1952</v>
      </c>
      <c r="E73" s="663" t="str">
        <f>VLOOKUP(D73,Poeng!$B$10:$R$257,Poeng!E$1,FALSE)</f>
        <v>EU taxonomy requirements: criterion 12</v>
      </c>
      <c r="F73" s="107" t="str">
        <f>VLOOKUP(D73,Poeng!$B$10:$AB$257,Poeng!AB$1,FALSE)</f>
        <v>Yes/No</v>
      </c>
      <c r="G73" s="1166" t="str">
        <f>'Assessment Issue Scoring'!E350</f>
        <v>Please select</v>
      </c>
      <c r="H73" s="108"/>
      <c r="I73" s="109"/>
      <c r="J73" s="74"/>
      <c r="K73" s="241"/>
      <c r="L73" s="608"/>
      <c r="M73" s="623"/>
      <c r="N73" s="77"/>
      <c r="O73" s="108"/>
      <c r="P73" s="108"/>
      <c r="Q73" s="558"/>
      <c r="R73" s="559"/>
      <c r="S73" s="552"/>
      <c r="T73" s="276"/>
      <c r="U73" s="77"/>
      <c r="V73" s="108"/>
      <c r="W73" s="108"/>
      <c r="X73" s="75"/>
      <c r="Y73" s="74"/>
      <c r="Z73" s="552"/>
      <c r="AC73" s="20"/>
      <c r="AD73" s="1"/>
      <c r="AE73" s="1"/>
      <c r="AF73" s="1"/>
    </row>
    <row r="74" spans="1:52" x14ac:dyDescent="0.25">
      <c r="A74" s="1410">
        <v>65</v>
      </c>
      <c r="B74" s="1412" t="s">
        <v>61</v>
      </c>
      <c r="C74" s="109" t="str">
        <f>C72</f>
        <v>Ene 01</v>
      </c>
      <c r="D74" s="16" t="s">
        <v>729</v>
      </c>
      <c r="E74" s="663" t="str">
        <f>VLOOKUP(D74,Poeng!$B$10:$R$252,Poeng!E$1,FALSE)</f>
        <v xml:space="preserve">Prediction of operational energy consumption </v>
      </c>
      <c r="F74" s="107">
        <f>VLOOKUP(D74,Poeng!$B$10:$AB$252,Poeng!AB$1,FALSE)</f>
        <v>4</v>
      </c>
      <c r="G74" s="1166">
        <f>'Assessment Issue Scoring'!G351</f>
        <v>0</v>
      </c>
      <c r="H74" s="108">
        <f>VLOOKUP(D74,Poeng!$B$10:$AE$252,Poeng!AE$1,FALSE)</f>
        <v>0</v>
      </c>
      <c r="I74" s="109" t="str">
        <f>VLOOKUP(D74,Poeng!$B$10:$BE$252,Poeng!BE$1,FALSE)</f>
        <v>N/A</v>
      </c>
      <c r="J74" s="74"/>
      <c r="K74" s="241"/>
      <c r="L74" s="608"/>
      <c r="M74" s="623"/>
      <c r="N74" s="77"/>
      <c r="O74" s="108">
        <f>VLOOKUP(D74,Poeng!$B$10:$BC$252,Poeng!AF$1,FALSE)</f>
        <v>0</v>
      </c>
      <c r="P74" s="108" t="str">
        <f>VLOOKUP(D74,Poeng!$B$10:$BH$252,Poeng!BH$1,FALSE)</f>
        <v>N/A</v>
      </c>
      <c r="Q74" s="558"/>
      <c r="R74" s="559"/>
      <c r="S74" s="552"/>
      <c r="T74" s="276"/>
      <c r="U74" s="77"/>
      <c r="V74" s="108">
        <f>VLOOKUP(D74,Poeng!$B$10:$BC$252,Poeng!AG$1,FALSE)</f>
        <v>0</v>
      </c>
      <c r="W74" s="108" t="str">
        <f>VLOOKUP(D74,Poeng!$B$10:$BK$252,Poeng!BK$1,FALSE)</f>
        <v>N/A</v>
      </c>
      <c r="X74" s="75"/>
      <c r="Y74" s="74"/>
      <c r="Z74" s="552"/>
      <c r="AC74" s="20">
        <f t="shared" si="0"/>
        <v>1</v>
      </c>
      <c r="AD74" s="1" t="e">
        <f>VLOOKUP(K74,'Assessment Details'!$O$49:$P$52,2,FALSE)</f>
        <v>#N/A</v>
      </c>
      <c r="AE74" s="1" t="e">
        <f>VLOOKUP(R74,'Assessment Details'!$O$49:$P$52,2,FALSE)</f>
        <v>#N/A</v>
      </c>
      <c r="AF74" s="1" t="e">
        <f>VLOOKUP(Y74,'Assessment Details'!$O$49:$P$52,2,FALSE)</f>
        <v>#N/A</v>
      </c>
    </row>
    <row r="75" spans="1:52" x14ac:dyDescent="0.25">
      <c r="A75" s="1410">
        <v>66</v>
      </c>
      <c r="B75" s="1412" t="s">
        <v>61</v>
      </c>
      <c r="C75" s="690" t="s">
        <v>130</v>
      </c>
      <c r="D75" s="628" t="s">
        <v>130</v>
      </c>
      <c r="E75" s="662" t="str">
        <f>VLOOKUP(D75,Poeng!$B$10:$R$252,Poeng!E$1,FALSE)</f>
        <v>Ene 02 Energy monitoring</v>
      </c>
      <c r="F75" s="667">
        <f>VLOOKUP(D75,Poeng!$B$10:$AB$252,Poeng!AB$1,FALSE)</f>
        <v>2</v>
      </c>
      <c r="G75" s="742"/>
      <c r="H75" s="668" t="str">
        <f>VLOOKUP(D75,Poeng!$B$10:$AI$252,Poeng!AI$1,FALSE)&amp;" c. "&amp;ROUND(VLOOKUP(D75,Poeng!$B$10:$AE$252,Poeng!AE$1,FALSE)*100,1)&amp;" %"</f>
        <v>0 c. 0 %</v>
      </c>
      <c r="I75" s="690" t="str">
        <f>VLOOKUP(D75,Poeng!$B$10:$BE$252,Poeng!BE$1,FALSE)</f>
        <v>N/A</v>
      </c>
      <c r="J75" s="74"/>
      <c r="K75" s="241"/>
      <c r="L75" s="608"/>
      <c r="M75" s="623"/>
      <c r="N75" s="742"/>
      <c r="O75" s="679" t="str">
        <f>VLOOKUP(D75,Poeng!$B$10:$BC$252,Poeng!AJ$1,FALSE)&amp;" c. "&amp;ROUND(VLOOKUP(D75,Poeng!$B$10:$BC$252,Poeng!AF$1,FALSE)*100,1)&amp;" %"</f>
        <v>0 c. 0 %</v>
      </c>
      <c r="P75" s="108" t="str">
        <f>VLOOKUP(D75,Poeng!$B$10:$BH$252,Poeng!BH$1,FALSE)</f>
        <v>N/A</v>
      </c>
      <c r="Q75" s="558"/>
      <c r="R75" s="559"/>
      <c r="S75" s="552"/>
      <c r="T75" s="276"/>
      <c r="U75" s="742"/>
      <c r="V75" s="679" t="str">
        <f>VLOOKUP(D75,Poeng!$B$10:$BC$252,Poeng!AK$1,FALSE)&amp;" c. "&amp;ROUND(VLOOKUP(D75,Poeng!$B$10:$BC$252,Poeng!AG$1,FALSE)*100,1)&amp;" %"</f>
        <v>0 c. 0 %</v>
      </c>
      <c r="W75" s="108" t="str">
        <f>VLOOKUP(D75,Poeng!$B$10:$BK$252,Poeng!BK$1,FALSE)</f>
        <v>N/A</v>
      </c>
      <c r="X75" s="75"/>
      <c r="Y75" s="74"/>
      <c r="Z75" s="552"/>
      <c r="AA75" s="117"/>
      <c r="AB75" s="517" t="s">
        <v>432</v>
      </c>
      <c r="AC75" s="20">
        <f t="shared" si="0"/>
        <v>1</v>
      </c>
      <c r="AD75" s="1" t="e">
        <f>VLOOKUP(K75,'Assessment Details'!$O$49:$P$52,2,FALSE)</f>
        <v>#N/A</v>
      </c>
      <c r="AE75" s="1" t="e">
        <f>VLOOKUP(R75,'Assessment Details'!$O$49:$P$52,2,FALSE)</f>
        <v>#N/A</v>
      </c>
      <c r="AF75" s="1" t="e">
        <f>VLOOKUP(Y75,'Assessment Details'!$O$49:$P$52,2,FALSE)</f>
        <v>#N/A</v>
      </c>
      <c r="AI75" s="64" t="str">
        <f>ais_ja</f>
        <v>Ja</v>
      </c>
      <c r="AJ75" s="508" t="s">
        <v>128</v>
      </c>
      <c r="AK75" s="490" t="s">
        <v>430</v>
      </c>
      <c r="AL75" s="490" t="s">
        <v>431</v>
      </c>
      <c r="AM75" s="490" t="s">
        <v>432</v>
      </c>
      <c r="AN75" s="490" t="s">
        <v>433</v>
      </c>
      <c r="AO75" s="490" t="s">
        <v>418</v>
      </c>
      <c r="AP75" s="64"/>
      <c r="AR75" s="1" t="str">
        <f>IF($AJ$8=ais_nei,AIS_NA,"No")</f>
        <v>No</v>
      </c>
      <c r="AS75" s="20" t="str">
        <f t="shared" ref="AS75:AX75" si="10">IF(OR($AJ$4=ais_nei,$AJ$8=ais_nei),AIS_NA,IF(AK75="",AIS_NA,AK75))</f>
        <v>N/A</v>
      </c>
      <c r="AT75" s="20" t="str">
        <f t="shared" si="10"/>
        <v>N/A</v>
      </c>
      <c r="AU75" s="20" t="str">
        <f t="shared" si="10"/>
        <v>N/A</v>
      </c>
      <c r="AV75" s="20" t="str">
        <f t="shared" si="10"/>
        <v>N/A</v>
      </c>
      <c r="AW75" s="20" t="str">
        <f t="shared" si="10"/>
        <v>N/A</v>
      </c>
      <c r="AX75" s="20" t="str">
        <f t="shared" si="10"/>
        <v>N/A</v>
      </c>
      <c r="AY75" s="1" t="s">
        <v>12</v>
      </c>
      <c r="AZ75" s="481"/>
    </row>
    <row r="76" spans="1:52" x14ac:dyDescent="0.25">
      <c r="A76" s="1410">
        <v>67</v>
      </c>
      <c r="B76" s="1412" t="s">
        <v>61</v>
      </c>
      <c r="C76" s="109" t="str">
        <f t="shared" si="6"/>
        <v>Ene 02</v>
      </c>
      <c r="D76" s="628" t="s">
        <v>241</v>
      </c>
      <c r="E76" s="663" t="str">
        <f>VLOOKUP(D76,Poeng!$B$10:$R$252,Poeng!E$1,FALSE)</f>
        <v xml:space="preserve">Sub-metering of end-use categories </v>
      </c>
      <c r="F76" s="107">
        <f>VLOOKUP(D76,Poeng!$B$10:$AB$252,Poeng!AB$1,FALSE)</f>
        <v>1</v>
      </c>
      <c r="G76" s="1166">
        <f>'Assessment Issue Scoring'!G388</f>
        <v>0</v>
      </c>
      <c r="H76" s="108">
        <f>VLOOKUP(D76,Poeng!$B$10:$AE$252,Poeng!AE$1,FALSE)</f>
        <v>0</v>
      </c>
      <c r="I76" s="109" t="str">
        <f>VLOOKUP(D76,Poeng!$B$10:$BE$252,Poeng!BE$1,FALSE)</f>
        <v>N/A</v>
      </c>
      <c r="J76" s="74"/>
      <c r="K76" s="241"/>
      <c r="L76" s="608"/>
      <c r="M76" s="623"/>
      <c r="N76" s="77"/>
      <c r="O76" s="108">
        <f>VLOOKUP(D76,Poeng!$B$10:$BC$252,Poeng!AF$1,FALSE)</f>
        <v>0</v>
      </c>
      <c r="P76" s="108" t="str">
        <f>VLOOKUP(D76,Poeng!$B$10:$BH$252,Poeng!BH$1,FALSE)</f>
        <v>N/A</v>
      </c>
      <c r="Q76" s="558"/>
      <c r="R76" s="559"/>
      <c r="S76" s="552"/>
      <c r="T76" s="276"/>
      <c r="U76" s="77"/>
      <c r="V76" s="108">
        <f>VLOOKUP(D76,Poeng!$B$10:$BC$252,Poeng!AG$1,FALSE)</f>
        <v>0</v>
      </c>
      <c r="W76" s="108" t="str">
        <f>VLOOKUP(D76,Poeng!$B$10:$BK$252,Poeng!BK$1,FALSE)</f>
        <v>N/A</v>
      </c>
      <c r="X76" s="75"/>
      <c r="Y76" s="74"/>
      <c r="Z76" s="552"/>
      <c r="AA76" s="117"/>
      <c r="AB76" s="517"/>
      <c r="AC76" s="20">
        <f t="shared" si="0"/>
        <v>1</v>
      </c>
      <c r="AD76" s="1" t="e">
        <f>VLOOKUP(K76,'Assessment Details'!$O$49:$P$52,2,FALSE)</f>
        <v>#N/A</v>
      </c>
      <c r="AE76" s="1" t="e">
        <f>VLOOKUP(R76,'Assessment Details'!$O$49:$P$52,2,FALSE)</f>
        <v>#N/A</v>
      </c>
      <c r="AF76" s="1" t="e">
        <f>VLOOKUP(Y76,'Assessment Details'!$O$49:$P$52,2,FALSE)</f>
        <v>#N/A</v>
      </c>
      <c r="AI76" s="64"/>
      <c r="AJ76" s="508"/>
      <c r="AK76" s="490"/>
      <c r="AL76" s="490"/>
      <c r="AM76" s="490"/>
      <c r="AN76" s="490"/>
      <c r="AO76" s="490"/>
      <c r="AP76" s="64"/>
      <c r="AS76" s="20"/>
      <c r="AT76" s="20"/>
      <c r="AU76" s="20"/>
      <c r="AV76" s="20"/>
      <c r="AW76" s="20"/>
      <c r="AX76" s="20"/>
      <c r="AZ76" s="481"/>
    </row>
    <row r="77" spans="1:52" x14ac:dyDescent="0.25">
      <c r="A77" s="1410">
        <v>68</v>
      </c>
      <c r="B77" s="1412" t="s">
        <v>61</v>
      </c>
      <c r="C77" s="109" t="str">
        <f t="shared" si="6"/>
        <v>Ene 02</v>
      </c>
      <c r="D77" s="628" t="s">
        <v>336</v>
      </c>
      <c r="E77" s="663" t="str">
        <f>VLOOKUP(D77,Poeng!$B$10:$R$252,Poeng!E$1,FALSE)</f>
        <v xml:space="preserve">Sub-metering of high energy load and tenancy areas </v>
      </c>
      <c r="F77" s="107">
        <f>VLOOKUP(D77,Poeng!$B$10:$AB$252,Poeng!AB$1,FALSE)</f>
        <v>1</v>
      </c>
      <c r="G77" s="1166">
        <f>'Assessment Issue Scoring'!G389</f>
        <v>0</v>
      </c>
      <c r="H77" s="108">
        <f>VLOOKUP(D77,Poeng!$B$10:$AE$252,Poeng!AE$1,FALSE)</f>
        <v>0</v>
      </c>
      <c r="I77" s="109" t="str">
        <f>VLOOKUP(D77,Poeng!$B$10:$BE$252,Poeng!BE$1,FALSE)</f>
        <v>N/A</v>
      </c>
      <c r="J77" s="74"/>
      <c r="K77" s="241"/>
      <c r="L77" s="608"/>
      <c r="M77" s="623"/>
      <c r="N77" s="77"/>
      <c r="O77" s="108">
        <f>VLOOKUP(D77,Poeng!$B$10:$BC$252,Poeng!AF$1,FALSE)</f>
        <v>0</v>
      </c>
      <c r="P77" s="108" t="str">
        <f>VLOOKUP(D77,Poeng!$B$10:$BH$252,Poeng!BH$1,FALSE)</f>
        <v>N/A</v>
      </c>
      <c r="Q77" s="558"/>
      <c r="R77" s="559"/>
      <c r="S77" s="552"/>
      <c r="T77" s="276"/>
      <c r="U77" s="77"/>
      <c r="V77" s="108">
        <f>VLOOKUP(D77,Poeng!$B$10:$BC$252,Poeng!AG$1,FALSE)</f>
        <v>0</v>
      </c>
      <c r="W77" s="108" t="str">
        <f>VLOOKUP(D77,Poeng!$B$10:$BK$252,Poeng!BK$1,FALSE)</f>
        <v>N/A</v>
      </c>
      <c r="X77" s="75"/>
      <c r="Y77" s="74"/>
      <c r="Z77" s="552"/>
      <c r="AA77" s="117"/>
      <c r="AB77" s="517"/>
      <c r="AC77" s="20">
        <f t="shared" si="0"/>
        <v>1</v>
      </c>
      <c r="AD77" s="1" t="e">
        <f>VLOOKUP(K77,'Assessment Details'!$O$49:$P$52,2,FALSE)</f>
        <v>#N/A</v>
      </c>
      <c r="AE77" s="1" t="e">
        <f>VLOOKUP(R77,'Assessment Details'!$O$49:$P$52,2,FALSE)</f>
        <v>#N/A</v>
      </c>
      <c r="AF77" s="1" t="e">
        <f>VLOOKUP(Y77,'Assessment Details'!$O$49:$P$52,2,FALSE)</f>
        <v>#N/A</v>
      </c>
      <c r="AI77" s="64"/>
      <c r="AJ77" s="508"/>
      <c r="AK77" s="490"/>
      <c r="AL77" s="490"/>
      <c r="AM77" s="490"/>
      <c r="AN77" s="490"/>
      <c r="AO77" s="490"/>
      <c r="AP77" s="64"/>
      <c r="AS77" s="20"/>
      <c r="AT77" s="20"/>
      <c r="AU77" s="20"/>
      <c r="AV77" s="20"/>
      <c r="AW77" s="20"/>
      <c r="AX77" s="20"/>
      <c r="AZ77" s="481"/>
    </row>
    <row r="78" spans="1:52" x14ac:dyDescent="0.25">
      <c r="A78" s="1410">
        <v>69</v>
      </c>
      <c r="B78" s="1412" t="s">
        <v>61</v>
      </c>
      <c r="C78" s="109" t="str">
        <f t="shared" si="6"/>
        <v>Ene 02</v>
      </c>
      <c r="D78" s="628" t="s">
        <v>730</v>
      </c>
      <c r="E78" s="663" t="str">
        <f>VLOOKUP(D78,Poeng!$B$10:$R$252,Poeng!E$1,FALSE)</f>
        <v xml:space="preserve">Sub-metering of energy consumption in residential buildings </v>
      </c>
      <c r="F78" s="107">
        <f>VLOOKUP(D78,Poeng!$B$10:$AB$252,Poeng!AB$1,FALSE)</f>
        <v>0</v>
      </c>
      <c r="G78" s="1260">
        <f>'Assessment Issue Scoring'!G390</f>
        <v>0</v>
      </c>
      <c r="H78" s="108">
        <f>VLOOKUP(D78,Poeng!$B$10:$AE$252,Poeng!AE$1,FALSE)</f>
        <v>0</v>
      </c>
      <c r="I78" s="109" t="str">
        <f>VLOOKUP(D78,Poeng!$B$10:$BE$252,Poeng!BE$1,FALSE)</f>
        <v>N/A</v>
      </c>
      <c r="J78" s="74"/>
      <c r="K78" s="241"/>
      <c r="L78" s="608"/>
      <c r="M78" s="623"/>
      <c r="N78" s="77"/>
      <c r="O78" s="108">
        <f>VLOOKUP(D78,Poeng!$B$10:$BC$252,Poeng!AF$1,FALSE)</f>
        <v>0</v>
      </c>
      <c r="P78" s="108" t="str">
        <f>VLOOKUP(D78,Poeng!$B$10:$BH$252,Poeng!BH$1,FALSE)</f>
        <v>N/A</v>
      </c>
      <c r="Q78" s="558"/>
      <c r="R78" s="559"/>
      <c r="S78" s="552"/>
      <c r="T78" s="276"/>
      <c r="U78" s="77"/>
      <c r="V78" s="108">
        <f>VLOOKUP(D78,Poeng!$B$10:$BC$252,Poeng!AG$1,FALSE)</f>
        <v>0</v>
      </c>
      <c r="W78" s="108" t="str">
        <f>VLOOKUP(D78,Poeng!$B$10:$BK$252,Poeng!BK$1,FALSE)</f>
        <v>N/A</v>
      </c>
      <c r="X78" s="75"/>
      <c r="Y78" s="74"/>
      <c r="Z78" s="552"/>
      <c r="AA78" s="117"/>
      <c r="AB78" s="517"/>
      <c r="AC78" s="20">
        <f t="shared" si="0"/>
        <v>2</v>
      </c>
      <c r="AD78" s="1" t="e">
        <f>VLOOKUP(K78,'Assessment Details'!$O$49:$P$52,2,FALSE)</f>
        <v>#N/A</v>
      </c>
      <c r="AE78" s="1" t="e">
        <f>VLOOKUP(R78,'Assessment Details'!$O$49:$P$52,2,FALSE)</f>
        <v>#N/A</v>
      </c>
      <c r="AF78" s="1" t="e">
        <f>VLOOKUP(Y78,'Assessment Details'!$O$49:$P$52,2,FALSE)</f>
        <v>#N/A</v>
      </c>
      <c r="AI78" s="64"/>
      <c r="AJ78" s="508"/>
      <c r="AK78" s="490"/>
      <c r="AL78" s="490"/>
      <c r="AM78" s="490"/>
      <c r="AN78" s="490"/>
      <c r="AO78" s="490"/>
      <c r="AP78" s="64"/>
      <c r="AS78" s="20"/>
      <c r="AT78" s="20"/>
      <c r="AU78" s="20"/>
      <c r="AV78" s="20"/>
      <c r="AW78" s="20"/>
      <c r="AX78" s="20"/>
      <c r="AZ78" s="481"/>
    </row>
    <row r="79" spans="1:52" x14ac:dyDescent="0.25">
      <c r="A79" s="1410">
        <v>70</v>
      </c>
      <c r="B79" s="1412" t="s">
        <v>61</v>
      </c>
      <c r="C79" s="690" t="s">
        <v>131</v>
      </c>
      <c r="D79" s="628" t="s">
        <v>131</v>
      </c>
      <c r="E79" s="662" t="str">
        <f>VLOOKUP(D79,Poeng!$B$10:$R$252,Poeng!E$1,FALSE)</f>
        <v>Ene 03 External lighting</v>
      </c>
      <c r="F79" s="667">
        <f>VLOOKUP(D79,Poeng!$B$10:$AB$252,Poeng!AB$1,FALSE)</f>
        <v>1</v>
      </c>
      <c r="G79" s="742"/>
      <c r="H79" s="668" t="str">
        <f>VLOOKUP(D79,Poeng!$B$10:$AI$252,Poeng!AI$1,FALSE)&amp;" c. "&amp;ROUND(VLOOKUP(D79,Poeng!$B$10:$AE$252,Poeng!AE$1,FALSE)*100,1)&amp;" %"</f>
        <v>0 c. 0 %</v>
      </c>
      <c r="I79" s="690" t="str">
        <f>VLOOKUP(D79,Poeng!$B$10:$BE$252,Poeng!BE$1,FALSE)</f>
        <v>N/A</v>
      </c>
      <c r="J79" s="74"/>
      <c r="K79" s="241"/>
      <c r="L79" s="608"/>
      <c r="M79" s="623"/>
      <c r="N79" s="742"/>
      <c r="O79" s="679" t="str">
        <f>VLOOKUP(D79,Poeng!$B$10:$BC$252,Poeng!AJ$1,FALSE)&amp;" c. "&amp;ROUND(VLOOKUP(D79,Poeng!$B$10:$BC$252,Poeng!AF$1,FALSE)*100,1)&amp;" %"</f>
        <v>0 c. 0 %</v>
      </c>
      <c r="P79" s="108" t="str">
        <f>VLOOKUP(D79,Poeng!$B$10:$BH$252,Poeng!BH$1,FALSE)</f>
        <v>N/A</v>
      </c>
      <c r="Q79" s="558"/>
      <c r="R79" s="559"/>
      <c r="S79" s="552"/>
      <c r="T79" s="276"/>
      <c r="U79" s="742"/>
      <c r="V79" s="679" t="str">
        <f>VLOOKUP(D79,Poeng!$B$10:$BC$252,Poeng!AK$1,FALSE)&amp;" c. "&amp;ROUND(VLOOKUP(D79,Poeng!$B$10:$BC$252,Poeng!AG$1,FALSE)*100,1)&amp;" %"</f>
        <v>0 c. 0 %</v>
      </c>
      <c r="W79" s="108" t="str">
        <f>VLOOKUP(D79,Poeng!$B$10:$BK$252,Poeng!BK$1,FALSE)</f>
        <v>N/A</v>
      </c>
      <c r="X79" s="75"/>
      <c r="Y79" s="74"/>
      <c r="Z79" s="552"/>
      <c r="AA79" s="117"/>
      <c r="AB79" s="481" t="s">
        <v>13</v>
      </c>
      <c r="AC79" s="20">
        <f t="shared" ref="AC79:AC144" si="11">IF(F79="",1,IF(F79=0,2,1))</f>
        <v>1</v>
      </c>
      <c r="AD79" s="1" t="e">
        <f>VLOOKUP(K79,'Assessment Details'!$O$49:$P$52,2,FALSE)</f>
        <v>#N/A</v>
      </c>
      <c r="AE79" s="1" t="e">
        <f>VLOOKUP(R79,'Assessment Details'!$O$49:$P$52,2,FALSE)</f>
        <v>#N/A</v>
      </c>
      <c r="AF79" s="1" t="e">
        <f>VLOOKUP(Y79,'Assessment Details'!$O$49:$P$52,2,FALSE)</f>
        <v>#N/A</v>
      </c>
      <c r="AI79" s="64" t="str">
        <f>ais_ja</f>
        <v>Ja</v>
      </c>
      <c r="AJ79" s="508" t="s">
        <v>123</v>
      </c>
      <c r="AK79" s="487" t="s">
        <v>385</v>
      </c>
      <c r="AL79" s="487" t="s">
        <v>389</v>
      </c>
      <c r="AM79" s="487" t="s">
        <v>387</v>
      </c>
      <c r="AN79" s="64"/>
      <c r="AO79" s="64"/>
      <c r="AP79" s="64"/>
      <c r="AR79" s="1" t="s">
        <v>13</v>
      </c>
      <c r="AS79" s="20" t="str">
        <f t="shared" si="3"/>
        <v>N/A</v>
      </c>
      <c r="AT79" s="20" t="str">
        <f t="shared" si="1"/>
        <v>N/A</v>
      </c>
      <c r="AU79" s="20" t="str">
        <f t="shared" si="2"/>
        <v>N/A</v>
      </c>
      <c r="AV79" s="20"/>
      <c r="AW79" s="20"/>
      <c r="AX79" s="20"/>
      <c r="AZ79" s="481"/>
    </row>
    <row r="80" spans="1:52" x14ac:dyDescent="0.25">
      <c r="A80" s="1410">
        <v>71</v>
      </c>
      <c r="B80" s="1412" t="s">
        <v>61</v>
      </c>
      <c r="C80" s="109" t="str">
        <f t="shared" si="6"/>
        <v>Ene 03</v>
      </c>
      <c r="D80" s="628" t="s">
        <v>731</v>
      </c>
      <c r="E80" s="663" t="str">
        <f>VLOOKUP(D80,Poeng!$B$10:$R$252,Poeng!E$1,FALSE)</f>
        <v>No external lighting within the construction zone</v>
      </c>
      <c r="F80" s="107">
        <f>VLOOKUP(D80,Poeng!$B$10:$AB$252,Poeng!AB$1,FALSE)</f>
        <v>1</v>
      </c>
      <c r="G80" s="1260">
        <f>'Assessment Issue Scoring'!G410</f>
        <v>0</v>
      </c>
      <c r="H80" s="108">
        <f>VLOOKUP(D80,Poeng!$B$10:$AE$252,Poeng!AE$1,FALSE)</f>
        <v>0</v>
      </c>
      <c r="I80" s="109" t="str">
        <f>VLOOKUP(D80,Poeng!$B$10:$BE$252,Poeng!BE$1,FALSE)</f>
        <v>N/A</v>
      </c>
      <c r="J80" s="74"/>
      <c r="K80" s="241"/>
      <c r="L80" s="608"/>
      <c r="M80" s="623"/>
      <c r="N80" s="77"/>
      <c r="O80" s="108">
        <f>VLOOKUP(D80,Poeng!$B$10:$BC$252,Poeng!AF$1,FALSE)</f>
        <v>0</v>
      </c>
      <c r="P80" s="108" t="str">
        <f>VLOOKUP(D80,Poeng!$B$10:$BH$252,Poeng!BH$1,FALSE)</f>
        <v>N/A</v>
      </c>
      <c r="Q80" s="558"/>
      <c r="R80" s="559"/>
      <c r="S80" s="552"/>
      <c r="T80" s="276"/>
      <c r="U80" s="77"/>
      <c r="V80" s="108">
        <f>VLOOKUP(D80,Poeng!$B$10:$BC$252,Poeng!AG$1,FALSE)</f>
        <v>0</v>
      </c>
      <c r="W80" s="108" t="str">
        <f>VLOOKUP(D80,Poeng!$B$10:$BK$252,Poeng!BK$1,FALSE)</f>
        <v>N/A</v>
      </c>
      <c r="X80" s="75"/>
      <c r="Y80" s="74"/>
      <c r="Z80" s="552"/>
      <c r="AA80" s="117"/>
      <c r="AB80" s="481"/>
      <c r="AC80" s="20">
        <f t="shared" si="11"/>
        <v>1</v>
      </c>
      <c r="AD80" s="1" t="e">
        <f>VLOOKUP(K80,'Assessment Details'!$O$49:$P$52,2,FALSE)</f>
        <v>#N/A</v>
      </c>
      <c r="AE80" s="1" t="e">
        <f>VLOOKUP(R80,'Assessment Details'!$O$49:$P$52,2,FALSE)</f>
        <v>#N/A</v>
      </c>
      <c r="AF80" s="1" t="e">
        <f>VLOOKUP(Y80,'Assessment Details'!$O$49:$P$52,2,FALSE)</f>
        <v>#N/A</v>
      </c>
      <c r="AI80" s="64"/>
      <c r="AJ80" s="508"/>
      <c r="AK80" s="487"/>
      <c r="AL80" s="487"/>
      <c r="AM80" s="487"/>
      <c r="AN80" s="64"/>
      <c r="AO80" s="64"/>
      <c r="AP80" s="64"/>
      <c r="AS80" s="20"/>
      <c r="AT80" s="20"/>
      <c r="AU80" s="20"/>
      <c r="AV80" s="20"/>
      <c r="AW80" s="20"/>
      <c r="AX80" s="20"/>
      <c r="AZ80" s="481"/>
    </row>
    <row r="81" spans="1:52" x14ac:dyDescent="0.25">
      <c r="A81" s="1410">
        <v>72</v>
      </c>
      <c r="B81" s="1412" t="s">
        <v>61</v>
      </c>
      <c r="C81" s="109" t="str">
        <f t="shared" si="6"/>
        <v>Ene 03</v>
      </c>
      <c r="D81" s="628" t="s">
        <v>732</v>
      </c>
      <c r="E81" s="663" t="str">
        <f>VLOOKUP(D81,Poeng!$B$10:$R$252,Poeng!E$1,FALSE)</f>
        <v>External lighting within the construction zone</v>
      </c>
      <c r="F81" s="107">
        <f>VLOOKUP(D81,Poeng!$B$10:$AB$252,Poeng!AB$1,FALSE)</f>
        <v>0</v>
      </c>
      <c r="G81" s="1166">
        <f>'Assessment Issue Scoring'!G411</f>
        <v>0</v>
      </c>
      <c r="H81" s="108">
        <f>VLOOKUP(D81,Poeng!$B$10:$AE$252,Poeng!AE$1,FALSE)</f>
        <v>0</v>
      </c>
      <c r="I81" s="109" t="str">
        <f>VLOOKUP(D81,Poeng!$B$10:$BE$252,Poeng!BE$1,FALSE)</f>
        <v>N/A</v>
      </c>
      <c r="J81" s="74"/>
      <c r="K81" s="241"/>
      <c r="L81" s="608"/>
      <c r="M81" s="623"/>
      <c r="N81" s="77"/>
      <c r="O81" s="108">
        <f>VLOOKUP(D81,Poeng!$B$10:$BC$252,Poeng!AF$1,FALSE)</f>
        <v>0</v>
      </c>
      <c r="P81" s="108" t="str">
        <f>VLOOKUP(D81,Poeng!$B$10:$BH$252,Poeng!BH$1,FALSE)</f>
        <v>N/A</v>
      </c>
      <c r="Q81" s="558"/>
      <c r="R81" s="559"/>
      <c r="S81" s="552"/>
      <c r="T81" s="276"/>
      <c r="U81" s="77"/>
      <c r="V81" s="108">
        <f>VLOOKUP(D81,Poeng!$B$10:$BC$252,Poeng!AG$1,FALSE)</f>
        <v>0</v>
      </c>
      <c r="W81" s="108" t="str">
        <f>VLOOKUP(D81,Poeng!$B$10:$BK$252,Poeng!BK$1,FALSE)</f>
        <v>N/A</v>
      </c>
      <c r="X81" s="75"/>
      <c r="Y81" s="74"/>
      <c r="Z81" s="552"/>
      <c r="AA81" s="117"/>
      <c r="AB81" s="481"/>
      <c r="AC81" s="20">
        <f t="shared" si="11"/>
        <v>2</v>
      </c>
      <c r="AD81" s="1" t="e">
        <f>VLOOKUP(K81,'Assessment Details'!$O$49:$P$52,2,FALSE)</f>
        <v>#N/A</v>
      </c>
      <c r="AE81" s="1" t="e">
        <f>VLOOKUP(R81,'Assessment Details'!$O$49:$P$52,2,FALSE)</f>
        <v>#N/A</v>
      </c>
      <c r="AF81" s="1" t="e">
        <f>VLOOKUP(Y81,'Assessment Details'!$O$49:$P$52,2,FALSE)</f>
        <v>#N/A</v>
      </c>
      <c r="AI81" s="64"/>
      <c r="AJ81" s="508"/>
      <c r="AK81" s="487"/>
      <c r="AL81" s="487"/>
      <c r="AM81" s="487"/>
      <c r="AN81" s="64"/>
      <c r="AO81" s="64"/>
      <c r="AP81" s="64"/>
      <c r="AS81" s="20"/>
      <c r="AT81" s="20"/>
      <c r="AU81" s="20"/>
      <c r="AV81" s="20"/>
      <c r="AW81" s="20"/>
      <c r="AX81" s="20"/>
      <c r="AZ81" s="481"/>
    </row>
    <row r="82" spans="1:52" x14ac:dyDescent="0.25">
      <c r="A82" s="1410">
        <v>73</v>
      </c>
      <c r="B82" s="1412" t="s">
        <v>61</v>
      </c>
      <c r="C82" s="690" t="s">
        <v>133</v>
      </c>
      <c r="D82" s="628" t="s">
        <v>133</v>
      </c>
      <c r="E82" s="662" t="str">
        <f>VLOOKUP(D82,Poeng!$B$10:$R$252,Poeng!E$1,FALSE)</f>
        <v>Ene 05 Energy efficient cold storage</v>
      </c>
      <c r="F82" s="667">
        <f>VLOOKUP(D82,Poeng!$B$10:$AB$252,Poeng!AB$1,FALSE)</f>
        <v>2</v>
      </c>
      <c r="G82" s="742"/>
      <c r="H82" s="668" t="str">
        <f>VLOOKUP(D82,Poeng!$B$10:$AI$252,Poeng!AI$1,FALSE)&amp;" c. "&amp;ROUND(VLOOKUP(D82,Poeng!$B$10:$AE$252,Poeng!AE$1,FALSE)*100,1)&amp;" %"</f>
        <v>0 c. 0 %</v>
      </c>
      <c r="I82" s="690" t="str">
        <f>VLOOKUP(D82,Poeng!$B$10:$BE$252,Poeng!BE$1,FALSE)</f>
        <v>N/A</v>
      </c>
      <c r="J82" s="74"/>
      <c r="K82" s="241"/>
      <c r="L82" s="608"/>
      <c r="M82" s="623"/>
      <c r="N82" s="742"/>
      <c r="O82" s="679" t="str">
        <f>VLOOKUP(D82,Poeng!$B$10:$BC$252,Poeng!AJ$1,FALSE)&amp;" c. "&amp;ROUND(VLOOKUP(D82,Poeng!$B$10:$BC$252,Poeng!AF$1,FALSE)*100,1)&amp;" %"</f>
        <v>0 c. 0 %</v>
      </c>
      <c r="P82" s="108" t="str">
        <f>VLOOKUP(D82,Poeng!$B$10:$BH$252,Poeng!BH$1,FALSE)</f>
        <v>N/A</v>
      </c>
      <c r="Q82" s="558"/>
      <c r="R82" s="559"/>
      <c r="S82" s="552"/>
      <c r="T82" s="276"/>
      <c r="U82" s="742"/>
      <c r="V82" s="679" t="str">
        <f>VLOOKUP(D82,Poeng!$B$10:$BC$252,Poeng!AK$1,FALSE)&amp;" c. "&amp;ROUND(VLOOKUP(D82,Poeng!$B$10:$BC$252,Poeng!AG$1,FALSE)*100,1)&amp;" %"</f>
        <v>0 c. 0 %</v>
      </c>
      <c r="W82" s="108" t="str">
        <f>VLOOKUP(D82,Poeng!$B$10:$BK$252,Poeng!BK$1,FALSE)</f>
        <v>N/A</v>
      </c>
      <c r="X82" s="75"/>
      <c r="Y82" s="74"/>
      <c r="Z82" s="552"/>
      <c r="AA82" s="117"/>
      <c r="AB82" s="481" t="s">
        <v>13</v>
      </c>
      <c r="AC82" s="20">
        <f t="shared" si="11"/>
        <v>1</v>
      </c>
      <c r="AD82" s="1" t="e">
        <f>VLOOKUP(K82,'Assessment Details'!$O$49:$P$52,2,FALSE)</f>
        <v>#N/A</v>
      </c>
      <c r="AE82" s="1" t="e">
        <f>VLOOKUP(R82,'Assessment Details'!$O$49:$P$52,2,FALSE)</f>
        <v>#N/A</v>
      </c>
      <c r="AF82" s="1" t="e">
        <f>VLOOKUP(Y82,'Assessment Details'!$O$49:$P$52,2,FALSE)</f>
        <v>#N/A</v>
      </c>
      <c r="AI82" s="64" t="str">
        <f>ais_ja</f>
        <v>Ja</v>
      </c>
      <c r="AJ82" s="508" t="s">
        <v>124</v>
      </c>
      <c r="AK82" s="487" t="s">
        <v>385</v>
      </c>
      <c r="AL82" s="487" t="s">
        <v>389</v>
      </c>
      <c r="AM82" s="487" t="s">
        <v>387</v>
      </c>
      <c r="AN82" s="64"/>
      <c r="AO82" s="64"/>
      <c r="AP82" s="64"/>
      <c r="AR82" s="1" t="s">
        <v>13</v>
      </c>
      <c r="AS82" s="20" t="str">
        <f t="shared" si="3"/>
        <v>N/A</v>
      </c>
      <c r="AT82" s="20" t="str">
        <f t="shared" si="1"/>
        <v>N/A</v>
      </c>
      <c r="AU82" s="20" t="str">
        <f t="shared" si="2"/>
        <v>N/A</v>
      </c>
      <c r="AV82" s="20"/>
      <c r="AW82" s="20"/>
      <c r="AX82" s="20"/>
      <c r="AZ82" s="481"/>
    </row>
    <row r="83" spans="1:52" x14ac:dyDescent="0.25">
      <c r="A83" s="1410">
        <v>74</v>
      </c>
      <c r="B83" s="1412" t="s">
        <v>61</v>
      </c>
      <c r="C83" s="109" t="str">
        <f t="shared" si="6"/>
        <v>Ene 05</v>
      </c>
      <c r="D83" s="628" t="s">
        <v>733</v>
      </c>
      <c r="E83" s="663" t="str">
        <f>VLOOKUP(D83,Poeng!$B$10:$R$252,Poeng!E$1,FALSE)</f>
        <v xml:space="preserve">Design of energy efficient refrigeration- and freezing room </v>
      </c>
      <c r="F83" s="107">
        <f>VLOOKUP(D83,Poeng!$B$10:$AB$252,Poeng!AB$1,FALSE)</f>
        <v>1</v>
      </c>
      <c r="G83" s="1166">
        <f>'Assessment Issue Scoring'!G431</f>
        <v>0</v>
      </c>
      <c r="H83" s="108">
        <f>VLOOKUP(D83,Poeng!$B$10:$AE$252,Poeng!AE$1,FALSE)</f>
        <v>0</v>
      </c>
      <c r="I83" s="109" t="str">
        <f>VLOOKUP(D83,Poeng!$B$10:$BE$252,Poeng!BE$1,FALSE)</f>
        <v>N/A</v>
      </c>
      <c r="J83" s="74"/>
      <c r="K83" s="241"/>
      <c r="L83" s="608"/>
      <c r="M83" s="623"/>
      <c r="N83" s="77"/>
      <c r="O83" s="108">
        <f>VLOOKUP(D83,Poeng!$B$10:$BC$252,Poeng!AF$1,FALSE)</f>
        <v>0</v>
      </c>
      <c r="P83" s="108" t="str">
        <f>VLOOKUP(D83,Poeng!$B$10:$BH$252,Poeng!BH$1,FALSE)</f>
        <v>N/A</v>
      </c>
      <c r="Q83" s="558"/>
      <c r="R83" s="559"/>
      <c r="S83" s="552"/>
      <c r="T83" s="276"/>
      <c r="U83" s="77"/>
      <c r="V83" s="108">
        <f>VLOOKUP(D83,Poeng!$B$10:$BC$252,Poeng!AG$1,FALSE)</f>
        <v>0</v>
      </c>
      <c r="W83" s="108" t="str">
        <f>VLOOKUP(D83,Poeng!$B$10:$BK$252,Poeng!BK$1,FALSE)</f>
        <v>N/A</v>
      </c>
      <c r="X83" s="75"/>
      <c r="Y83" s="74"/>
      <c r="Z83" s="552"/>
      <c r="AA83" s="117"/>
      <c r="AB83" s="481"/>
      <c r="AC83" s="20">
        <f t="shared" si="11"/>
        <v>1</v>
      </c>
      <c r="AD83" s="1" t="e">
        <f>VLOOKUP(K83,'Assessment Details'!$O$49:$P$52,2,FALSE)</f>
        <v>#N/A</v>
      </c>
      <c r="AE83" s="1" t="e">
        <f>VLOOKUP(R83,'Assessment Details'!$O$49:$P$52,2,FALSE)</f>
        <v>#N/A</v>
      </c>
      <c r="AF83" s="1" t="e">
        <f>VLOOKUP(Y83,'Assessment Details'!$O$49:$P$52,2,FALSE)</f>
        <v>#N/A</v>
      </c>
      <c r="AI83" s="64"/>
      <c r="AJ83" s="508"/>
      <c r="AK83" s="487"/>
      <c r="AL83" s="487"/>
      <c r="AM83" s="487"/>
      <c r="AN83" s="64"/>
      <c r="AO83" s="64"/>
      <c r="AP83" s="64"/>
      <c r="AS83" s="20"/>
      <c r="AT83" s="20"/>
      <c r="AU83" s="20"/>
      <c r="AV83" s="20"/>
      <c r="AW83" s="20"/>
      <c r="AX83" s="20"/>
      <c r="AZ83" s="481"/>
    </row>
    <row r="84" spans="1:52" x14ac:dyDescent="0.25">
      <c r="A84" s="1410">
        <v>75</v>
      </c>
      <c r="B84" s="1412" t="s">
        <v>61</v>
      </c>
      <c r="C84" s="109" t="str">
        <f t="shared" si="6"/>
        <v>Ene 05</v>
      </c>
      <c r="D84" s="628" t="s">
        <v>734</v>
      </c>
      <c r="E84" s="663" t="str">
        <f>VLOOKUP(D84,Poeng!$B$10:$R$252,Poeng!E$1,FALSE)</f>
        <v xml:space="preserve">Indirect greenhouse gas emissions </v>
      </c>
      <c r="F84" s="107">
        <f>VLOOKUP(D84,Poeng!$B$10:$AB$252,Poeng!AB$1,FALSE)</f>
        <v>1</v>
      </c>
      <c r="G84" s="1166">
        <f>'Assessment Issue Scoring'!G432</f>
        <v>0</v>
      </c>
      <c r="H84" s="108">
        <f>VLOOKUP(D84,Poeng!$B$10:$AE$252,Poeng!AE$1,FALSE)</f>
        <v>0</v>
      </c>
      <c r="I84" s="109" t="str">
        <f>VLOOKUP(D84,Poeng!$B$10:$BE$252,Poeng!BE$1,FALSE)</f>
        <v>N/A</v>
      </c>
      <c r="J84" s="74"/>
      <c r="K84" s="241"/>
      <c r="L84" s="608"/>
      <c r="M84" s="623"/>
      <c r="N84" s="77"/>
      <c r="O84" s="108">
        <f>VLOOKUP(D84,Poeng!$B$10:$BC$252,Poeng!AF$1,FALSE)</f>
        <v>0</v>
      </c>
      <c r="P84" s="108" t="str">
        <f>VLOOKUP(D84,Poeng!$B$10:$BH$252,Poeng!BH$1,FALSE)</f>
        <v>N/A</v>
      </c>
      <c r="Q84" s="558"/>
      <c r="R84" s="559"/>
      <c r="S84" s="552"/>
      <c r="T84" s="276"/>
      <c r="U84" s="77"/>
      <c r="V84" s="108">
        <f>VLOOKUP(D84,Poeng!$B$10:$BC$252,Poeng!AG$1,FALSE)</f>
        <v>0</v>
      </c>
      <c r="W84" s="108" t="str">
        <f>VLOOKUP(D84,Poeng!$B$10:$BK$252,Poeng!BK$1,FALSE)</f>
        <v>N/A</v>
      </c>
      <c r="X84" s="75"/>
      <c r="Y84" s="74"/>
      <c r="Z84" s="552"/>
      <c r="AA84" s="117"/>
      <c r="AB84" s="481"/>
      <c r="AC84" s="20">
        <f t="shared" si="11"/>
        <v>1</v>
      </c>
      <c r="AD84" s="1" t="e">
        <f>VLOOKUP(K84,'Assessment Details'!$O$49:$P$52,2,FALSE)</f>
        <v>#N/A</v>
      </c>
      <c r="AE84" s="1" t="e">
        <f>VLOOKUP(R84,'Assessment Details'!$O$49:$P$52,2,FALSE)</f>
        <v>#N/A</v>
      </c>
      <c r="AF84" s="1" t="e">
        <f>VLOOKUP(Y84,'Assessment Details'!$O$49:$P$52,2,FALSE)</f>
        <v>#N/A</v>
      </c>
      <c r="AI84" s="64"/>
      <c r="AJ84" s="508"/>
      <c r="AK84" s="487"/>
      <c r="AL84" s="487"/>
      <c r="AM84" s="487"/>
      <c r="AN84" s="64"/>
      <c r="AO84" s="64"/>
      <c r="AP84" s="64"/>
      <c r="AS84" s="20"/>
      <c r="AT84" s="20"/>
      <c r="AU84" s="20"/>
      <c r="AV84" s="20"/>
      <c r="AW84" s="20"/>
      <c r="AX84" s="20"/>
      <c r="AZ84" s="481"/>
    </row>
    <row r="85" spans="1:52" x14ac:dyDescent="0.25">
      <c r="A85" s="1410">
        <v>76</v>
      </c>
      <c r="B85" s="1412" t="s">
        <v>61</v>
      </c>
      <c r="C85" s="690" t="s">
        <v>134</v>
      </c>
      <c r="D85" s="628" t="s">
        <v>134</v>
      </c>
      <c r="E85" s="662" t="str">
        <f>VLOOKUP(D85,Poeng!$B$10:$R$252,Poeng!E$1,FALSE)</f>
        <v>Ene 06 Energy efficient transportation systems</v>
      </c>
      <c r="F85" s="667">
        <f>VLOOKUP(D85,Poeng!$B$10:$AB$252,Poeng!AB$1,FALSE)</f>
        <v>3</v>
      </c>
      <c r="G85" s="742"/>
      <c r="H85" s="668" t="str">
        <f>VLOOKUP(D85,Poeng!$B$10:$AI$252,Poeng!AI$1,FALSE)&amp;" c. "&amp;ROUND(VLOOKUP(D85,Poeng!$B$10:$AE$252,Poeng!AE$1,FALSE)*100,1)&amp;" %"</f>
        <v>0 c. 0 %</v>
      </c>
      <c r="I85" s="690" t="str">
        <f>VLOOKUP(D85,Poeng!$B$10:$BE$252,Poeng!BE$1,FALSE)</f>
        <v>N/A</v>
      </c>
      <c r="J85" s="74"/>
      <c r="K85" s="241"/>
      <c r="L85" s="608"/>
      <c r="M85" s="623"/>
      <c r="N85" s="742"/>
      <c r="O85" s="679" t="str">
        <f>VLOOKUP(D85,Poeng!$B$10:$BC$252,Poeng!AJ$1,FALSE)&amp;" c. "&amp;ROUND(VLOOKUP(D85,Poeng!$B$10:$BC$252,Poeng!AF$1,FALSE)*100,1)&amp;" %"</f>
        <v>0 c. 0 %</v>
      </c>
      <c r="P85" s="108" t="str">
        <f>VLOOKUP(D85,Poeng!$B$10:$BH$252,Poeng!BH$1,FALSE)</f>
        <v>N/A</v>
      </c>
      <c r="Q85" s="558"/>
      <c r="R85" s="559"/>
      <c r="S85" s="552"/>
      <c r="T85" s="276"/>
      <c r="U85" s="742"/>
      <c r="V85" s="679" t="str">
        <f>VLOOKUP(D85,Poeng!$B$10:$BC$252,Poeng!AK$1,FALSE)&amp;" c. "&amp;ROUND(VLOOKUP(D85,Poeng!$B$10:$BC$252,Poeng!AG$1,FALSE)*100,1)&amp;" %"</f>
        <v>0 c. 0 %</v>
      </c>
      <c r="W85" s="108" t="str">
        <f>VLOOKUP(D85,Poeng!$B$10:$BK$252,Poeng!BK$1,FALSE)</f>
        <v>N/A</v>
      </c>
      <c r="X85" s="75"/>
      <c r="Y85" s="74"/>
      <c r="Z85" s="552"/>
      <c r="AA85" s="117"/>
      <c r="AB85" s="481" t="s">
        <v>13</v>
      </c>
      <c r="AC85" s="20">
        <f t="shared" si="11"/>
        <v>1</v>
      </c>
      <c r="AD85" s="1" t="e">
        <f>VLOOKUP(K85,'Assessment Details'!$O$49:$P$52,2,FALSE)</f>
        <v>#N/A</v>
      </c>
      <c r="AE85" s="1" t="e">
        <f>VLOOKUP(R85,'Assessment Details'!$O$49:$P$52,2,FALSE)</f>
        <v>#N/A</v>
      </c>
      <c r="AF85" s="1" t="e">
        <f>VLOOKUP(Y85,'Assessment Details'!$O$49:$P$52,2,FALSE)</f>
        <v>#N/A</v>
      </c>
      <c r="AI85" s="64"/>
      <c r="AJ85" s="508" t="s">
        <v>125</v>
      </c>
      <c r="AK85" s="487" t="s">
        <v>385</v>
      </c>
      <c r="AL85" s="487" t="s">
        <v>387</v>
      </c>
      <c r="AM85" s="64"/>
      <c r="AN85" s="64"/>
      <c r="AO85" s="64"/>
      <c r="AP85" s="64"/>
      <c r="AR85" s="1" t="s">
        <v>13</v>
      </c>
      <c r="AS85" s="20" t="str">
        <f t="shared" si="3"/>
        <v>N/A</v>
      </c>
      <c r="AT85" s="20" t="str">
        <f t="shared" si="1"/>
        <v>N/A</v>
      </c>
      <c r="AU85" s="20" t="str">
        <f t="shared" si="2"/>
        <v>N/A</v>
      </c>
      <c r="AV85" s="20"/>
      <c r="AW85" s="20"/>
      <c r="AX85" s="20"/>
      <c r="AZ85" s="481"/>
    </row>
    <row r="86" spans="1:52" x14ac:dyDescent="0.25">
      <c r="A86" s="1410">
        <v>77</v>
      </c>
      <c r="B86" s="1412" t="s">
        <v>61</v>
      </c>
      <c r="C86" s="109" t="str">
        <f t="shared" si="6"/>
        <v>Ene 06</v>
      </c>
      <c r="D86" s="628" t="s">
        <v>735</v>
      </c>
      <c r="E86" s="663" t="str">
        <f>VLOOKUP(D86,Poeng!$B$10:$R$252,Poeng!E$1,FALSE)</f>
        <v>Transport needs and usage patterns</v>
      </c>
      <c r="F86" s="107">
        <f>VLOOKUP(D86,Poeng!$B$10:$AB$252,Poeng!AB$1,FALSE)</f>
        <v>1</v>
      </c>
      <c r="G86" s="1166">
        <f>'Assessment Issue Scoring'!G452</f>
        <v>0</v>
      </c>
      <c r="H86" s="108">
        <f>VLOOKUP(D86,Poeng!$B$10:$AE$252,Poeng!AE$1,FALSE)</f>
        <v>0</v>
      </c>
      <c r="I86" s="109" t="str">
        <f>VLOOKUP(D86,Poeng!$B$10:$BE$252,Poeng!BE$1,FALSE)</f>
        <v>N/A</v>
      </c>
      <c r="J86" s="74"/>
      <c r="K86" s="241"/>
      <c r="L86" s="608"/>
      <c r="M86" s="623"/>
      <c r="N86" s="77"/>
      <c r="O86" s="108">
        <f>VLOOKUP(D86,Poeng!$B$10:$BC$252,Poeng!AF$1,FALSE)</f>
        <v>0</v>
      </c>
      <c r="P86" s="108" t="str">
        <f>VLOOKUP(D86,Poeng!$B$10:$BH$252,Poeng!BH$1,FALSE)</f>
        <v>N/A</v>
      </c>
      <c r="Q86" s="558"/>
      <c r="R86" s="559"/>
      <c r="S86" s="552"/>
      <c r="T86" s="276"/>
      <c r="U86" s="77"/>
      <c r="V86" s="108">
        <f>VLOOKUP(D86,Poeng!$B$10:$BC$252,Poeng!AG$1,FALSE)</f>
        <v>0</v>
      </c>
      <c r="W86" s="108" t="str">
        <f>VLOOKUP(D86,Poeng!$B$10:$BK$252,Poeng!BK$1,FALSE)</f>
        <v>N/A</v>
      </c>
      <c r="X86" s="75"/>
      <c r="Y86" s="74"/>
      <c r="Z86" s="552"/>
      <c r="AA86" s="117"/>
      <c r="AB86" s="481"/>
      <c r="AC86" s="20">
        <f t="shared" si="11"/>
        <v>1</v>
      </c>
      <c r="AD86" s="1" t="e">
        <f>VLOOKUP(K86,'Assessment Details'!$O$49:$P$52,2,FALSE)</f>
        <v>#N/A</v>
      </c>
      <c r="AE86" s="1" t="e">
        <f>VLOOKUP(R86,'Assessment Details'!$O$49:$P$52,2,FALSE)</f>
        <v>#N/A</v>
      </c>
      <c r="AF86" s="1" t="e">
        <f>VLOOKUP(Y86,'Assessment Details'!$O$49:$P$52,2,FALSE)</f>
        <v>#N/A</v>
      </c>
      <c r="AI86" s="64"/>
      <c r="AJ86" s="508"/>
      <c r="AK86" s="487"/>
      <c r="AL86" s="487"/>
      <c r="AM86" s="64"/>
      <c r="AN86" s="64"/>
      <c r="AO86" s="64"/>
      <c r="AP86" s="64"/>
      <c r="AS86" s="20"/>
      <c r="AT86" s="20"/>
      <c r="AU86" s="20"/>
      <c r="AV86" s="20"/>
      <c r="AW86" s="20"/>
      <c r="AX86" s="20"/>
      <c r="AZ86" s="481"/>
    </row>
    <row r="87" spans="1:52" x14ac:dyDescent="0.25">
      <c r="A87" s="1410">
        <v>78</v>
      </c>
      <c r="B87" s="1412" t="s">
        <v>61</v>
      </c>
      <c r="C87" s="109" t="str">
        <f>C85</f>
        <v>Ene 06</v>
      </c>
      <c r="D87" s="628" t="s">
        <v>736</v>
      </c>
      <c r="E87" s="663" t="str">
        <f>VLOOKUP(D87,Poeng!$B$10:$R$252,Poeng!E$1,FALSE)</f>
        <v>Energy efficient features: lifts</v>
      </c>
      <c r="F87" s="107">
        <f>VLOOKUP(D87,Poeng!$B$10:$AB$252,Poeng!AB$1,FALSE)</f>
        <v>1</v>
      </c>
      <c r="G87" s="1166">
        <f>'Assessment Issue Scoring'!G453</f>
        <v>0</v>
      </c>
      <c r="H87" s="108">
        <f>VLOOKUP(D87,Poeng!$B$10:$AE$252,Poeng!AE$1,FALSE)</f>
        <v>0</v>
      </c>
      <c r="I87" s="109" t="str">
        <f>VLOOKUP(D87,Poeng!$B$10:$BE$252,Poeng!BE$1,FALSE)</f>
        <v>N/A</v>
      </c>
      <c r="J87" s="74"/>
      <c r="K87" s="241"/>
      <c r="L87" s="608"/>
      <c r="M87" s="623"/>
      <c r="N87" s="77"/>
      <c r="O87" s="108">
        <f>VLOOKUP(D87,Poeng!$B$10:$BC$252,Poeng!AF$1,FALSE)</f>
        <v>0</v>
      </c>
      <c r="P87" s="108" t="str">
        <f>VLOOKUP(D87,Poeng!$B$10:$BH$252,Poeng!BH$1,FALSE)</f>
        <v>N/A</v>
      </c>
      <c r="Q87" s="558"/>
      <c r="R87" s="559"/>
      <c r="S87" s="552"/>
      <c r="T87" s="276"/>
      <c r="U87" s="77"/>
      <c r="V87" s="108">
        <f>VLOOKUP(D87,Poeng!$B$10:$BC$252,Poeng!AG$1,FALSE)</f>
        <v>0</v>
      </c>
      <c r="W87" s="108" t="str">
        <f>VLOOKUP(D87,Poeng!$B$10:$BK$252,Poeng!BK$1,FALSE)</f>
        <v>N/A</v>
      </c>
      <c r="X87" s="75"/>
      <c r="Y87" s="74"/>
      <c r="Z87" s="552"/>
      <c r="AA87" s="117"/>
      <c r="AB87" s="481"/>
      <c r="AC87" s="20">
        <f t="shared" si="11"/>
        <v>1</v>
      </c>
      <c r="AD87" s="1" t="e">
        <f>VLOOKUP(K87,'Assessment Details'!$O$49:$P$52,2,FALSE)</f>
        <v>#N/A</v>
      </c>
      <c r="AE87" s="1" t="e">
        <f>VLOOKUP(R87,'Assessment Details'!$O$49:$P$52,2,FALSE)</f>
        <v>#N/A</v>
      </c>
      <c r="AF87" s="1" t="e">
        <f>VLOOKUP(Y87,'Assessment Details'!$O$49:$P$52,2,FALSE)</f>
        <v>#N/A</v>
      </c>
      <c r="AI87" s="64"/>
      <c r="AJ87" s="508"/>
      <c r="AK87" s="487"/>
      <c r="AL87" s="487"/>
      <c r="AM87" s="64"/>
      <c r="AN87" s="64"/>
      <c r="AO87" s="64"/>
      <c r="AP87" s="64"/>
      <c r="AS87" s="20"/>
      <c r="AT87" s="20"/>
      <c r="AU87" s="20"/>
      <c r="AV87" s="20"/>
      <c r="AW87" s="20"/>
      <c r="AX87" s="20"/>
      <c r="AZ87" s="481"/>
    </row>
    <row r="88" spans="1:52" x14ac:dyDescent="0.25">
      <c r="A88" s="1410">
        <v>79</v>
      </c>
      <c r="B88" s="1412" t="s">
        <v>61</v>
      </c>
      <c r="C88" s="109" t="str">
        <f>C86</f>
        <v>Ene 06</v>
      </c>
      <c r="D88" s="628" t="s">
        <v>896</v>
      </c>
      <c r="E88" s="663" t="str">
        <f>VLOOKUP(D88,Poeng!$B$10:$R$252,Poeng!E$1,FALSE)</f>
        <v>Energy efficient features: escalators or moving walks</v>
      </c>
      <c r="F88" s="107">
        <f>VLOOKUP(D88,Poeng!$B$10:$AB$252,Poeng!AB$1,FALSE)</f>
        <v>1</v>
      </c>
      <c r="G88" s="1166">
        <f>'Assessment Issue Scoring'!G454</f>
        <v>0</v>
      </c>
      <c r="H88" s="108">
        <f>VLOOKUP(D88,Poeng!$B$10:$AE$252,Poeng!AE$1,FALSE)</f>
        <v>0</v>
      </c>
      <c r="I88" s="109" t="str">
        <f>VLOOKUP(D88,Poeng!$B$10:$BE$252,Poeng!BE$1,FALSE)</f>
        <v>N/A</v>
      </c>
      <c r="J88" s="74"/>
      <c r="K88" s="241"/>
      <c r="L88" s="608"/>
      <c r="M88" s="623"/>
      <c r="N88" s="77"/>
      <c r="O88" s="108">
        <f>VLOOKUP(D88,Poeng!$B$10:$BC$252,Poeng!AF$1,FALSE)</f>
        <v>0</v>
      </c>
      <c r="P88" s="108" t="str">
        <f>VLOOKUP(D88,Poeng!$B$10:$BH$252,Poeng!BH$1,FALSE)</f>
        <v>N/A</v>
      </c>
      <c r="Q88" s="558"/>
      <c r="R88" s="559"/>
      <c r="S88" s="552"/>
      <c r="T88" s="276"/>
      <c r="U88" s="77"/>
      <c r="V88" s="108">
        <f>VLOOKUP(D88,Poeng!$B$10:$BC$252,Poeng!AG$1,FALSE)</f>
        <v>0</v>
      </c>
      <c r="W88" s="108" t="str">
        <f>VLOOKUP(D88,Poeng!$B$10:$BK$252,Poeng!BK$1,FALSE)</f>
        <v>N/A</v>
      </c>
      <c r="X88" s="75"/>
      <c r="Y88" s="74"/>
      <c r="Z88" s="552"/>
      <c r="AA88" s="117"/>
      <c r="AB88" s="481"/>
      <c r="AC88" s="20">
        <f t="shared" si="11"/>
        <v>1</v>
      </c>
      <c r="AD88" s="1" t="e">
        <f>VLOOKUP(K88,'Assessment Details'!$O$49:$P$52,2,FALSE)</f>
        <v>#N/A</v>
      </c>
      <c r="AE88" s="1" t="e">
        <f>VLOOKUP(R88,'Assessment Details'!$O$49:$P$52,2,FALSE)</f>
        <v>#N/A</v>
      </c>
      <c r="AF88" s="1" t="e">
        <f>VLOOKUP(Y88,'Assessment Details'!$O$49:$P$52,2,FALSE)</f>
        <v>#N/A</v>
      </c>
      <c r="AI88" s="64"/>
      <c r="AJ88" s="508"/>
      <c r="AK88" s="487"/>
      <c r="AL88" s="487"/>
      <c r="AM88" s="64"/>
      <c r="AN88" s="64"/>
      <c r="AO88" s="64"/>
      <c r="AP88" s="64"/>
      <c r="AS88" s="20"/>
      <c r="AT88" s="20"/>
      <c r="AU88" s="20"/>
      <c r="AV88" s="20"/>
      <c r="AW88" s="20"/>
      <c r="AX88" s="20"/>
      <c r="AZ88" s="481"/>
    </row>
    <row r="89" spans="1:52" x14ac:dyDescent="0.25">
      <c r="A89" s="1410">
        <v>80</v>
      </c>
      <c r="B89" s="1412" t="s">
        <v>61</v>
      </c>
      <c r="C89" s="690" t="s">
        <v>135</v>
      </c>
      <c r="D89" s="628" t="s">
        <v>135</v>
      </c>
      <c r="E89" s="662" t="str">
        <f>VLOOKUP(D89,Poeng!$B$10:$R$252,Poeng!E$1,FALSE)</f>
        <v>Ene 07 Energy Efficient Laboratory Systems</v>
      </c>
      <c r="F89" s="667">
        <f>VLOOKUP(D89,Poeng!$B$10:$AB$252,Poeng!AB$1,FALSE)</f>
        <v>5</v>
      </c>
      <c r="G89" s="742"/>
      <c r="H89" s="668" t="str">
        <f>VLOOKUP(D89,Poeng!$B$10:$AI$252,Poeng!AI$1,FALSE)&amp;" c. "&amp;ROUND(VLOOKUP(D89,Poeng!$B$10:$AE$252,Poeng!AE$1,FALSE)*100,1)&amp;" %"</f>
        <v>0 c. 0 %</v>
      </c>
      <c r="I89" s="690" t="str">
        <f>VLOOKUP(D89,Poeng!$B$10:$BE$252,Poeng!BE$1,FALSE)</f>
        <v>N/A</v>
      </c>
      <c r="J89" s="74"/>
      <c r="K89" s="241"/>
      <c r="L89" s="608"/>
      <c r="M89" s="623"/>
      <c r="N89" s="742"/>
      <c r="O89" s="679" t="str">
        <f>VLOOKUP(D89,Poeng!$B$10:$BC$252,Poeng!AJ$1,FALSE)&amp;" c. "&amp;ROUND(VLOOKUP(D89,Poeng!$B$10:$BC$252,Poeng!AF$1,FALSE)*100,1)&amp;" %"</f>
        <v>0 c. 0 %</v>
      </c>
      <c r="P89" s="108" t="str">
        <f>VLOOKUP(D89,Poeng!$B$10:$BH$252,Poeng!BH$1,FALSE)</f>
        <v>N/A</v>
      </c>
      <c r="Q89" s="558"/>
      <c r="R89" s="559"/>
      <c r="S89" s="552"/>
      <c r="T89" s="276"/>
      <c r="U89" s="742"/>
      <c r="V89" s="679" t="str">
        <f>VLOOKUP(D89,Poeng!$B$10:$BC$252,Poeng!AK$1,FALSE)&amp;" c. "&amp;ROUND(VLOOKUP(D89,Poeng!$B$10:$BC$252,Poeng!AG$1,FALSE)*100,1)&amp;" %"</f>
        <v>0 c. 0 %</v>
      </c>
      <c r="W89" s="108" t="str">
        <f>VLOOKUP(D89,Poeng!$B$10:$BK$252,Poeng!BK$1,FALSE)</f>
        <v>N/A</v>
      </c>
      <c r="X89" s="75"/>
      <c r="Y89" s="74"/>
      <c r="Z89" s="552"/>
      <c r="AA89" s="117"/>
      <c r="AB89" s="481" t="s">
        <v>14</v>
      </c>
      <c r="AC89" s="20">
        <f t="shared" si="11"/>
        <v>1</v>
      </c>
      <c r="AD89" s="1" t="e">
        <f>VLOOKUP(K89,'Assessment Details'!$O$49:$P$52,2,FALSE)</f>
        <v>#N/A</v>
      </c>
      <c r="AE89" s="1" t="e">
        <f>VLOOKUP(R89,'Assessment Details'!$O$49:$P$52,2,FALSE)</f>
        <v>#N/A</v>
      </c>
      <c r="AF89" s="1" t="e">
        <f>VLOOKUP(Y89,'Assessment Details'!$O$49:$P$52,2,FALSE)</f>
        <v>#N/A</v>
      </c>
      <c r="AI89" s="64"/>
      <c r="AJ89" s="508" t="s">
        <v>126</v>
      </c>
      <c r="AK89" s="64"/>
      <c r="AL89" s="64"/>
      <c r="AM89" s="64"/>
      <c r="AN89" s="64"/>
      <c r="AO89" s="64"/>
      <c r="AP89" s="64"/>
      <c r="AS89" s="20" t="str">
        <f t="shared" si="3"/>
        <v>N/A</v>
      </c>
      <c r="AT89" s="20" t="str">
        <f t="shared" si="1"/>
        <v>N/A</v>
      </c>
      <c r="AU89" s="20" t="str">
        <f t="shared" si="2"/>
        <v>N/A</v>
      </c>
      <c r="AV89" s="20"/>
      <c r="AW89" s="20"/>
      <c r="AX89" s="20"/>
      <c r="AZ89" s="481"/>
    </row>
    <row r="90" spans="1:52" x14ac:dyDescent="0.25">
      <c r="A90" s="1410">
        <v>81</v>
      </c>
      <c r="B90" s="1412" t="s">
        <v>61</v>
      </c>
      <c r="C90" s="109" t="str">
        <f t="shared" si="6"/>
        <v>Ene 07</v>
      </c>
      <c r="D90" s="628" t="s">
        <v>737</v>
      </c>
      <c r="E90" s="663" t="str">
        <f>VLOOKUP(D90,Poeng!$B$10:$R$252,Poeng!E$1,FALSE)</f>
        <v xml:space="preserve">Design specification </v>
      </c>
      <c r="F90" s="107">
        <f>VLOOKUP(D90,Poeng!$B$10:$AB$252,Poeng!AB$1,FALSE)</f>
        <v>1</v>
      </c>
      <c r="G90" s="1166">
        <f>'Assessment Issue Scoring'!G477</f>
        <v>0</v>
      </c>
      <c r="H90" s="108">
        <f>VLOOKUP(D90,Poeng!$B$10:$AE$252,Poeng!AE$1,FALSE)</f>
        <v>0</v>
      </c>
      <c r="I90" s="109" t="str">
        <f>VLOOKUP(D90,Poeng!$B$10:$BE$252,Poeng!BE$1,FALSE)</f>
        <v>Unclassified</v>
      </c>
      <c r="J90" s="74"/>
      <c r="K90" s="241"/>
      <c r="L90" s="608"/>
      <c r="M90" s="623"/>
      <c r="N90" s="77"/>
      <c r="O90" s="108">
        <f>VLOOKUP(D90,Poeng!$B$10:$BC$252,Poeng!AF$1,FALSE)</f>
        <v>0</v>
      </c>
      <c r="P90" s="108" t="str">
        <f>VLOOKUP(D90,Poeng!$B$10:$BH$252,Poeng!BH$1,FALSE)</f>
        <v>Unclassified</v>
      </c>
      <c r="Q90" s="558"/>
      <c r="R90" s="559"/>
      <c r="S90" s="552"/>
      <c r="T90" s="276"/>
      <c r="U90" s="77"/>
      <c r="V90" s="108">
        <f>VLOOKUP(D90,Poeng!$B$10:$BC$252,Poeng!AG$1,FALSE)</f>
        <v>0</v>
      </c>
      <c r="W90" s="108" t="str">
        <f>VLOOKUP(D90,Poeng!$B$10:$BK$252,Poeng!BK$1,FALSE)</f>
        <v>Unclassified</v>
      </c>
      <c r="X90" s="75"/>
      <c r="Y90" s="74"/>
      <c r="Z90" s="552"/>
      <c r="AA90" s="117"/>
      <c r="AB90" s="481"/>
      <c r="AC90" s="20">
        <f t="shared" si="11"/>
        <v>1</v>
      </c>
      <c r="AD90" s="1" t="e">
        <f>VLOOKUP(K90,'Assessment Details'!$O$49:$P$52,2,FALSE)</f>
        <v>#N/A</v>
      </c>
      <c r="AE90" s="1" t="e">
        <f>VLOOKUP(R90,'Assessment Details'!$O$49:$P$52,2,FALSE)</f>
        <v>#N/A</v>
      </c>
      <c r="AF90" s="1" t="e">
        <f>VLOOKUP(Y90,'Assessment Details'!$O$49:$P$52,2,FALSE)</f>
        <v>#N/A</v>
      </c>
      <c r="AI90" s="64"/>
      <c r="AJ90" s="508"/>
      <c r="AK90" s="64"/>
      <c r="AL90" s="64"/>
      <c r="AM90" s="64"/>
      <c r="AN90" s="64"/>
      <c r="AO90" s="64"/>
      <c r="AP90" s="64"/>
      <c r="AS90" s="20"/>
      <c r="AT90" s="20"/>
      <c r="AU90" s="20"/>
      <c r="AV90" s="20"/>
      <c r="AW90" s="20"/>
      <c r="AX90" s="20"/>
      <c r="AZ90" s="481"/>
    </row>
    <row r="91" spans="1:52" x14ac:dyDescent="0.25">
      <c r="A91" s="1410">
        <v>82</v>
      </c>
      <c r="B91" s="1412" t="s">
        <v>61</v>
      </c>
      <c r="C91" s="109" t="str">
        <f t="shared" si="6"/>
        <v>Ene 07</v>
      </c>
      <c r="D91" s="628" t="s">
        <v>738</v>
      </c>
      <c r="E91" s="663" t="str">
        <f>VLOOKUP(D91,Poeng!$B$10:$R$252,Poeng!E$1,FALSE)</f>
        <v xml:space="preserve">Best practice energy efficient measures </v>
      </c>
      <c r="F91" s="107">
        <f>VLOOKUP(D91,Poeng!$B$10:$AB$252,Poeng!AB$1,FALSE)</f>
        <v>4</v>
      </c>
      <c r="G91" s="1262">
        <f>'Assessment Issue Scoring'!G480</f>
        <v>0</v>
      </c>
      <c r="H91" s="108">
        <f>VLOOKUP(D91,Poeng!$B$10:$AE$252,Poeng!AE$1,FALSE)</f>
        <v>0</v>
      </c>
      <c r="I91" s="109" t="str">
        <f>VLOOKUP(D91,Poeng!$B$10:$BE$252,Poeng!BE$1,FALSE)</f>
        <v>N/A</v>
      </c>
      <c r="J91" s="74"/>
      <c r="K91" s="241"/>
      <c r="L91" s="608"/>
      <c r="M91" s="623"/>
      <c r="N91" s="77"/>
      <c r="O91" s="108">
        <f>VLOOKUP(D91,Poeng!$B$10:$BC$252,Poeng!AF$1,FALSE)</f>
        <v>0</v>
      </c>
      <c r="P91" s="108" t="str">
        <f>VLOOKUP(D91,Poeng!$B$10:$BH$252,Poeng!BH$1,FALSE)</f>
        <v>N/A</v>
      </c>
      <c r="Q91" s="558"/>
      <c r="R91" s="559"/>
      <c r="S91" s="552"/>
      <c r="T91" s="276"/>
      <c r="U91" s="77"/>
      <c r="V91" s="108">
        <f>VLOOKUP(D91,Poeng!$B$10:$BC$252,Poeng!AG$1,FALSE)</f>
        <v>0</v>
      </c>
      <c r="W91" s="108" t="str">
        <f>VLOOKUP(D91,Poeng!$B$10:$BK$252,Poeng!BK$1,FALSE)</f>
        <v>N/A</v>
      </c>
      <c r="X91" s="75"/>
      <c r="Y91" s="74"/>
      <c r="Z91" s="552"/>
      <c r="AA91" s="117"/>
      <c r="AB91" s="481"/>
      <c r="AC91" s="20">
        <f t="shared" si="11"/>
        <v>1</v>
      </c>
      <c r="AD91" s="1" t="e">
        <f>VLOOKUP(K91,'Assessment Details'!$O$49:$P$52,2,FALSE)</f>
        <v>#N/A</v>
      </c>
      <c r="AE91" s="1" t="e">
        <f>VLOOKUP(R91,'Assessment Details'!$O$49:$P$52,2,FALSE)</f>
        <v>#N/A</v>
      </c>
      <c r="AF91" s="1" t="e">
        <f>VLOOKUP(Y91,'Assessment Details'!$O$49:$P$52,2,FALSE)</f>
        <v>#N/A</v>
      </c>
      <c r="AI91" s="64"/>
      <c r="AJ91" s="508"/>
      <c r="AK91" s="64"/>
      <c r="AL91" s="64"/>
      <c r="AM91" s="64"/>
      <c r="AN91" s="64"/>
      <c r="AO91" s="64"/>
      <c r="AP91" s="64"/>
      <c r="AS91" s="20"/>
      <c r="AT91" s="20"/>
      <c r="AU91" s="20"/>
      <c r="AV91" s="20"/>
      <c r="AW91" s="20"/>
      <c r="AX91" s="20"/>
      <c r="AZ91" s="481"/>
    </row>
    <row r="92" spans="1:52" x14ac:dyDescent="0.25">
      <c r="A92" s="1410">
        <v>83</v>
      </c>
      <c r="B92" s="1412" t="s">
        <v>61</v>
      </c>
      <c r="C92" s="690" t="s">
        <v>136</v>
      </c>
      <c r="D92" s="628" t="s">
        <v>136</v>
      </c>
      <c r="E92" s="662" t="str">
        <f>VLOOKUP(D92,Poeng!$B$10:$R$252,Poeng!E$1,FALSE)</f>
        <v>Ene 08 Energy efficient equipment</v>
      </c>
      <c r="F92" s="667">
        <f>VLOOKUP(D92,Poeng!$B$10:$AB$252,Poeng!AB$1,FALSE)</f>
        <v>2</v>
      </c>
      <c r="G92" s="742"/>
      <c r="H92" s="668" t="str">
        <f>VLOOKUP(D92,Poeng!$B$10:$AI$252,Poeng!AI$1,FALSE)&amp;" c. "&amp;ROUND(VLOOKUP(D92,Poeng!$B$10:$AE$252,Poeng!AE$1,FALSE)*100,1)&amp;" %"</f>
        <v>0 c. 0 %</v>
      </c>
      <c r="I92" s="690" t="str">
        <f>VLOOKUP(D92,Poeng!$B$10:$BE$252,Poeng!BE$1,FALSE)</f>
        <v>N/A</v>
      </c>
      <c r="J92" s="74"/>
      <c r="K92" s="241"/>
      <c r="L92" s="608"/>
      <c r="M92" s="623"/>
      <c r="N92" s="742"/>
      <c r="O92" s="679" t="str">
        <f>VLOOKUP(D92,Poeng!$B$10:$BC$252,Poeng!AJ$1,FALSE)&amp;" c. "&amp;ROUND(VLOOKUP(D92,Poeng!$B$10:$BC$252,Poeng!AF$1,FALSE)*100,1)&amp;" %"</f>
        <v>0 c. 0 %</v>
      </c>
      <c r="P92" s="108" t="str">
        <f>VLOOKUP(D92,Poeng!$B$10:$BH$252,Poeng!BH$1,FALSE)</f>
        <v>N/A</v>
      </c>
      <c r="Q92" s="558"/>
      <c r="R92" s="559"/>
      <c r="S92" s="552"/>
      <c r="T92" s="276"/>
      <c r="U92" s="742"/>
      <c r="V92" s="679" t="str">
        <f>VLOOKUP(D92,Poeng!$B$10:$BC$252,Poeng!AK$1,FALSE)&amp;" c. "&amp;ROUND(VLOOKUP(D92,Poeng!$B$10:$BC$252,Poeng!AG$1,FALSE)*100,1)&amp;" %"</f>
        <v>0 c. 0 %</v>
      </c>
      <c r="W92" s="108" t="str">
        <f>VLOOKUP(D92,Poeng!$B$10:$BK$252,Poeng!BK$1,FALSE)</f>
        <v>N/A</v>
      </c>
      <c r="X92" s="75"/>
      <c r="Y92" s="74"/>
      <c r="Z92" s="552"/>
      <c r="AA92" s="117"/>
      <c r="AB92" s="481" t="s">
        <v>13</v>
      </c>
      <c r="AC92" s="20">
        <f t="shared" si="11"/>
        <v>1</v>
      </c>
      <c r="AD92" s="1" t="e">
        <f>VLOOKUP(K92,'Assessment Details'!$O$49:$P$52,2,FALSE)</f>
        <v>#N/A</v>
      </c>
      <c r="AE92" s="1" t="e">
        <f>VLOOKUP(R92,'Assessment Details'!$O$49:$P$52,2,FALSE)</f>
        <v>#N/A</v>
      </c>
      <c r="AF92" s="1" t="e">
        <f>VLOOKUP(Y92,'Assessment Details'!$O$49:$P$52,2,FALSE)</f>
        <v>#N/A</v>
      </c>
      <c r="AI92" s="64" t="str">
        <f>ais_ja</f>
        <v>Ja</v>
      </c>
      <c r="AJ92" s="508" t="s">
        <v>127</v>
      </c>
      <c r="AK92" s="487" t="s">
        <v>385</v>
      </c>
      <c r="AL92" s="487" t="s">
        <v>389</v>
      </c>
      <c r="AM92" s="487" t="s">
        <v>387</v>
      </c>
      <c r="AN92" s="64"/>
      <c r="AO92" s="64"/>
      <c r="AP92" s="64"/>
      <c r="AR92" s="1" t="s">
        <v>13</v>
      </c>
      <c r="AS92" s="20" t="str">
        <f t="shared" si="3"/>
        <v>N/A</v>
      </c>
      <c r="AT92" s="20" t="str">
        <f t="shared" si="1"/>
        <v>N/A</v>
      </c>
      <c r="AU92" s="20" t="str">
        <f t="shared" si="2"/>
        <v>N/A</v>
      </c>
      <c r="AV92" s="20"/>
      <c r="AW92" s="20"/>
      <c r="AX92" s="20"/>
      <c r="AZ92" s="481"/>
    </row>
    <row r="93" spans="1:52" ht="30" x14ac:dyDescent="0.25">
      <c r="A93" s="1410">
        <v>84</v>
      </c>
      <c r="B93" s="1412" t="s">
        <v>61</v>
      </c>
      <c r="C93" s="809" t="str">
        <f t="shared" si="6"/>
        <v>Ene 08</v>
      </c>
      <c r="D93" s="628" t="s">
        <v>739</v>
      </c>
      <c r="E93" s="798" t="str">
        <f>VLOOKUP(D93,Poeng!$B$10:$R$252,Poeng!E$1,FALSE)</f>
        <v xml:space="preserve">Reduction of the building's significant unregulated energy consumption </v>
      </c>
      <c r="F93" s="107">
        <f>VLOOKUP(D93,Poeng!$B$10:$AB$252,Poeng!AB$1,FALSE)</f>
        <v>2</v>
      </c>
      <c r="G93" s="1166">
        <f>'Assessment Issue Scoring'!G522</f>
        <v>0</v>
      </c>
      <c r="H93" s="108">
        <f>VLOOKUP(D93,Poeng!$B$10:$AE$252,Poeng!AE$1,FALSE)</f>
        <v>0</v>
      </c>
      <c r="I93" s="109" t="str">
        <f>VLOOKUP(D93,Poeng!$B$10:$BE$252,Poeng!BE$1,FALSE)</f>
        <v>N/A</v>
      </c>
      <c r="J93" s="74"/>
      <c r="K93" s="241"/>
      <c r="L93" s="608"/>
      <c r="M93" s="623"/>
      <c r="N93" s="77"/>
      <c r="O93" s="108">
        <f>VLOOKUP(D93,Poeng!$B$10:$BC$252,Poeng!AF$1,FALSE)</f>
        <v>0</v>
      </c>
      <c r="P93" s="108" t="str">
        <f>VLOOKUP(D93,Poeng!$B$10:$BH$252,Poeng!BH$1,FALSE)</f>
        <v>N/A</v>
      </c>
      <c r="Q93" s="558"/>
      <c r="R93" s="559"/>
      <c r="S93" s="552"/>
      <c r="T93" s="276"/>
      <c r="U93" s="77"/>
      <c r="V93" s="108">
        <f>VLOOKUP(D93,Poeng!$B$10:$BC$252,Poeng!AG$1,FALSE)</f>
        <v>0</v>
      </c>
      <c r="W93" s="108" t="str">
        <f>VLOOKUP(D93,Poeng!$B$10:$BK$252,Poeng!BK$1,FALSE)</f>
        <v>N/A</v>
      </c>
      <c r="X93" s="75"/>
      <c r="Y93" s="74"/>
      <c r="Z93" s="552"/>
      <c r="AA93" s="117"/>
      <c r="AB93" s="534"/>
      <c r="AC93" s="20">
        <f t="shared" si="11"/>
        <v>1</v>
      </c>
      <c r="AD93" s="1" t="e">
        <f>VLOOKUP(K93,'Assessment Details'!$O$49:$P$52,2,FALSE)</f>
        <v>#N/A</v>
      </c>
      <c r="AE93" s="1" t="e">
        <f>VLOOKUP(R93,'Assessment Details'!$O$49:$P$52,2,FALSE)</f>
        <v>#N/A</v>
      </c>
      <c r="AF93" s="1" t="e">
        <f>VLOOKUP(Y93,'Assessment Details'!$O$49:$P$52,2,FALSE)</f>
        <v>#N/A</v>
      </c>
      <c r="AI93" s="64"/>
      <c r="AJ93" s="508"/>
      <c r="AK93" s="487"/>
      <c r="AL93" s="487"/>
      <c r="AM93" s="487"/>
      <c r="AN93" s="64"/>
      <c r="AO93" s="64"/>
      <c r="AP93" s="64"/>
      <c r="AS93" s="20"/>
      <c r="AT93" s="20"/>
      <c r="AU93" s="20"/>
      <c r="AV93" s="20"/>
      <c r="AW93" s="20"/>
      <c r="AX93" s="20"/>
      <c r="AZ93" s="534"/>
    </row>
    <row r="94" spans="1:52" ht="15.75" thickBot="1" x14ac:dyDescent="0.3">
      <c r="A94" s="1410">
        <v>85</v>
      </c>
      <c r="B94" s="1412" t="s">
        <v>61</v>
      </c>
      <c r="C94" s="805"/>
      <c r="D94" s="628" t="s">
        <v>862</v>
      </c>
      <c r="E94" s="277" t="s">
        <v>99</v>
      </c>
      <c r="F94" s="110">
        <f>Ene_Credits</f>
        <v>27</v>
      </c>
      <c r="G94" s="115"/>
      <c r="H94" s="111">
        <f>Ene_cont_tot</f>
        <v>0</v>
      </c>
      <c r="I94" s="669" t="str">
        <f>"Credits achieved: "&amp;Ene_tot_user</f>
        <v>Credits achieved: 0</v>
      </c>
      <c r="J94" s="118"/>
      <c r="K94" s="242"/>
      <c r="L94" s="560"/>
      <c r="M94" s="623"/>
      <c r="N94" s="320"/>
      <c r="O94" s="111">
        <f>VLOOKUP(D94,Poeng!$B$10:$BC$252,Poeng!AF$1,FALSE)</f>
        <v>0</v>
      </c>
      <c r="P94" s="669" t="str">
        <f>"Credits achieved: "&amp;Ene_d_user</f>
        <v>Credits achieved: 0</v>
      </c>
      <c r="Q94" s="561"/>
      <c r="R94" s="562"/>
      <c r="S94" s="560"/>
      <c r="T94" s="276"/>
      <c r="U94" s="320"/>
      <c r="V94" s="111">
        <f>VLOOKUP(D94,Poeng!$B$10:$BC$252,Poeng!AG$1,FALSE)</f>
        <v>0</v>
      </c>
      <c r="W94" s="669" t="str">
        <f>"Credits achieved: "&amp;Ene_c_user</f>
        <v>Credits achieved: 0</v>
      </c>
      <c r="X94" s="319"/>
      <c r="Y94" s="120"/>
      <c r="Z94" s="560"/>
      <c r="AA94" s="117"/>
      <c r="AB94" s="482"/>
      <c r="AC94" s="20">
        <f t="shared" si="11"/>
        <v>1</v>
      </c>
      <c r="AD94" s="238">
        <v>0</v>
      </c>
      <c r="AE94" s="238">
        <v>0</v>
      </c>
      <c r="AF94" s="238">
        <v>0</v>
      </c>
      <c r="AI94" s="64"/>
      <c r="AJ94" s="508" t="s">
        <v>99</v>
      </c>
      <c r="AK94" s="64"/>
      <c r="AL94" s="64"/>
      <c r="AM94" s="64"/>
      <c r="AN94" s="64"/>
      <c r="AO94" s="64"/>
      <c r="AP94" s="64"/>
      <c r="AS94" s="20" t="str">
        <f t="shared" si="3"/>
        <v>N/A</v>
      </c>
      <c r="AT94" s="20" t="str">
        <f t="shared" si="1"/>
        <v>N/A</v>
      </c>
      <c r="AU94" s="20" t="str">
        <f t="shared" si="2"/>
        <v>N/A</v>
      </c>
      <c r="AV94" s="20"/>
      <c r="AW94" s="20"/>
      <c r="AX94" s="20"/>
      <c r="AZ94" s="482"/>
    </row>
    <row r="95" spans="1:52" x14ac:dyDescent="0.25">
      <c r="A95" s="1410">
        <v>86</v>
      </c>
      <c r="B95" s="1412" t="s">
        <v>61</v>
      </c>
      <c r="C95" s="279"/>
      <c r="D95" s="628"/>
      <c r="E95" s="278"/>
      <c r="F95" s="279"/>
      <c r="G95" s="280"/>
      <c r="H95" s="279"/>
      <c r="I95" s="279"/>
      <c r="J95" s="281"/>
      <c r="K95" s="280"/>
      <c r="L95" s="563"/>
      <c r="M95" s="623"/>
      <c r="N95" s="282"/>
      <c r="O95" s="282"/>
      <c r="P95" s="563"/>
      <c r="Q95" s="563"/>
      <c r="R95" s="564"/>
      <c r="S95" s="563"/>
      <c r="T95" s="276"/>
      <c r="U95" s="282"/>
      <c r="V95" s="282"/>
      <c r="W95" s="563"/>
      <c r="X95" s="281"/>
      <c r="Y95" s="282"/>
      <c r="Z95" s="563"/>
      <c r="AA95" s="117"/>
      <c r="AB95" s="281"/>
      <c r="AC95" s="20">
        <f t="shared" si="11"/>
        <v>1</v>
      </c>
      <c r="AD95" s="239">
        <v>0</v>
      </c>
      <c r="AE95" s="239">
        <v>0</v>
      </c>
      <c r="AF95" s="239">
        <v>0</v>
      </c>
      <c r="AI95" s="64"/>
      <c r="AJ95" s="508"/>
      <c r="AK95" s="64"/>
      <c r="AL95" s="64"/>
      <c r="AM95" s="64"/>
      <c r="AN95" s="64"/>
      <c r="AO95" s="64"/>
      <c r="AP95" s="64"/>
      <c r="AS95" s="20" t="str">
        <f t="shared" ref="AS95:AS163" si="12">IF($AJ$4=ais_nei,AIS_NA,IF(AK95="",AIS_NA,AK95))</f>
        <v>N/A</v>
      </c>
      <c r="AT95" s="20" t="str">
        <f t="shared" ref="AT95:AT163" si="13">IF($AJ$4=ais_nei,AIS_NA,IF(AL95="",AIS_NA,AL95))</f>
        <v>N/A</v>
      </c>
      <c r="AU95" s="20" t="str">
        <f t="shared" ref="AU95:AV163" si="14">IF($AJ$4=ais_nei,AIS_NA,IF(AM95="",AIS_NA,AM95))</f>
        <v>N/A</v>
      </c>
      <c r="AV95" s="20"/>
      <c r="AW95" s="20"/>
      <c r="AX95" s="20"/>
      <c r="AZ95" s="281"/>
    </row>
    <row r="96" spans="1:52" ht="18.75" x14ac:dyDescent="0.25">
      <c r="A96" s="1410">
        <v>87</v>
      </c>
      <c r="B96" s="1412" t="s">
        <v>62</v>
      </c>
      <c r="C96" s="806"/>
      <c r="D96" s="628"/>
      <c r="E96" s="283" t="s">
        <v>48</v>
      </c>
      <c r="F96" s="272"/>
      <c r="G96" s="273"/>
      <c r="H96" s="292"/>
      <c r="I96" s="272"/>
      <c r="J96" s="284"/>
      <c r="K96" s="285"/>
      <c r="L96" s="566"/>
      <c r="M96" s="623"/>
      <c r="N96" s="295"/>
      <c r="O96" s="288"/>
      <c r="P96" s="556"/>
      <c r="Q96" s="567"/>
      <c r="R96" s="568"/>
      <c r="S96" s="569"/>
      <c r="T96" s="276"/>
      <c r="U96" s="295"/>
      <c r="V96" s="294"/>
      <c r="W96" s="556"/>
      <c r="X96" s="284"/>
      <c r="Y96" s="294"/>
      <c r="Z96" s="566"/>
      <c r="AA96" s="117"/>
      <c r="AB96" s="293"/>
      <c r="AC96" s="20">
        <f t="shared" si="11"/>
        <v>1</v>
      </c>
      <c r="AD96" s="237">
        <v>0</v>
      </c>
      <c r="AE96" s="237">
        <v>0</v>
      </c>
      <c r="AF96" s="237">
        <v>0</v>
      </c>
      <c r="AI96" s="64"/>
      <c r="AJ96" s="508" t="s">
        <v>48</v>
      </c>
      <c r="AK96" s="64"/>
      <c r="AL96" s="64"/>
      <c r="AM96" s="64"/>
      <c r="AN96" s="64"/>
      <c r="AO96" s="64"/>
      <c r="AP96" s="64"/>
      <c r="AS96" s="20" t="str">
        <f t="shared" si="12"/>
        <v>N/A</v>
      </c>
      <c r="AT96" s="20" t="str">
        <f t="shared" si="13"/>
        <v>N/A</v>
      </c>
      <c r="AU96" s="20" t="str">
        <f t="shared" si="14"/>
        <v>N/A</v>
      </c>
      <c r="AV96" s="20"/>
      <c r="AW96" s="20"/>
      <c r="AX96" s="20"/>
      <c r="AZ96" s="293"/>
    </row>
    <row r="97" spans="1:52" x14ac:dyDescent="0.25">
      <c r="A97" s="1410">
        <v>88</v>
      </c>
      <c r="B97" s="1412" t="s">
        <v>62</v>
      </c>
      <c r="C97" s="690" t="s">
        <v>141</v>
      </c>
      <c r="D97" s="628" t="s">
        <v>141</v>
      </c>
      <c r="E97" s="662" t="str">
        <f>VLOOKUP(D97,Poeng!$B$10:$R$252,Poeng!E$1,FALSE)</f>
        <v>Tra 01 Transport assessment and travel plan</v>
      </c>
      <c r="F97" s="667">
        <f>VLOOKUP(D97,Poeng!$B$10:$AB$252,Poeng!AB$1,FALSE)</f>
        <v>3</v>
      </c>
      <c r="G97" s="741"/>
      <c r="H97" s="668" t="str">
        <f>VLOOKUP(D97,Poeng!$B$10:$AI$252,Poeng!AI$1,FALSE)&amp;" c. "&amp;ROUND(VLOOKUP(D97,Poeng!$B$10:$AE$252,Poeng!AE$1,FALSE)*100,1)&amp;" %"</f>
        <v>0 c. 0 %</v>
      </c>
      <c r="I97" s="689" t="str">
        <f>VLOOKUP(D97,Poeng!$B$10:$BE$252,Poeng!BE$1,FALSE)</f>
        <v>N/A</v>
      </c>
      <c r="J97" s="676"/>
      <c r="K97" s="677"/>
      <c r="L97" s="678"/>
      <c r="M97" s="623"/>
      <c r="N97" s="742"/>
      <c r="O97" s="815" t="str">
        <f>VLOOKUP(D97,Poeng!$B$10:$BC$252,Poeng!AJ$1,FALSE)&amp;" c. "&amp;ROUND(VLOOKUP(D97,Poeng!$B$10:$BC$252,Poeng!AF$1,FALSE)*100,1)&amp;" %"</f>
        <v>0 c. 0 %</v>
      </c>
      <c r="P97" s="108" t="str">
        <f>VLOOKUP(D97,Poeng!$B$10:$BH$252,Poeng!BH$1,FALSE)</f>
        <v>N/A</v>
      </c>
      <c r="Q97" s="558"/>
      <c r="R97" s="559"/>
      <c r="S97" s="552"/>
      <c r="T97" s="276"/>
      <c r="U97" s="742"/>
      <c r="V97" s="679" t="str">
        <f>VLOOKUP(D97,Poeng!$B$10:$BC$252,Poeng!AK$1,FALSE)&amp;" c. "&amp;ROUND(VLOOKUP(D97,Poeng!$B$10:$BC$252,Poeng!AG$1,FALSE)*100,1)&amp;" %"</f>
        <v>0 c. 0 %</v>
      </c>
      <c r="W97" s="108" t="str">
        <f>VLOOKUP(D97,Poeng!$B$10:$BK$252,Poeng!BK$1,FALSE)</f>
        <v>N/A</v>
      </c>
      <c r="X97" s="75"/>
      <c r="Y97" s="74"/>
      <c r="Z97" s="552"/>
      <c r="AA97" s="117"/>
      <c r="AB97" s="481" t="s">
        <v>14</v>
      </c>
      <c r="AC97" s="20">
        <f t="shared" si="11"/>
        <v>1</v>
      </c>
      <c r="AD97" s="1" t="e">
        <f>VLOOKUP(K97,'Assessment Details'!$O$49:$P$52,2,FALSE)</f>
        <v>#N/A</v>
      </c>
      <c r="AE97" s="1" t="e">
        <f>VLOOKUP(R97,'Assessment Details'!$O$49:$P$52,2,FALSE)</f>
        <v>#N/A</v>
      </c>
      <c r="AF97" s="1" t="e">
        <f>VLOOKUP(Y97,'Assessment Details'!$O$49:$P$52,2,FALSE)</f>
        <v>#N/A</v>
      </c>
      <c r="AI97" s="64"/>
      <c r="AJ97" s="508" t="s">
        <v>139</v>
      </c>
      <c r="AK97" s="64"/>
      <c r="AL97" s="64"/>
      <c r="AM97" s="64"/>
      <c r="AN97" s="64"/>
      <c r="AO97" s="64"/>
      <c r="AP97" s="64"/>
      <c r="AS97" s="20" t="str">
        <f t="shared" si="12"/>
        <v>N/A</v>
      </c>
      <c r="AT97" s="20" t="str">
        <f t="shared" si="13"/>
        <v>N/A</v>
      </c>
      <c r="AU97" s="20" t="str">
        <f t="shared" si="14"/>
        <v>N/A</v>
      </c>
      <c r="AV97" s="20"/>
      <c r="AW97" s="20"/>
      <c r="AX97" s="20"/>
      <c r="AZ97" s="481"/>
    </row>
    <row r="98" spans="1:52" x14ac:dyDescent="0.25">
      <c r="A98" s="1410">
        <v>89</v>
      </c>
      <c r="B98" s="1412" t="s">
        <v>62</v>
      </c>
      <c r="C98" s="109" t="str">
        <f t="shared" si="6"/>
        <v>Tra 01</v>
      </c>
      <c r="D98" s="16" t="s">
        <v>740</v>
      </c>
      <c r="E98" s="663" t="str">
        <f>VLOOKUP(D98,Poeng!$B$10:$R$252,Poeng!E$1,FALSE)</f>
        <v xml:space="preserve">Transport assessment and travel plan </v>
      </c>
      <c r="F98" s="107">
        <f>VLOOKUP(D98,Poeng!$B$10:$AB$252,Poeng!AB$1,FALSE)</f>
        <v>2</v>
      </c>
      <c r="G98" s="1166">
        <f>'Assessment Issue Scoring'!G547</f>
        <v>0</v>
      </c>
      <c r="H98" s="108">
        <f>VLOOKUP(D98,Poeng!$B$10:$AE$252,Poeng!AE$1,FALSE)</f>
        <v>0</v>
      </c>
      <c r="I98" s="109" t="str">
        <f>VLOOKUP(D98,Poeng!$B$10:$BE$252,Poeng!BE$1,FALSE)</f>
        <v>N/A</v>
      </c>
      <c r="J98" s="74"/>
      <c r="K98" s="241"/>
      <c r="L98" s="608"/>
      <c r="M98" s="623"/>
      <c r="N98" s="77"/>
      <c r="O98" s="108">
        <f>VLOOKUP(D98,Poeng!$B$10:$BC$252,Poeng!AF$1,FALSE)</f>
        <v>0</v>
      </c>
      <c r="P98" s="108" t="str">
        <f>VLOOKUP(D98,Poeng!$B$10:$BH$252,Poeng!BH$1,FALSE)</f>
        <v>N/A</v>
      </c>
      <c r="Q98" s="558"/>
      <c r="R98" s="559"/>
      <c r="S98" s="552"/>
      <c r="T98" s="276"/>
      <c r="U98" s="77"/>
      <c r="V98" s="108">
        <f>VLOOKUP(D98,Poeng!$B$10:$BC$252,Poeng!AG$1,FALSE)</f>
        <v>0</v>
      </c>
      <c r="W98" s="108" t="str">
        <f>VLOOKUP(D98,Poeng!$B$10:$BK$252,Poeng!BK$1,FALSE)</f>
        <v>N/A</v>
      </c>
      <c r="X98" s="75"/>
      <c r="Y98" s="74"/>
      <c r="Z98" s="552"/>
      <c r="AC98" s="20">
        <f t="shared" si="11"/>
        <v>1</v>
      </c>
      <c r="AD98" s="1" t="e">
        <f>VLOOKUP(K98,'Assessment Details'!$O$49:$P$52,2,FALSE)</f>
        <v>#N/A</v>
      </c>
      <c r="AE98" s="1" t="e">
        <f>VLOOKUP(R98,'Assessment Details'!$O$49:$P$52,2,FALSE)</f>
        <v>#N/A</v>
      </c>
      <c r="AF98" s="1" t="e">
        <f>VLOOKUP(Y98,'Assessment Details'!$O$49:$P$52,2,FALSE)</f>
        <v>#N/A</v>
      </c>
    </row>
    <row r="99" spans="1:52" x14ac:dyDescent="0.25">
      <c r="A99" s="1410">
        <v>90</v>
      </c>
      <c r="B99" s="1412" t="s">
        <v>62</v>
      </c>
      <c r="C99" s="109" t="str">
        <f t="shared" si="6"/>
        <v>Tra 01</v>
      </c>
      <c r="D99" s="16" t="s">
        <v>741</v>
      </c>
      <c r="E99" s="663" t="str">
        <f>VLOOKUP(D99,Poeng!$B$10:$R$252,Poeng!E$1,FALSE)</f>
        <v xml:space="preserve">Travel plan emissions evaluation </v>
      </c>
      <c r="F99" s="107">
        <f>VLOOKUP(D99,Poeng!$B$10:$AB$252,Poeng!AB$1,FALSE)</f>
        <v>1</v>
      </c>
      <c r="G99" s="1166">
        <f>'Assessment Issue Scoring'!G548</f>
        <v>0</v>
      </c>
      <c r="H99" s="108">
        <f>VLOOKUP(D99,Poeng!$B$10:$AE$252,Poeng!AE$1,FALSE)</f>
        <v>0</v>
      </c>
      <c r="I99" s="109" t="str">
        <f>VLOOKUP(D99,Poeng!$B$10:$BE$252,Poeng!BE$1,FALSE)</f>
        <v>Very Good</v>
      </c>
      <c r="J99" s="74"/>
      <c r="K99" s="241"/>
      <c r="L99" s="608"/>
      <c r="M99" s="623"/>
      <c r="N99" s="77"/>
      <c r="O99" s="108">
        <f>VLOOKUP(D99,Poeng!$B$10:$BC$252,Poeng!AF$1,FALSE)</f>
        <v>0</v>
      </c>
      <c r="P99" s="108" t="str">
        <f>VLOOKUP(D99,Poeng!$B$10:$BH$252,Poeng!BH$1,FALSE)</f>
        <v>Very Good</v>
      </c>
      <c r="Q99" s="558"/>
      <c r="R99" s="559"/>
      <c r="S99" s="552"/>
      <c r="T99" s="276"/>
      <c r="U99" s="77"/>
      <c r="V99" s="108">
        <f>VLOOKUP(D99,Poeng!$B$10:$BC$252,Poeng!AG$1,FALSE)</f>
        <v>0</v>
      </c>
      <c r="W99" s="108" t="str">
        <f>VLOOKUP(D99,Poeng!$B$10:$BK$252,Poeng!BK$1,FALSE)</f>
        <v>Very Good</v>
      </c>
      <c r="X99" s="75"/>
      <c r="Y99" s="74"/>
      <c r="Z99" s="552"/>
      <c r="AC99" s="20">
        <f t="shared" si="11"/>
        <v>1</v>
      </c>
      <c r="AD99" s="1" t="e">
        <f>VLOOKUP(K99,'Assessment Details'!$O$49:$P$52,2,FALSE)</f>
        <v>#N/A</v>
      </c>
      <c r="AE99" s="1" t="e">
        <f>VLOOKUP(R99,'Assessment Details'!$O$49:$P$52,2,FALSE)</f>
        <v>#N/A</v>
      </c>
      <c r="AF99" s="1" t="e">
        <f>VLOOKUP(Y99,'Assessment Details'!$O$49:$P$52,2,FALSE)</f>
        <v>#N/A</v>
      </c>
    </row>
    <row r="100" spans="1:52" x14ac:dyDescent="0.25">
      <c r="A100" s="1410">
        <v>91</v>
      </c>
      <c r="B100" s="1412" t="s">
        <v>62</v>
      </c>
      <c r="C100" s="690" t="s">
        <v>142</v>
      </c>
      <c r="D100" s="628" t="s">
        <v>142</v>
      </c>
      <c r="E100" s="662" t="str">
        <f>VLOOKUP(D100,Poeng!$B$10:$R$252,Poeng!E$1,FALSE)</f>
        <v>Tra 02 Sustainable transport measures</v>
      </c>
      <c r="F100" s="667">
        <f>VLOOKUP(D100,Poeng!$B$10:$AB$252,Poeng!AB$1,FALSE)</f>
        <v>10</v>
      </c>
      <c r="G100" s="742"/>
      <c r="H100" s="668" t="str">
        <f>VLOOKUP(D100,Poeng!$B$10:$AI$252,Poeng!AI$1,FALSE)&amp;" c. "&amp;ROUND(VLOOKUP(D100,Poeng!$B$10:$AE$252,Poeng!AE$1,FALSE)*100,1)&amp;" %"</f>
        <v>0 c. 0 %</v>
      </c>
      <c r="I100" s="690" t="str">
        <f>VLOOKUP(D100,Poeng!$B$10:$BE$252,Poeng!BE$1,FALSE)</f>
        <v>N/A</v>
      </c>
      <c r="J100" s="74"/>
      <c r="K100" s="241"/>
      <c r="L100" s="608"/>
      <c r="M100" s="623"/>
      <c r="N100" s="742"/>
      <c r="O100" s="679" t="str">
        <f>VLOOKUP(D100,Poeng!$B$10:$BC$252,Poeng!AJ$1,FALSE)&amp;" c. "&amp;ROUND(VLOOKUP(D100,Poeng!$B$10:$BC$252,Poeng!AF$1,FALSE)*100,1)&amp;" %"</f>
        <v>0 c. 0 %</v>
      </c>
      <c r="P100" s="108" t="str">
        <f>VLOOKUP(D100,Poeng!$B$10:$BH$252,Poeng!BH$1,FALSE)</f>
        <v>N/A</v>
      </c>
      <c r="Q100" s="558"/>
      <c r="R100" s="559"/>
      <c r="S100" s="552"/>
      <c r="T100" s="276"/>
      <c r="U100" s="742"/>
      <c r="V100" s="679" t="str">
        <f>VLOOKUP(D100,Poeng!$B$10:$BC$252,Poeng!AK$1,FALSE)&amp;" c. "&amp;ROUND(VLOOKUP(D100,Poeng!$B$10:$BC$252,Poeng!AG$1,FALSE)*100,1)&amp;" %"</f>
        <v>0 c. 0 %</v>
      </c>
      <c r="W100" s="108" t="str">
        <f>VLOOKUP(D100,Poeng!$B$10:$BK$252,Poeng!BK$1,FALSE)</f>
        <v>N/A</v>
      </c>
      <c r="X100" s="75"/>
      <c r="Y100" s="74"/>
      <c r="Z100" s="552"/>
      <c r="AA100" s="117"/>
      <c r="AB100" s="481" t="s">
        <v>14</v>
      </c>
      <c r="AC100" s="20">
        <f t="shared" si="11"/>
        <v>1</v>
      </c>
      <c r="AD100" s="1" t="e">
        <f>VLOOKUP(K100,'Assessment Details'!$O$49:$P$52,2,FALSE)</f>
        <v>#N/A</v>
      </c>
      <c r="AE100" s="1" t="e">
        <f>VLOOKUP(R100,'Assessment Details'!$O$49:$P$52,2,FALSE)</f>
        <v>#N/A</v>
      </c>
      <c r="AF100" s="1" t="e">
        <f>VLOOKUP(Y100,'Assessment Details'!$O$49:$P$52,2,FALSE)</f>
        <v>#N/A</v>
      </c>
      <c r="AI100" s="64"/>
      <c r="AJ100" s="508" t="s">
        <v>140</v>
      </c>
      <c r="AK100" s="64"/>
      <c r="AL100" s="64"/>
      <c r="AM100" s="64"/>
      <c r="AN100" s="64"/>
      <c r="AO100" s="64"/>
      <c r="AP100" s="64"/>
      <c r="AS100" s="20" t="str">
        <f t="shared" si="12"/>
        <v>N/A</v>
      </c>
      <c r="AT100" s="20" t="str">
        <f t="shared" si="13"/>
        <v>N/A</v>
      </c>
      <c r="AU100" s="20" t="str">
        <f t="shared" si="14"/>
        <v>N/A</v>
      </c>
      <c r="AV100" s="20"/>
      <c r="AW100" s="20"/>
      <c r="AX100" s="20"/>
      <c r="AZ100" s="481"/>
    </row>
    <row r="101" spans="1:52" x14ac:dyDescent="0.25">
      <c r="A101" s="1410">
        <v>92</v>
      </c>
      <c r="B101" s="1412" t="s">
        <v>62</v>
      </c>
      <c r="C101" s="109" t="str">
        <f t="shared" si="6"/>
        <v>Tra 02</v>
      </c>
      <c r="D101" s="628" t="s">
        <v>742</v>
      </c>
      <c r="E101" s="663" t="str">
        <f>VLOOKUP(D101,Poeng!$B$10:$R$252,Poeng!E$1,FALSE)</f>
        <v>Pre-requisite: transport assessment and travel plan</v>
      </c>
      <c r="F101" s="107" t="str">
        <f>VLOOKUP(D101,Poeng!$B$10:$AB$252,Poeng!AB$1,FALSE)</f>
        <v>Yes/No</v>
      </c>
      <c r="G101" s="1261" t="str">
        <f>'Assessment Issue Scoring'!E574</f>
        <v>Please select</v>
      </c>
      <c r="H101" s="108" t="str">
        <f>VLOOKUP(D101,Poeng!$B$10:$AE$252,Poeng!AE$1,FALSE)</f>
        <v>-</v>
      </c>
      <c r="I101" s="109" t="str">
        <f>VLOOKUP(D101,Poeng!$B$10:$BE$252,Poeng!BE$1,FALSE)</f>
        <v>N/A</v>
      </c>
      <c r="J101" s="74"/>
      <c r="K101" s="241"/>
      <c r="L101" s="608"/>
      <c r="M101" s="623"/>
      <c r="N101" s="77"/>
      <c r="O101" s="108" t="str">
        <f>VLOOKUP(D101,Poeng!$B$10:$BC$252,Poeng!AF$1,FALSE)</f>
        <v>-</v>
      </c>
      <c r="P101" s="108" t="str">
        <f>VLOOKUP(D101,Poeng!$B$10:$BH$252,Poeng!BH$1,FALSE)</f>
        <v>N/A</v>
      </c>
      <c r="Q101" s="558"/>
      <c r="R101" s="559"/>
      <c r="S101" s="552"/>
      <c r="T101" s="276"/>
      <c r="U101" s="77"/>
      <c r="V101" s="108" t="str">
        <f>VLOOKUP(D101,Poeng!$B$10:$BC$252,Poeng!AG$1,FALSE)</f>
        <v>-</v>
      </c>
      <c r="W101" s="108" t="str">
        <f>VLOOKUP(D101,Poeng!$B$10:$BK$252,Poeng!BK$1,FALSE)</f>
        <v>N/A</v>
      </c>
      <c r="X101" s="75"/>
      <c r="Y101" s="74"/>
      <c r="Z101" s="552"/>
      <c r="AA101" s="117"/>
      <c r="AB101" s="666"/>
      <c r="AC101" s="20">
        <f t="shared" si="11"/>
        <v>1</v>
      </c>
      <c r="AD101" s="1" t="e">
        <f>VLOOKUP(K101,'Assessment Details'!$O$49:$P$52,2,FALSE)</f>
        <v>#N/A</v>
      </c>
      <c r="AE101" s="1" t="e">
        <f>VLOOKUP(R101,'Assessment Details'!$O$49:$P$52,2,FALSE)</f>
        <v>#N/A</v>
      </c>
      <c r="AF101" s="1" t="e">
        <f>VLOOKUP(Y101,'Assessment Details'!$O$49:$P$52,2,FALSE)</f>
        <v>#N/A</v>
      </c>
      <c r="AS101" s="20"/>
      <c r="AT101" s="20"/>
      <c r="AU101" s="20"/>
      <c r="AV101" s="20"/>
      <c r="AW101" s="20"/>
      <c r="AX101" s="20"/>
      <c r="AZ101" s="666"/>
    </row>
    <row r="102" spans="1:52" x14ac:dyDescent="0.25">
      <c r="A102" s="1410">
        <v>93</v>
      </c>
      <c r="B102" s="1412" t="s">
        <v>62</v>
      </c>
      <c r="C102" s="109" t="str">
        <f t="shared" si="6"/>
        <v>Tra 02</v>
      </c>
      <c r="D102" s="628" t="s">
        <v>743</v>
      </c>
      <c r="E102" s="663" t="str">
        <f>VLOOKUP(D102,Poeng!$B$10:$R$252,Poeng!E$1,FALSE)</f>
        <v xml:space="preserve">Transport options implementation </v>
      </c>
      <c r="F102" s="107">
        <f>VLOOKUP(D102,Poeng!$B$10:$AB$252,Poeng!AB$1,FALSE)</f>
        <v>10</v>
      </c>
      <c r="G102" s="1166">
        <f>'Assessment Issue Scoring'!G575</f>
        <v>0</v>
      </c>
      <c r="H102" s="108">
        <f>VLOOKUP(D102,Poeng!$B$10:$AE$252,Poeng!AE$1,FALSE)</f>
        <v>0</v>
      </c>
      <c r="I102" s="109" t="str">
        <f>VLOOKUP(D102,Poeng!$B$10:$BE$252,Poeng!BE$1,FALSE)</f>
        <v>N/A</v>
      </c>
      <c r="J102" s="74"/>
      <c r="K102" s="241"/>
      <c r="L102" s="608"/>
      <c r="M102" s="623"/>
      <c r="N102" s="77"/>
      <c r="O102" s="108">
        <f>VLOOKUP(D102,Poeng!$B$10:$BC$252,Poeng!AF$1,FALSE)</f>
        <v>0</v>
      </c>
      <c r="P102" s="108" t="str">
        <f>VLOOKUP(D102,Poeng!$B$10:$BH$252,Poeng!BH$1,FALSE)</f>
        <v>N/A</v>
      </c>
      <c r="Q102" s="558"/>
      <c r="R102" s="559"/>
      <c r="S102" s="608"/>
      <c r="T102" s="276"/>
      <c r="U102" s="77"/>
      <c r="V102" s="108">
        <f>VLOOKUP(D102,Poeng!$B$10:$BC$252,Poeng!AG$1,FALSE)</f>
        <v>0</v>
      </c>
      <c r="W102" s="108" t="str">
        <f>VLOOKUP(D102,Poeng!$B$10:$BK$252,Poeng!BK$1,FALSE)</f>
        <v>N/A</v>
      </c>
      <c r="X102" s="75"/>
      <c r="Y102" s="74"/>
      <c r="Z102" s="608"/>
      <c r="AA102" s="117"/>
      <c r="AB102" s="534"/>
      <c r="AC102" s="20">
        <f t="shared" si="11"/>
        <v>1</v>
      </c>
      <c r="AD102" s="1" t="e">
        <f>VLOOKUP(K102,'Assessment Details'!$O$49:$P$52,2,FALSE)</f>
        <v>#N/A</v>
      </c>
      <c r="AE102" s="1" t="e">
        <f>VLOOKUP(R102,'Assessment Details'!$O$49:$P$52,2,FALSE)</f>
        <v>#N/A</v>
      </c>
      <c r="AF102" s="1" t="e">
        <f>VLOOKUP(Y102,'Assessment Details'!$O$49:$P$52,2,FALSE)</f>
        <v>#N/A</v>
      </c>
      <c r="AI102" s="64"/>
      <c r="AJ102" s="508"/>
      <c r="AK102" s="64"/>
      <c r="AL102" s="64"/>
      <c r="AM102" s="64"/>
      <c r="AN102" s="64"/>
      <c r="AO102" s="64"/>
      <c r="AP102" s="64"/>
      <c r="AS102" s="20"/>
      <c r="AT102" s="20"/>
      <c r="AU102" s="20"/>
      <c r="AV102" s="20"/>
      <c r="AW102" s="20"/>
      <c r="AX102" s="20"/>
      <c r="AZ102" s="534"/>
    </row>
    <row r="103" spans="1:52" ht="15.75" thickBot="1" x14ac:dyDescent="0.3">
      <c r="A103" s="1410">
        <v>94</v>
      </c>
      <c r="B103" s="1412" t="s">
        <v>62</v>
      </c>
      <c r="C103" s="805"/>
      <c r="D103" s="628" t="s">
        <v>863</v>
      </c>
      <c r="E103" s="277" t="s">
        <v>100</v>
      </c>
      <c r="F103" s="110">
        <f>Tra_Credits</f>
        <v>13</v>
      </c>
      <c r="G103" s="115"/>
      <c r="H103" s="111">
        <f>Tra_cont_tot</f>
        <v>0</v>
      </c>
      <c r="I103" s="669" t="str">
        <f>"Credits achieved: "&amp;Tra_tot_user</f>
        <v>Credits achieved: 0</v>
      </c>
      <c r="J103" s="118"/>
      <c r="K103" s="242"/>
      <c r="L103" s="560"/>
      <c r="M103" s="623"/>
      <c r="N103" s="320"/>
      <c r="O103" s="111">
        <f>VLOOKUP(D103,Poeng!$B$10:$BC$252,Poeng!AF$1,FALSE)</f>
        <v>0</v>
      </c>
      <c r="P103" s="669" t="str">
        <f>"Credits achieved: "&amp;Tra_d_user</f>
        <v>Credits achieved: 0</v>
      </c>
      <c r="Q103" s="561"/>
      <c r="R103" s="562"/>
      <c r="S103" s="560"/>
      <c r="T103" s="276"/>
      <c r="U103" s="320"/>
      <c r="V103" s="111">
        <f>VLOOKUP(D103,Poeng!$B$10:$BC$252,Poeng!AG$1,FALSE)</f>
        <v>0</v>
      </c>
      <c r="W103" s="669" t="str">
        <f>"Credits achieved: "&amp;Tra_c_user</f>
        <v>Credits achieved: 0</v>
      </c>
      <c r="X103" s="319"/>
      <c r="Y103" s="120"/>
      <c r="Z103" s="560"/>
      <c r="AA103" s="117"/>
      <c r="AB103" s="482"/>
      <c r="AC103" s="20">
        <f t="shared" si="11"/>
        <v>1</v>
      </c>
      <c r="AD103" s="238">
        <v>0</v>
      </c>
      <c r="AE103" s="238">
        <v>0</v>
      </c>
      <c r="AF103" s="238">
        <v>0</v>
      </c>
      <c r="AI103" s="64"/>
      <c r="AJ103" s="508" t="s">
        <v>100</v>
      </c>
      <c r="AK103" s="64"/>
      <c r="AL103" s="64"/>
      <c r="AM103" s="64"/>
      <c r="AN103" s="64"/>
      <c r="AO103" s="64"/>
      <c r="AP103" s="64"/>
      <c r="AS103" s="20" t="str">
        <f t="shared" si="12"/>
        <v>N/A</v>
      </c>
      <c r="AT103" s="20" t="str">
        <f t="shared" si="13"/>
        <v>N/A</v>
      </c>
      <c r="AU103" s="20" t="str">
        <f t="shared" si="14"/>
        <v>N/A</v>
      </c>
      <c r="AV103" s="20"/>
      <c r="AW103" s="20"/>
      <c r="AX103" s="20"/>
      <c r="AZ103" s="482"/>
    </row>
    <row r="104" spans="1:52" x14ac:dyDescent="0.25">
      <c r="A104" s="1410">
        <v>95</v>
      </c>
      <c r="B104" s="1412" t="s">
        <v>62</v>
      </c>
      <c r="C104" s="279"/>
      <c r="D104" s="628"/>
      <c r="E104" s="278"/>
      <c r="F104" s="279"/>
      <c r="G104" s="280"/>
      <c r="H104" s="279"/>
      <c r="I104" s="731"/>
      <c r="J104" s="281"/>
      <c r="K104" s="280"/>
      <c r="L104" s="563"/>
      <c r="M104" s="623"/>
      <c r="N104" s="282"/>
      <c r="O104" s="282"/>
      <c r="P104" s="563"/>
      <c r="Q104" s="563"/>
      <c r="R104" s="564"/>
      <c r="S104" s="563"/>
      <c r="T104" s="276"/>
      <c r="U104" s="282"/>
      <c r="V104" s="282"/>
      <c r="W104" s="563"/>
      <c r="X104" s="281"/>
      <c r="Y104" s="282"/>
      <c r="Z104" s="563"/>
      <c r="AA104" s="117"/>
      <c r="AB104" s="281"/>
      <c r="AC104" s="20">
        <f t="shared" si="11"/>
        <v>1</v>
      </c>
      <c r="AD104" s="239">
        <v>0</v>
      </c>
      <c r="AE104" s="239">
        <v>0</v>
      </c>
      <c r="AF104" s="239">
        <v>0</v>
      </c>
      <c r="AI104" s="64"/>
      <c r="AJ104" s="508"/>
      <c r="AK104" s="64"/>
      <c r="AL104" s="64"/>
      <c r="AM104" s="64"/>
      <c r="AN104" s="64"/>
      <c r="AO104" s="64"/>
      <c r="AP104" s="64"/>
      <c r="AS104" s="20" t="str">
        <f t="shared" si="12"/>
        <v>N/A</v>
      </c>
      <c r="AT104" s="20" t="str">
        <f t="shared" si="13"/>
        <v>N/A</v>
      </c>
      <c r="AU104" s="20" t="str">
        <f t="shared" si="14"/>
        <v>N/A</v>
      </c>
      <c r="AV104" s="20"/>
      <c r="AW104" s="20"/>
      <c r="AX104" s="20"/>
      <c r="AZ104" s="281"/>
    </row>
    <row r="105" spans="1:52" ht="18.75" x14ac:dyDescent="0.25">
      <c r="A105" s="1410">
        <v>96</v>
      </c>
      <c r="B105" s="1411" t="s">
        <v>54</v>
      </c>
      <c r="C105" s="806"/>
      <c r="D105" s="627"/>
      <c r="E105" s="283" t="s">
        <v>49</v>
      </c>
      <c r="F105" s="272"/>
      <c r="G105" s="273"/>
      <c r="H105" s="292"/>
      <c r="I105" s="272"/>
      <c r="J105" s="284"/>
      <c r="K105" s="285"/>
      <c r="L105" s="566"/>
      <c r="M105" s="623"/>
      <c r="N105" s="295"/>
      <c r="O105" s="288"/>
      <c r="P105" s="556"/>
      <c r="Q105" s="567"/>
      <c r="R105" s="568"/>
      <c r="S105" s="569"/>
      <c r="T105" s="276"/>
      <c r="U105" s="295"/>
      <c r="V105" s="294"/>
      <c r="W105" s="556"/>
      <c r="X105" s="284"/>
      <c r="Y105" s="294"/>
      <c r="Z105" s="566"/>
      <c r="AA105" s="117"/>
      <c r="AB105" s="293"/>
      <c r="AC105" s="20">
        <f t="shared" si="11"/>
        <v>1</v>
      </c>
      <c r="AD105" s="237">
        <v>0</v>
      </c>
      <c r="AE105" s="237">
        <v>0</v>
      </c>
      <c r="AF105" s="237">
        <v>0</v>
      </c>
      <c r="AI105" s="64"/>
      <c r="AJ105" s="508" t="s">
        <v>49</v>
      </c>
      <c r="AK105" s="64"/>
      <c r="AL105" s="64"/>
      <c r="AM105" s="64"/>
      <c r="AN105" s="64"/>
      <c r="AO105" s="64"/>
      <c r="AP105" s="64"/>
      <c r="AS105" s="20" t="str">
        <f t="shared" si="12"/>
        <v>N/A</v>
      </c>
      <c r="AT105" s="20" t="str">
        <f t="shared" si="13"/>
        <v>N/A</v>
      </c>
      <c r="AU105" s="20" t="str">
        <f t="shared" si="14"/>
        <v>N/A</v>
      </c>
      <c r="AV105" s="20"/>
      <c r="AW105" s="20"/>
      <c r="AX105" s="20"/>
      <c r="AZ105" s="293"/>
    </row>
    <row r="106" spans="1:52" x14ac:dyDescent="0.25">
      <c r="A106" s="1410">
        <v>97</v>
      </c>
      <c r="B106" s="1411" t="s">
        <v>54</v>
      </c>
      <c r="C106" s="690" t="s">
        <v>163</v>
      </c>
      <c r="D106" s="628" t="s">
        <v>163</v>
      </c>
      <c r="E106" s="662" t="str">
        <f>VLOOKUP(D106,Poeng!$B$10:$R$252,Poeng!E$1,FALSE)</f>
        <v>Wat 01 Water consumption</v>
      </c>
      <c r="F106" s="667">
        <f>VLOOKUP(D106,Poeng!$B$10:$AB$252,Poeng!AB$1,FALSE)</f>
        <v>5</v>
      </c>
      <c r="G106" s="741"/>
      <c r="H106" s="668" t="str">
        <f>VLOOKUP(D106,Poeng!$B$10:$AI$252,Poeng!AI$1,FALSE)&amp;" c. "&amp;ROUND(VLOOKUP(D106,Poeng!$B$10:$AE$252,Poeng!AE$1,FALSE)*100,1)&amp;" %"</f>
        <v>0 c. 0 %</v>
      </c>
      <c r="I106" s="689" t="str">
        <f>VLOOKUP(D106,Poeng!$B$10:$BE$252,Poeng!BE$1,FALSE)</f>
        <v>N/A</v>
      </c>
      <c r="J106" s="676"/>
      <c r="K106" s="677"/>
      <c r="L106" s="678"/>
      <c r="M106" s="623"/>
      <c r="N106" s="742"/>
      <c r="O106" s="815" t="str">
        <f>VLOOKUP(D106,Poeng!$B$10:$BC$252,Poeng!AJ$1,FALSE)&amp;" c. "&amp;ROUND(VLOOKUP(D106,Poeng!$B$10:$BC$252,Poeng!AF$1,FALSE)*100,1)&amp;" %"</f>
        <v>0 c. 0 %</v>
      </c>
      <c r="P106" s="108" t="str">
        <f>VLOOKUP(D106,Poeng!$B$10:$BH$252,Poeng!BH$1,FALSE)</f>
        <v>N/A</v>
      </c>
      <c r="Q106" s="558"/>
      <c r="R106" s="559"/>
      <c r="S106" s="552"/>
      <c r="T106" s="276"/>
      <c r="U106" s="742"/>
      <c r="V106" s="679" t="str">
        <f>VLOOKUP(D106,Poeng!$B$10:$BC$252,Poeng!AK$1,FALSE)&amp;" c. "&amp;ROUND(VLOOKUP(D106,Poeng!$B$10:$BC$252,Poeng!AG$1,FALSE)*100,1)&amp;" %"</f>
        <v>0 c. 0 %</v>
      </c>
      <c r="W106" s="108" t="str">
        <f>VLOOKUP(D106,Poeng!$B$10:$BK$252,Poeng!BK$1,FALSE)</f>
        <v>N/A</v>
      </c>
      <c r="X106" s="75"/>
      <c r="Y106" s="74"/>
      <c r="Z106" s="552"/>
      <c r="AA106" s="117"/>
      <c r="AB106" s="481" t="s">
        <v>13</v>
      </c>
      <c r="AC106" s="20">
        <f t="shared" si="11"/>
        <v>1</v>
      </c>
      <c r="AD106" s="1" t="e">
        <f>VLOOKUP(K106,'Assessment Details'!$O$49:$P$52,2,FALSE)</f>
        <v>#N/A</v>
      </c>
      <c r="AE106" s="1" t="e">
        <f>VLOOKUP(R106,'Assessment Details'!$O$49:$P$52,2,FALSE)</f>
        <v>#N/A</v>
      </c>
      <c r="AF106" s="1" t="e">
        <f>VLOOKUP(Y106,'Assessment Details'!$O$49:$P$52,2,FALSE)</f>
        <v>#N/A</v>
      </c>
      <c r="AI106" s="64"/>
      <c r="AJ106" s="508" t="s">
        <v>146</v>
      </c>
      <c r="AK106" s="487" t="s">
        <v>385</v>
      </c>
      <c r="AL106" s="487" t="s">
        <v>387</v>
      </c>
      <c r="AM106" s="64"/>
      <c r="AN106" s="64"/>
      <c r="AO106" s="64"/>
      <c r="AP106" s="64"/>
      <c r="AR106" s="1" t="s">
        <v>13</v>
      </c>
      <c r="AS106" s="20" t="str">
        <f t="shared" si="12"/>
        <v>N/A</v>
      </c>
      <c r="AT106" s="20" t="str">
        <f t="shared" si="13"/>
        <v>N/A</v>
      </c>
      <c r="AU106" s="20" t="str">
        <f t="shared" si="14"/>
        <v>N/A</v>
      </c>
      <c r="AV106" s="20"/>
      <c r="AW106" s="20"/>
      <c r="AX106" s="20"/>
      <c r="AZ106" s="481"/>
    </row>
    <row r="107" spans="1:52" x14ac:dyDescent="0.25">
      <c r="A107" s="1410">
        <v>98</v>
      </c>
      <c r="B107" s="1411" t="s">
        <v>54</v>
      </c>
      <c r="C107" s="109" t="str">
        <f>C106</f>
        <v>Wat 01</v>
      </c>
      <c r="D107" s="628" t="s">
        <v>744</v>
      </c>
      <c r="E107" s="663" t="str">
        <f>VLOOKUP(D107,Poeng!$B$10:$R$259,Poeng!E$1,FALSE)</f>
        <v>Water efficient components</v>
      </c>
      <c r="F107" s="107">
        <f>VLOOKUP(D107,Poeng!$B$10:$AB$259,Poeng!AB$1,FALSE)</f>
        <v>5</v>
      </c>
      <c r="G107" s="1166">
        <f>'Assessment Issue Scoring'!E630</f>
        <v>0</v>
      </c>
      <c r="H107" s="108">
        <f>VLOOKUP(D107,Poeng!$B$10:$AE$259,Poeng!AE$1,FALSE)</f>
        <v>0</v>
      </c>
      <c r="I107" s="109" t="str">
        <f>VLOOKUP(D107,Poeng!$B$10:$BE$259,Poeng!BE$1,FALSE)</f>
        <v>Very Good</v>
      </c>
      <c r="J107" s="836"/>
      <c r="K107" s="837"/>
      <c r="L107" s="838"/>
      <c r="M107" s="623"/>
      <c r="N107" s="77"/>
      <c r="O107" s="108">
        <f>VLOOKUP(D107,Poeng!$B$10:$BC$259,Poeng!AF$1,FALSE)</f>
        <v>0</v>
      </c>
      <c r="P107" s="108" t="str">
        <f>VLOOKUP(D107,Poeng!$B$10:$BH$259,Poeng!BH$1,FALSE)</f>
        <v>Very Good</v>
      </c>
      <c r="Q107" s="558"/>
      <c r="R107" s="559"/>
      <c r="S107" s="552"/>
      <c r="T107" s="276"/>
      <c r="U107" s="77"/>
      <c r="V107" s="108">
        <f>VLOOKUP(D107,Poeng!$B$10:$BC$259,Poeng!AG$1,FALSE)</f>
        <v>0</v>
      </c>
      <c r="W107" s="108" t="str">
        <f>VLOOKUP(D107,Poeng!$B$10:$BK$259,Poeng!BK$1,FALSE)</f>
        <v>Very Good</v>
      </c>
      <c r="X107" s="75"/>
      <c r="Y107" s="74"/>
      <c r="Z107" s="552"/>
      <c r="AA107" s="117"/>
      <c r="AB107" s="481"/>
      <c r="AC107" s="20">
        <f t="shared" ref="AC107" si="15">IF(F107="",1,IF(F107=0,2,1))</f>
        <v>1</v>
      </c>
      <c r="AD107" s="1" t="e">
        <f>VLOOKUP(K107,'Assessment Details'!$O$49:$P$52,2,FALSE)</f>
        <v>#N/A</v>
      </c>
      <c r="AE107" s="1" t="e">
        <f>VLOOKUP(R107,'Assessment Details'!$O$49:$P$52,2,FALSE)</f>
        <v>#N/A</v>
      </c>
      <c r="AF107" s="1" t="e">
        <f>VLOOKUP(Y107,'Assessment Details'!$O$49:$P$52,2,FALSE)</f>
        <v>#N/A</v>
      </c>
      <c r="AI107" s="64"/>
      <c r="AJ107" s="508"/>
      <c r="AK107" s="487"/>
      <c r="AL107" s="487"/>
      <c r="AM107" s="64"/>
      <c r="AN107" s="64"/>
      <c r="AO107" s="64"/>
      <c r="AP107" s="64"/>
      <c r="AS107" s="20"/>
      <c r="AT107" s="20"/>
      <c r="AU107" s="20"/>
      <c r="AV107" s="20"/>
      <c r="AW107" s="20"/>
      <c r="AX107" s="20"/>
      <c r="AZ107" s="481"/>
    </row>
    <row r="108" spans="1:52" x14ac:dyDescent="0.25">
      <c r="A108" s="1410">
        <v>99</v>
      </c>
      <c r="B108" s="1411" t="s">
        <v>54</v>
      </c>
      <c r="C108" s="109" t="str">
        <f>C106</f>
        <v>Wat 01</v>
      </c>
      <c r="D108" s="628" t="s">
        <v>996</v>
      </c>
      <c r="E108" s="1415" t="str">
        <f>VLOOKUP(D108,Poeng!$B$10:$R$259,Poeng!E$1,FALSE)</f>
        <v>EU taxonomy requirements: criterion 2</v>
      </c>
      <c r="F108" s="107" t="str">
        <f>VLOOKUP(D108,Poeng!$B$10:$AB$259,Poeng!AB$1,FALSE)</f>
        <v>Yes/No</v>
      </c>
      <c r="G108" s="1416" t="str">
        <f>'Assessment Issue Scoring'!E615</f>
        <v>Please select</v>
      </c>
      <c r="H108" s="108" t="str">
        <f>VLOOKUP(D108,Poeng!$B$10:$AE$259,Poeng!AE$1,FALSE)</f>
        <v>-</v>
      </c>
      <c r="I108" s="109" t="str">
        <f>VLOOKUP(D108,Poeng!$B$10:$BE$259,Poeng!BE$1,FALSE)</f>
        <v>N/A</v>
      </c>
      <c r="J108" s="74"/>
      <c r="K108" s="241"/>
      <c r="L108" s="608"/>
      <c r="M108" s="623"/>
      <c r="N108" s="77"/>
      <c r="O108" s="108" t="str">
        <f>VLOOKUP(D108,Poeng!$B$10:$BC$259,Poeng!AF$1,FALSE)</f>
        <v>-</v>
      </c>
      <c r="P108" s="108" t="str">
        <f>VLOOKUP(D108,Poeng!$B$10:$BH$259,Poeng!BH$1,FALSE)</f>
        <v>N/A</v>
      </c>
      <c r="Q108" s="558"/>
      <c r="R108" s="559"/>
      <c r="S108" s="552"/>
      <c r="T108" s="276"/>
      <c r="U108" s="77"/>
      <c r="V108" s="108" t="str">
        <f>VLOOKUP(D108,Poeng!$B$10:$BC$259,Poeng!AG$1,FALSE)</f>
        <v>-</v>
      </c>
      <c r="W108" s="108" t="str">
        <f>VLOOKUP(D108,Poeng!$B$10:$BK$259,Poeng!BK$1,FALSE)</f>
        <v>N/A</v>
      </c>
      <c r="X108" s="75"/>
      <c r="Y108" s="74"/>
      <c r="Z108" s="608"/>
      <c r="AA108" s="117"/>
      <c r="AB108" s="481"/>
      <c r="AC108" s="20">
        <f t="shared" si="11"/>
        <v>1</v>
      </c>
      <c r="AD108" s="1" t="e">
        <f>VLOOKUP(K108,'Assessment Details'!$O$49:$P$52,2,FALSE)</f>
        <v>#N/A</v>
      </c>
      <c r="AE108" s="1" t="e">
        <f>VLOOKUP(R108,'Assessment Details'!$O$49:$P$52,2,FALSE)</f>
        <v>#N/A</v>
      </c>
      <c r="AF108" s="1" t="e">
        <f>VLOOKUP(Y108,'Assessment Details'!$O$49:$P$52,2,FALSE)</f>
        <v>#N/A</v>
      </c>
      <c r="AI108" s="64"/>
      <c r="AJ108" s="508"/>
      <c r="AK108" s="487"/>
      <c r="AL108" s="487"/>
      <c r="AM108" s="64"/>
      <c r="AN108" s="64"/>
      <c r="AO108" s="64"/>
      <c r="AP108" s="64"/>
      <c r="AS108" s="20"/>
      <c r="AT108" s="20"/>
      <c r="AU108" s="20"/>
      <c r="AV108" s="20"/>
      <c r="AW108" s="20"/>
      <c r="AX108" s="20"/>
      <c r="AZ108" s="481"/>
    </row>
    <row r="109" spans="1:52" x14ac:dyDescent="0.25">
      <c r="A109" s="1410">
        <v>100</v>
      </c>
      <c r="B109" s="1411" t="s">
        <v>54</v>
      </c>
      <c r="C109" s="690" t="s">
        <v>164</v>
      </c>
      <c r="D109" s="628" t="s">
        <v>164</v>
      </c>
      <c r="E109" s="662" t="str">
        <f>VLOOKUP(D109,Poeng!$B$10:$R$252,Poeng!E$1,FALSE)</f>
        <v>Wat 02 Water monitoring</v>
      </c>
      <c r="F109" s="667">
        <f>VLOOKUP(D109,Poeng!$B$10:$AB$252,Poeng!AB$1,FALSE)</f>
        <v>1</v>
      </c>
      <c r="G109" s="742"/>
      <c r="H109" s="668" t="str">
        <f>VLOOKUP(D109,Poeng!$B$10:$AI$252,Poeng!AI$1,FALSE)&amp;" c. "&amp;ROUND(VLOOKUP(D109,Poeng!$B$10:$AE$252,Poeng!AE$1,FALSE)*100,1)&amp;" %"</f>
        <v>0 c. 0 %</v>
      </c>
      <c r="I109" s="690" t="str">
        <f>VLOOKUP(D109,Poeng!$B$10:$BE$252,Poeng!BE$1,FALSE)</f>
        <v>N/A</v>
      </c>
      <c r="J109" s="74"/>
      <c r="K109" s="241"/>
      <c r="L109" s="608"/>
      <c r="M109" s="623"/>
      <c r="N109" s="742"/>
      <c r="O109" s="679" t="str">
        <f>VLOOKUP(D109,Poeng!$B$10:$BC$252,Poeng!AJ$1,FALSE)&amp;" c. "&amp;ROUND(VLOOKUP(D109,Poeng!$B$10:$BC$252,Poeng!AF$1,FALSE)*100,1)&amp;" %"</f>
        <v>0 c. 0 %</v>
      </c>
      <c r="P109" s="108" t="str">
        <f>VLOOKUP(D109,Poeng!$B$10:$BH$252,Poeng!BH$1,FALSE)</f>
        <v>N/A</v>
      </c>
      <c r="Q109" s="558"/>
      <c r="R109" s="559"/>
      <c r="S109" s="552"/>
      <c r="T109" s="276"/>
      <c r="U109" s="742"/>
      <c r="V109" s="679" t="str">
        <f>VLOOKUP(D109,Poeng!$B$10:$BC$252,Poeng!AK$1,FALSE)&amp;" c. "&amp;ROUND(VLOOKUP(D109,Poeng!$B$10:$BC$252,Poeng!AG$1,FALSE)*100,1)&amp;" %"</f>
        <v>0 c. 0 %</v>
      </c>
      <c r="W109" s="108" t="str">
        <f>VLOOKUP(D109,Poeng!$B$10:$BK$252,Poeng!BK$1,FALSE)</f>
        <v>N/A</v>
      </c>
      <c r="X109" s="75"/>
      <c r="Y109" s="74"/>
      <c r="Z109" s="552"/>
      <c r="AA109" s="117"/>
      <c r="AB109" s="481" t="s">
        <v>13</v>
      </c>
      <c r="AC109" s="20">
        <f t="shared" si="11"/>
        <v>1</v>
      </c>
      <c r="AD109" s="1" t="e">
        <f>VLOOKUP(K109,'Assessment Details'!$O$49:$P$52,2,FALSE)</f>
        <v>#N/A</v>
      </c>
      <c r="AE109" s="1" t="e">
        <f>VLOOKUP(R109,'Assessment Details'!$O$49:$P$52,2,FALSE)</f>
        <v>#N/A</v>
      </c>
      <c r="AF109" s="1" t="e">
        <f>VLOOKUP(Y109,'Assessment Details'!$O$49:$P$52,2,FALSE)</f>
        <v>#N/A</v>
      </c>
      <c r="AI109" s="64" t="str">
        <f>ais_ja</f>
        <v>Ja</v>
      </c>
      <c r="AJ109" s="508" t="s">
        <v>147</v>
      </c>
      <c r="AK109" s="487" t="s">
        <v>385</v>
      </c>
      <c r="AL109" s="487" t="s">
        <v>389</v>
      </c>
      <c r="AM109" s="487" t="s">
        <v>387</v>
      </c>
      <c r="AN109" s="64"/>
      <c r="AO109" s="64"/>
      <c r="AP109" s="64"/>
      <c r="AR109" s="1" t="s">
        <v>13</v>
      </c>
      <c r="AS109" s="20" t="str">
        <f t="shared" si="12"/>
        <v>N/A</v>
      </c>
      <c r="AT109" s="20" t="str">
        <f t="shared" si="13"/>
        <v>N/A</v>
      </c>
      <c r="AU109" s="20" t="str">
        <f t="shared" si="14"/>
        <v>N/A</v>
      </c>
      <c r="AV109" s="20"/>
      <c r="AW109" s="20"/>
      <c r="AX109" s="20"/>
      <c r="AZ109" s="481"/>
    </row>
    <row r="110" spans="1:52" x14ac:dyDescent="0.25">
      <c r="A110" s="1410">
        <v>101</v>
      </c>
      <c r="B110" s="1411" t="s">
        <v>54</v>
      </c>
      <c r="C110" s="109" t="str">
        <f t="shared" ref="C110" si="16">C109</f>
        <v>Wat 02</v>
      </c>
      <c r="D110" s="628" t="s">
        <v>745</v>
      </c>
      <c r="E110" s="663" t="str">
        <f>VLOOKUP(D110,Poeng!$B$10:$R$252,Poeng!E$1,FALSE)</f>
        <v>Water meter</v>
      </c>
      <c r="F110" s="107">
        <f>VLOOKUP(D110,Poeng!$B$10:$AB$252,Poeng!AB$1,FALSE)</f>
        <v>1</v>
      </c>
      <c r="G110" s="1261">
        <f>'Assessment Issue Scoring'!G648</f>
        <v>0</v>
      </c>
      <c r="H110" s="108">
        <f>VLOOKUP(D110,Poeng!$B$10:$AE$252,Poeng!AE$1,FALSE)</f>
        <v>0</v>
      </c>
      <c r="I110" s="109" t="str">
        <f>VLOOKUP(D110,Poeng!$B$10:$BE$252,Poeng!BE$1,FALSE)</f>
        <v>N/A</v>
      </c>
      <c r="J110" s="74"/>
      <c r="K110" s="241"/>
      <c r="L110" s="608"/>
      <c r="M110" s="623"/>
      <c r="N110" s="77"/>
      <c r="O110" s="108">
        <f>VLOOKUP(D110,Poeng!$B$10:$BC$252,Poeng!AF$1,FALSE)</f>
        <v>0</v>
      </c>
      <c r="P110" s="108" t="str">
        <f>VLOOKUP(D110,Poeng!$B$10:$BH$252,Poeng!BH$1,FALSE)</f>
        <v>N/A</v>
      </c>
      <c r="Q110" s="558"/>
      <c r="R110" s="559"/>
      <c r="S110" s="552"/>
      <c r="T110" s="276"/>
      <c r="U110" s="77"/>
      <c r="V110" s="108">
        <f>VLOOKUP(D110,Poeng!$B$10:$BC$252,Poeng!AG$1,FALSE)</f>
        <v>0</v>
      </c>
      <c r="W110" s="108" t="str">
        <f>VLOOKUP(D110,Poeng!$B$10:$BK$252,Poeng!BK$1,FALSE)</f>
        <v>N/A</v>
      </c>
      <c r="X110" s="75"/>
      <c r="Y110" s="74"/>
      <c r="Z110" s="552"/>
      <c r="AA110" s="117"/>
      <c r="AB110" s="481"/>
      <c r="AC110" s="20">
        <f t="shared" si="11"/>
        <v>1</v>
      </c>
      <c r="AD110" s="1" t="e">
        <f>VLOOKUP(K110,'Assessment Details'!$O$49:$P$52,2,FALSE)</f>
        <v>#N/A</v>
      </c>
      <c r="AE110" s="1" t="e">
        <f>VLOOKUP(R110,'Assessment Details'!$O$49:$P$52,2,FALSE)</f>
        <v>#N/A</v>
      </c>
      <c r="AF110" s="1" t="e">
        <f>VLOOKUP(Y110,'Assessment Details'!$O$49:$P$52,2,FALSE)</f>
        <v>#N/A</v>
      </c>
      <c r="AI110" s="64"/>
      <c r="AJ110" s="508"/>
      <c r="AK110" s="544"/>
      <c r="AL110" s="544"/>
      <c r="AM110" s="544"/>
      <c r="AO110" s="64"/>
      <c r="AP110" s="64"/>
      <c r="AS110" s="20"/>
      <c r="AT110" s="20"/>
      <c r="AU110" s="20"/>
      <c r="AV110" s="20"/>
      <c r="AW110" s="20"/>
      <c r="AX110" s="20"/>
      <c r="AZ110" s="481"/>
    </row>
    <row r="111" spans="1:52" x14ac:dyDescent="0.25">
      <c r="A111" s="1410">
        <v>102</v>
      </c>
      <c r="B111" s="1411" t="s">
        <v>54</v>
      </c>
      <c r="C111" s="690" t="s">
        <v>165</v>
      </c>
      <c r="D111" s="628" t="s">
        <v>165</v>
      </c>
      <c r="E111" s="662" t="str">
        <f>VLOOKUP(D111,Poeng!$B$10:$R$252,Poeng!E$1,FALSE)</f>
        <v>Wat 03 Water leak detection and prevention</v>
      </c>
      <c r="F111" s="667">
        <f>VLOOKUP(D111,Poeng!$B$10:$AB$252,Poeng!AB$1,FALSE)</f>
        <v>2</v>
      </c>
      <c r="G111" s="742"/>
      <c r="H111" s="668" t="str">
        <f>VLOOKUP(D111,Poeng!$B$10:$AI$252,Poeng!AI$1,FALSE)&amp;" c. "&amp;ROUND(VLOOKUP(D111,Poeng!$B$10:$AE$252,Poeng!AE$1,FALSE)*100,1)&amp;" %"</f>
        <v>0 c. 0 %</v>
      </c>
      <c r="I111" s="690" t="str">
        <f>VLOOKUP(D111,Poeng!$B$10:$BE$252,Poeng!BE$1,FALSE)</f>
        <v>N/A</v>
      </c>
      <c r="J111" s="74"/>
      <c r="K111" s="241"/>
      <c r="L111" s="608"/>
      <c r="M111" s="623"/>
      <c r="N111" s="742"/>
      <c r="O111" s="679" t="str">
        <f>VLOOKUP(D111,Poeng!$B$10:$BC$252,Poeng!AJ$1,FALSE)&amp;" c. "&amp;ROUND(VLOOKUP(D111,Poeng!$B$10:$BC$252,Poeng!AF$1,FALSE)*100,1)&amp;" %"</f>
        <v>0 c. 0 %</v>
      </c>
      <c r="P111" s="108" t="str">
        <f>VLOOKUP(D111,Poeng!$B$10:$BH$252,Poeng!BH$1,FALSE)</f>
        <v>N/A</v>
      </c>
      <c r="Q111" s="558"/>
      <c r="R111" s="559"/>
      <c r="S111" s="552"/>
      <c r="T111" s="276"/>
      <c r="U111" s="742"/>
      <c r="V111" s="679" t="str">
        <f>VLOOKUP(D111,Poeng!$B$10:$BC$252,Poeng!AK$1,FALSE)&amp;" c. "&amp;ROUND(VLOOKUP(D111,Poeng!$B$10:$BC$252,Poeng!AG$1,FALSE)*100,1)&amp;" %"</f>
        <v>0 c. 0 %</v>
      </c>
      <c r="W111" s="108" t="str">
        <f>VLOOKUP(D111,Poeng!$B$10:$BK$252,Poeng!BK$1,FALSE)</f>
        <v>N/A</v>
      </c>
      <c r="X111" s="75"/>
      <c r="Y111" s="74"/>
      <c r="Z111" s="552"/>
      <c r="AA111" s="117"/>
      <c r="AB111" s="481" t="s">
        <v>13</v>
      </c>
      <c r="AC111" s="20">
        <f t="shared" si="11"/>
        <v>1</v>
      </c>
      <c r="AD111" s="1" t="e">
        <f>VLOOKUP(K111,'Assessment Details'!$O$49:$P$52,2,FALSE)</f>
        <v>#N/A</v>
      </c>
      <c r="AE111" s="1" t="e">
        <f>VLOOKUP(R111,'Assessment Details'!$O$49:$P$52,2,FALSE)</f>
        <v>#N/A</v>
      </c>
      <c r="AF111" s="1" t="e">
        <f>VLOOKUP(Y111,'Assessment Details'!$O$49:$P$52,2,FALSE)</f>
        <v>#N/A</v>
      </c>
      <c r="AI111" s="64" t="str">
        <f>ais_ja</f>
        <v>Ja</v>
      </c>
      <c r="AJ111" s="508" t="s">
        <v>148</v>
      </c>
      <c r="AK111" s="490" t="s">
        <v>428</v>
      </c>
      <c r="AL111" s="490" t="s">
        <v>427</v>
      </c>
      <c r="AM111" s="490" t="s">
        <v>429</v>
      </c>
      <c r="AN111" s="490" t="s">
        <v>419</v>
      </c>
      <c r="AO111" s="64"/>
      <c r="AP111" s="64"/>
      <c r="AR111" s="1" t="s">
        <v>13</v>
      </c>
      <c r="AS111" s="20" t="str">
        <f t="shared" si="12"/>
        <v>N/A</v>
      </c>
      <c r="AT111" s="20" t="str">
        <f t="shared" si="13"/>
        <v>N/A</v>
      </c>
      <c r="AU111" s="20" t="str">
        <f t="shared" si="14"/>
        <v>N/A</v>
      </c>
      <c r="AV111" s="20" t="str">
        <f t="shared" si="14"/>
        <v>N/A</v>
      </c>
      <c r="AW111" s="20"/>
      <c r="AX111" s="20"/>
      <c r="AZ111" s="481"/>
    </row>
    <row r="112" spans="1:52" x14ac:dyDescent="0.25">
      <c r="A112" s="1410">
        <v>103</v>
      </c>
      <c r="B112" s="1411" t="s">
        <v>54</v>
      </c>
      <c r="C112" s="109" t="str">
        <f t="shared" ref="C112:C114" si="17">C111</f>
        <v>Wat 03</v>
      </c>
      <c r="D112" s="628" t="s">
        <v>746</v>
      </c>
      <c r="E112" s="663" t="str">
        <f>VLOOKUP(D112,Poeng!$B$10:$R$252,Poeng!E$1,FALSE)</f>
        <v>Leak detection system</v>
      </c>
      <c r="F112" s="107">
        <f>VLOOKUP(D112,Poeng!$B$10:$AB$252,Poeng!AB$1,FALSE)</f>
        <v>1</v>
      </c>
      <c r="G112" s="1166">
        <f>'Assessment Issue Scoring'!G671</f>
        <v>0</v>
      </c>
      <c r="H112" s="108">
        <f>VLOOKUP(D112,Poeng!$B$10:$AE$252,Poeng!AE$1,FALSE)</f>
        <v>0</v>
      </c>
      <c r="I112" s="109" t="str">
        <f>VLOOKUP(D112,Poeng!$B$10:$BE$252,Poeng!BE$1,FALSE)</f>
        <v>N/A</v>
      </c>
      <c r="J112" s="74"/>
      <c r="K112" s="241"/>
      <c r="L112" s="608"/>
      <c r="M112" s="623"/>
      <c r="N112" s="77"/>
      <c r="O112" s="108">
        <f>VLOOKUP(D112,Poeng!$B$10:$BC$252,Poeng!AF$1,FALSE)</f>
        <v>0</v>
      </c>
      <c r="P112" s="108" t="str">
        <f>VLOOKUP(D112,Poeng!$B$10:$BH$252,Poeng!BH$1,FALSE)</f>
        <v>N/A</v>
      </c>
      <c r="Q112" s="558"/>
      <c r="R112" s="559"/>
      <c r="S112" s="552"/>
      <c r="T112" s="276"/>
      <c r="U112" s="77"/>
      <c r="V112" s="108">
        <f>VLOOKUP(D112,Poeng!$B$10:$BC$252,Poeng!AG$1,FALSE)</f>
        <v>0</v>
      </c>
      <c r="W112" s="108" t="str">
        <f>VLOOKUP(D112,Poeng!$B$10:$BK$252,Poeng!BK$1,FALSE)</f>
        <v>N/A</v>
      </c>
      <c r="X112" s="75"/>
      <c r="Y112" s="74"/>
      <c r="Z112" s="552"/>
      <c r="AA112" s="117"/>
      <c r="AB112" s="481"/>
      <c r="AC112" s="20">
        <f t="shared" si="11"/>
        <v>1</v>
      </c>
      <c r="AD112" s="1" t="e">
        <f>VLOOKUP(K112,'Assessment Details'!$O$49:$P$52,2,FALSE)</f>
        <v>#N/A</v>
      </c>
      <c r="AE112" s="1" t="e">
        <f>VLOOKUP(R112,'Assessment Details'!$O$49:$P$52,2,FALSE)</f>
        <v>#N/A</v>
      </c>
      <c r="AF112" s="1" t="e">
        <f>VLOOKUP(Y112,'Assessment Details'!$O$49:$P$52,2,FALSE)</f>
        <v>#N/A</v>
      </c>
      <c r="AI112" s="64"/>
      <c r="AJ112" s="508"/>
      <c r="AK112" s="490"/>
      <c r="AL112" s="490"/>
      <c r="AM112" s="490"/>
      <c r="AN112" s="490"/>
      <c r="AO112" s="64"/>
      <c r="AP112" s="64"/>
      <c r="AS112" s="20"/>
      <c r="AT112" s="20"/>
      <c r="AU112" s="20"/>
      <c r="AV112" s="20"/>
      <c r="AW112" s="20"/>
      <c r="AX112" s="20"/>
      <c r="AZ112" s="481"/>
    </row>
    <row r="113" spans="1:52" x14ac:dyDescent="0.25">
      <c r="A113" s="1410">
        <v>104</v>
      </c>
      <c r="B113" s="1411" t="s">
        <v>54</v>
      </c>
      <c r="C113" s="109" t="str">
        <f t="shared" si="17"/>
        <v>Wat 03</v>
      </c>
      <c r="D113" s="628" t="s">
        <v>747</v>
      </c>
      <c r="E113" s="663" t="str">
        <f>VLOOKUP(D113,Poeng!$B$10:$R$252,Poeng!E$1,FALSE)</f>
        <v>Flow control devices</v>
      </c>
      <c r="F113" s="107">
        <f>VLOOKUP(D113,Poeng!$B$10:$AB$252,Poeng!AB$1,FALSE)</f>
        <v>1</v>
      </c>
      <c r="G113" s="1166">
        <f>'Assessment Issue Scoring'!G672</f>
        <v>0</v>
      </c>
      <c r="H113" s="108">
        <f>VLOOKUP(D113,Poeng!$B$10:$AE$252,Poeng!AE$1,FALSE)</f>
        <v>0</v>
      </c>
      <c r="I113" s="109" t="str">
        <f>VLOOKUP(D113,Poeng!$B$10:$BE$252,Poeng!BE$1,FALSE)</f>
        <v>N/A</v>
      </c>
      <c r="J113" s="74"/>
      <c r="K113" s="241"/>
      <c r="L113" s="608"/>
      <c r="M113" s="623"/>
      <c r="N113" s="77"/>
      <c r="O113" s="108">
        <f>VLOOKUP(D113,Poeng!$B$10:$BC$252,Poeng!AF$1,FALSE)</f>
        <v>0</v>
      </c>
      <c r="P113" s="108" t="str">
        <f>VLOOKUP(D113,Poeng!$B$10:$BH$252,Poeng!BH$1,FALSE)</f>
        <v>N/A</v>
      </c>
      <c r="Q113" s="558"/>
      <c r="R113" s="559"/>
      <c r="S113" s="552"/>
      <c r="T113" s="276"/>
      <c r="U113" s="77"/>
      <c r="V113" s="108">
        <f>VLOOKUP(D113,Poeng!$B$10:$BC$252,Poeng!AG$1,FALSE)</f>
        <v>0</v>
      </c>
      <c r="W113" s="108" t="str">
        <f>VLOOKUP(D113,Poeng!$B$10:$BK$252,Poeng!BK$1,FALSE)</f>
        <v>N/A</v>
      </c>
      <c r="X113" s="75"/>
      <c r="Y113" s="74"/>
      <c r="Z113" s="552"/>
      <c r="AA113" s="117"/>
      <c r="AB113" s="481"/>
      <c r="AC113" s="20">
        <f t="shared" si="11"/>
        <v>1</v>
      </c>
      <c r="AD113" s="1" t="e">
        <f>VLOOKUP(K113,'Assessment Details'!$O$49:$P$52,2,FALSE)</f>
        <v>#N/A</v>
      </c>
      <c r="AE113" s="1" t="e">
        <f>VLOOKUP(R113,'Assessment Details'!$O$49:$P$52,2,FALSE)</f>
        <v>#N/A</v>
      </c>
      <c r="AF113" s="1" t="e">
        <f>VLOOKUP(Y113,'Assessment Details'!$O$49:$P$52,2,FALSE)</f>
        <v>#N/A</v>
      </c>
      <c r="AI113" s="64"/>
      <c r="AJ113" s="508"/>
      <c r="AK113" s="490"/>
      <c r="AL113" s="490"/>
      <c r="AM113" s="490"/>
      <c r="AN113" s="490"/>
      <c r="AO113" s="64"/>
      <c r="AP113" s="64"/>
      <c r="AS113" s="20"/>
      <c r="AT113" s="20"/>
      <c r="AU113" s="20"/>
      <c r="AV113" s="20"/>
      <c r="AW113" s="20"/>
      <c r="AX113" s="20"/>
      <c r="AZ113" s="481"/>
    </row>
    <row r="114" spans="1:52" x14ac:dyDescent="0.25">
      <c r="A114" s="1410">
        <v>105</v>
      </c>
      <c r="B114" s="1411" t="s">
        <v>54</v>
      </c>
      <c r="C114" s="109" t="str">
        <f t="shared" si="17"/>
        <v>Wat 03</v>
      </c>
      <c r="D114" s="628" t="s">
        <v>748</v>
      </c>
      <c r="E114" s="663" t="str">
        <f>VLOOKUP(D114,Poeng!$B$10:$R$252,Poeng!E$1,FALSE)</f>
        <v>Leak isolation</v>
      </c>
      <c r="F114" s="107">
        <f>VLOOKUP(D114,Poeng!$B$10:$AB$252,Poeng!AB$1,FALSE)</f>
        <v>0</v>
      </c>
      <c r="G114" s="1261">
        <f>'Assessment Issue Scoring'!G673</f>
        <v>0</v>
      </c>
      <c r="H114" s="108">
        <f>VLOOKUP(D114,Poeng!$B$10:$AE$252,Poeng!AE$1,FALSE)</f>
        <v>0</v>
      </c>
      <c r="I114" s="109" t="str">
        <f>VLOOKUP(D114,Poeng!$B$10:$BE$252,Poeng!BE$1,FALSE)</f>
        <v>N/A</v>
      </c>
      <c r="J114" s="74"/>
      <c r="K114" s="241"/>
      <c r="L114" s="608"/>
      <c r="M114" s="623"/>
      <c r="N114" s="77"/>
      <c r="O114" s="108">
        <f>VLOOKUP(D114,Poeng!$B$10:$BC$252,Poeng!AF$1,FALSE)</f>
        <v>0</v>
      </c>
      <c r="P114" s="108" t="str">
        <f>VLOOKUP(D114,Poeng!$B$10:$BH$252,Poeng!BH$1,FALSE)</f>
        <v>N/A</v>
      </c>
      <c r="Q114" s="558"/>
      <c r="R114" s="559"/>
      <c r="S114" s="552"/>
      <c r="T114" s="276"/>
      <c r="U114" s="77"/>
      <c r="V114" s="108">
        <f>VLOOKUP(D114,Poeng!$B$10:$BC$252,Poeng!AG$1,FALSE)</f>
        <v>0</v>
      </c>
      <c r="W114" s="108" t="str">
        <f>VLOOKUP(D114,Poeng!$B$10:$BK$252,Poeng!BK$1,FALSE)</f>
        <v>N/A</v>
      </c>
      <c r="X114" s="75"/>
      <c r="Y114" s="74"/>
      <c r="Z114" s="608"/>
      <c r="AA114" s="117"/>
      <c r="AB114" s="481"/>
      <c r="AC114" s="20">
        <f t="shared" si="11"/>
        <v>2</v>
      </c>
      <c r="AD114" s="1" t="e">
        <f>VLOOKUP(K114,'Assessment Details'!$O$49:$P$52,2,FALSE)</f>
        <v>#N/A</v>
      </c>
      <c r="AE114" s="1" t="e">
        <f>VLOOKUP(R114,'Assessment Details'!$O$49:$P$52,2,FALSE)</f>
        <v>#N/A</v>
      </c>
      <c r="AF114" s="1" t="e">
        <f>VLOOKUP(Y114,'Assessment Details'!$O$49:$P$52,2,FALSE)</f>
        <v>#N/A</v>
      </c>
      <c r="AI114" s="64"/>
      <c r="AJ114" s="508"/>
      <c r="AK114" s="490"/>
      <c r="AL114" s="490"/>
      <c r="AM114" s="490"/>
      <c r="AN114" s="490"/>
      <c r="AO114" s="64"/>
      <c r="AP114" s="64"/>
      <c r="AS114" s="20"/>
      <c r="AT114" s="20"/>
      <c r="AU114" s="20"/>
      <c r="AV114" s="20"/>
      <c r="AW114" s="20"/>
      <c r="AX114" s="20"/>
      <c r="AZ114" s="481"/>
    </row>
    <row r="115" spans="1:52" x14ac:dyDescent="0.25">
      <c r="A115" s="1410">
        <v>106</v>
      </c>
      <c r="B115" s="1411" t="s">
        <v>54</v>
      </c>
      <c r="C115" s="690" t="s">
        <v>166</v>
      </c>
      <c r="D115" s="628" t="s">
        <v>166</v>
      </c>
      <c r="E115" s="662" t="str">
        <f>VLOOKUP(D115,Poeng!$B$10:$R$252,Poeng!E$1,FALSE)</f>
        <v>Wat 04 Water efficient equipment</v>
      </c>
      <c r="F115" s="667">
        <f>VLOOKUP(D115,Poeng!$B$10:$AB$252,Poeng!AB$1,FALSE)</f>
        <v>1</v>
      </c>
      <c r="G115" s="742"/>
      <c r="H115" s="668" t="str">
        <f>VLOOKUP(D115,Poeng!$B$10:$AI$252,Poeng!AI$1,FALSE)&amp;" c. "&amp;ROUND(VLOOKUP(D115,Poeng!$B$10:$AE$252,Poeng!AE$1,FALSE)*100,1)&amp;" %"</f>
        <v>0 c. 0 %</v>
      </c>
      <c r="I115" s="690" t="str">
        <f>VLOOKUP(D115,Poeng!$B$10:$BE$252,Poeng!BE$1,FALSE)</f>
        <v>N/A</v>
      </c>
      <c r="J115" s="74"/>
      <c r="K115" s="241"/>
      <c r="L115" s="608"/>
      <c r="M115" s="623"/>
      <c r="N115" s="742"/>
      <c r="O115" s="679" t="str">
        <f>VLOOKUP(D115,Poeng!$B$10:$BC$252,Poeng!AJ$1,FALSE)&amp;" c. "&amp;ROUND(VLOOKUP(D115,Poeng!$B$10:$BC$252,Poeng!AF$1,FALSE)*100,1)&amp;" %"</f>
        <v>0 c. 0 %</v>
      </c>
      <c r="P115" s="108" t="str">
        <f>VLOOKUP(D115,Poeng!$B$10:$BH$252,Poeng!BH$1,FALSE)</f>
        <v>N/A</v>
      </c>
      <c r="Q115" s="558"/>
      <c r="R115" s="559"/>
      <c r="S115" s="552"/>
      <c r="T115" s="276"/>
      <c r="U115" s="742"/>
      <c r="V115" s="679" t="str">
        <f>VLOOKUP(D115,Poeng!$B$10:$BC$252,Poeng!AK$1,FALSE)&amp;" c. "&amp;ROUND(VLOOKUP(D115,Poeng!$B$10:$BC$252,Poeng!AG$1,FALSE)*100,1)&amp;" %"</f>
        <v>0 c. 0 %</v>
      </c>
      <c r="W115" s="108" t="str">
        <f>VLOOKUP(D115,Poeng!$B$10:$BK$252,Poeng!BK$1,FALSE)</f>
        <v>N/A</v>
      </c>
      <c r="X115" s="75"/>
      <c r="Y115" s="74"/>
      <c r="Z115" s="552"/>
      <c r="AA115" s="117"/>
      <c r="AB115" s="481" t="s">
        <v>14</v>
      </c>
      <c r="AC115" s="20">
        <f t="shared" si="11"/>
        <v>1</v>
      </c>
      <c r="AD115" s="1" t="e">
        <f>VLOOKUP(K115,'Assessment Details'!$O$49:$P$52,2,FALSE)</f>
        <v>#N/A</v>
      </c>
      <c r="AE115" s="1" t="e">
        <f>VLOOKUP(R115,'Assessment Details'!$O$49:$P$52,2,FALSE)</f>
        <v>#N/A</v>
      </c>
      <c r="AF115" s="1" t="e">
        <f>VLOOKUP(Y115,'Assessment Details'!$O$49:$P$52,2,FALSE)</f>
        <v>#N/A</v>
      </c>
      <c r="AI115" s="64"/>
      <c r="AJ115" s="508" t="s">
        <v>149</v>
      </c>
      <c r="AK115" s="64"/>
      <c r="AL115" s="64"/>
      <c r="AM115" s="64"/>
      <c r="AN115" s="64"/>
      <c r="AO115" s="64"/>
      <c r="AP115" s="64"/>
      <c r="AS115" s="20" t="str">
        <f t="shared" si="12"/>
        <v>N/A</v>
      </c>
      <c r="AT115" s="20" t="str">
        <f t="shared" si="13"/>
        <v>N/A</v>
      </c>
      <c r="AU115" s="20" t="str">
        <f t="shared" si="14"/>
        <v>N/A</v>
      </c>
      <c r="AV115" s="20"/>
      <c r="AW115" s="20"/>
      <c r="AX115" s="20"/>
      <c r="AZ115" s="481"/>
    </row>
    <row r="116" spans="1:52" x14ac:dyDescent="0.25">
      <c r="A116" s="1410">
        <v>107</v>
      </c>
      <c r="B116" s="1411" t="s">
        <v>54</v>
      </c>
      <c r="C116" s="109" t="str">
        <f t="shared" ref="C116:C210" si="18">C115</f>
        <v>Wat 04</v>
      </c>
      <c r="D116" s="628" t="s">
        <v>749</v>
      </c>
      <c r="E116" s="663" t="str">
        <f>VLOOKUP(D116,Poeng!$B$10:$R$252,Poeng!E$1,FALSE)</f>
        <v>Water efficient equipment</v>
      </c>
      <c r="F116" s="107">
        <f>VLOOKUP(D116,Poeng!$B$10:$AB$252,Poeng!AB$1,FALSE)</f>
        <v>1</v>
      </c>
      <c r="G116" s="1166">
        <f>'Assessment Issue Scoring'!G693</f>
        <v>0</v>
      </c>
      <c r="H116" s="108">
        <f>VLOOKUP(D116,Poeng!$B$10:$AE$252,Poeng!AE$1,FALSE)</f>
        <v>0</v>
      </c>
      <c r="I116" s="109" t="str">
        <f>VLOOKUP(D116,Poeng!$B$10:$BE$252,Poeng!BE$1,FALSE)</f>
        <v>N/A</v>
      </c>
      <c r="J116" s="74"/>
      <c r="K116" s="241"/>
      <c r="L116" s="608"/>
      <c r="M116" s="623"/>
      <c r="N116" s="77"/>
      <c r="O116" s="108">
        <f>VLOOKUP(D116,Poeng!$B$10:$BC$252,Poeng!AF$1,FALSE)</f>
        <v>0</v>
      </c>
      <c r="P116" s="108" t="str">
        <f>VLOOKUP(D116,Poeng!$B$10:$BH$252,Poeng!BH$1,FALSE)</f>
        <v>N/A</v>
      </c>
      <c r="Q116" s="558"/>
      <c r="R116" s="559"/>
      <c r="S116" s="552"/>
      <c r="T116" s="276"/>
      <c r="U116" s="77"/>
      <c r="V116" s="108">
        <f>VLOOKUP(D116,Poeng!$B$10:$BC$252,Poeng!AG$1,FALSE)</f>
        <v>0</v>
      </c>
      <c r="W116" s="108" t="str">
        <f>VLOOKUP(D116,Poeng!$B$10:$BK$252,Poeng!BK$1,FALSE)</f>
        <v>N/A</v>
      </c>
      <c r="X116" s="75"/>
      <c r="Y116" s="74"/>
      <c r="Z116" s="552"/>
      <c r="AA116" s="117"/>
      <c r="AB116" s="534"/>
      <c r="AC116" s="20">
        <f t="shared" si="11"/>
        <v>1</v>
      </c>
      <c r="AD116" s="1" t="e">
        <f>VLOOKUP(K116,'Assessment Details'!$O$49:$P$52,2,FALSE)</f>
        <v>#N/A</v>
      </c>
      <c r="AE116" s="1" t="e">
        <f>VLOOKUP(R116,'Assessment Details'!$O$49:$P$52,2,FALSE)</f>
        <v>#N/A</v>
      </c>
      <c r="AF116" s="1" t="e">
        <f>VLOOKUP(Y116,'Assessment Details'!$O$49:$P$52,2,FALSE)</f>
        <v>#N/A</v>
      </c>
      <c r="AI116" s="64"/>
      <c r="AJ116" s="508"/>
      <c r="AK116" s="64"/>
      <c r="AL116" s="64"/>
      <c r="AM116" s="64"/>
      <c r="AN116" s="64"/>
      <c r="AO116" s="64"/>
      <c r="AP116" s="64"/>
      <c r="AS116" s="20"/>
      <c r="AT116" s="20"/>
      <c r="AU116" s="20"/>
      <c r="AV116" s="20"/>
      <c r="AW116" s="20"/>
      <c r="AX116" s="20"/>
      <c r="AZ116" s="534"/>
    </row>
    <row r="117" spans="1:52" ht="15.75" thickBot="1" x14ac:dyDescent="0.3">
      <c r="A117" s="1410">
        <v>108</v>
      </c>
      <c r="B117" s="1411" t="s">
        <v>54</v>
      </c>
      <c r="C117" s="805"/>
      <c r="D117" s="628" t="s">
        <v>864</v>
      </c>
      <c r="E117" s="277" t="s">
        <v>101</v>
      </c>
      <c r="F117" s="110">
        <f>Wat_Credits</f>
        <v>9</v>
      </c>
      <c r="G117" s="115"/>
      <c r="H117" s="111">
        <f>Wat_cont_tot</f>
        <v>0</v>
      </c>
      <c r="I117" s="669" t="str">
        <f>"Credits achieved: "&amp;Wat_tot_user</f>
        <v>Credits achieved: 0</v>
      </c>
      <c r="J117" s="118"/>
      <c r="K117" s="242"/>
      <c r="L117" s="560"/>
      <c r="M117" s="623"/>
      <c r="N117" s="320"/>
      <c r="O117" s="111">
        <f>VLOOKUP(D117,Poeng!$B$10:$BC$252,Poeng!AF$1,FALSE)</f>
        <v>0</v>
      </c>
      <c r="P117" s="669" t="str">
        <f>"Credits achieved: "&amp;Wat_d_user</f>
        <v>Credits achieved: 0</v>
      </c>
      <c r="Q117" s="561"/>
      <c r="R117" s="562"/>
      <c r="S117" s="560"/>
      <c r="T117" s="276"/>
      <c r="U117" s="320"/>
      <c r="V117" s="111">
        <f>VLOOKUP(D117,Poeng!$B$10:$BC$252,Poeng!AG$1,FALSE)</f>
        <v>0</v>
      </c>
      <c r="W117" s="669" t="str">
        <f>"Credits achieved: "&amp;Wat_c_user</f>
        <v>Credits achieved: 0</v>
      </c>
      <c r="X117" s="319"/>
      <c r="Y117" s="120"/>
      <c r="Z117" s="560"/>
      <c r="AA117" s="117"/>
      <c r="AB117" s="482"/>
      <c r="AC117" s="20">
        <f t="shared" si="11"/>
        <v>1</v>
      </c>
      <c r="AD117" s="238">
        <v>0</v>
      </c>
      <c r="AE117" s="238">
        <v>0</v>
      </c>
      <c r="AF117" s="238">
        <v>0</v>
      </c>
      <c r="AI117" s="64"/>
      <c r="AJ117" s="508" t="s">
        <v>101</v>
      </c>
      <c r="AK117" s="64"/>
      <c r="AL117" s="64"/>
      <c r="AM117" s="64"/>
      <c r="AN117" s="64"/>
      <c r="AO117" s="64"/>
      <c r="AP117" s="64"/>
      <c r="AS117" s="20" t="str">
        <f t="shared" si="12"/>
        <v>N/A</v>
      </c>
      <c r="AT117" s="20" t="str">
        <f t="shared" si="13"/>
        <v>N/A</v>
      </c>
      <c r="AU117" s="20" t="str">
        <f t="shared" si="14"/>
        <v>N/A</v>
      </c>
      <c r="AV117" s="20"/>
      <c r="AW117" s="20"/>
      <c r="AX117" s="20"/>
      <c r="AZ117" s="482"/>
    </row>
    <row r="118" spans="1:52" x14ac:dyDescent="0.25">
      <c r="A118" s="1410">
        <v>109</v>
      </c>
      <c r="B118" s="1411" t="s">
        <v>54</v>
      </c>
      <c r="C118" s="279"/>
      <c r="D118" s="628"/>
      <c r="E118" s="278"/>
      <c r="F118" s="279"/>
      <c r="G118" s="280"/>
      <c r="H118" s="279"/>
      <c r="I118" s="279"/>
      <c r="J118" s="281"/>
      <c r="K118" s="280"/>
      <c r="L118" s="563"/>
      <c r="M118" s="623"/>
      <c r="N118" s="282"/>
      <c r="O118" s="282"/>
      <c r="P118" s="563"/>
      <c r="Q118" s="563"/>
      <c r="R118" s="564"/>
      <c r="S118" s="563"/>
      <c r="T118" s="276"/>
      <c r="U118" s="282"/>
      <c r="V118" s="282"/>
      <c r="W118" s="563"/>
      <c r="X118" s="281"/>
      <c r="Y118" s="282"/>
      <c r="Z118" s="563"/>
      <c r="AA118" s="117"/>
      <c r="AB118" s="281"/>
      <c r="AC118" s="20">
        <f t="shared" si="11"/>
        <v>1</v>
      </c>
      <c r="AD118" s="239">
        <v>0</v>
      </c>
      <c r="AE118" s="239">
        <v>0</v>
      </c>
      <c r="AF118" s="239">
        <v>0</v>
      </c>
      <c r="AI118" s="64"/>
      <c r="AJ118" s="508"/>
      <c r="AK118" s="64"/>
      <c r="AL118" s="64"/>
      <c r="AM118" s="64"/>
      <c r="AN118" s="64"/>
      <c r="AO118" s="64"/>
      <c r="AP118" s="64"/>
      <c r="AS118" s="20" t="str">
        <f t="shared" si="12"/>
        <v>N/A</v>
      </c>
      <c r="AT118" s="20" t="str">
        <f t="shared" si="13"/>
        <v>N/A</v>
      </c>
      <c r="AU118" s="20" t="str">
        <f t="shared" si="14"/>
        <v>N/A</v>
      </c>
      <c r="AV118" s="20"/>
      <c r="AW118" s="20"/>
      <c r="AX118" s="20"/>
      <c r="AZ118" s="281"/>
    </row>
    <row r="119" spans="1:52" ht="18.75" x14ac:dyDescent="0.25">
      <c r="A119" s="1410">
        <v>110</v>
      </c>
      <c r="B119" s="1412" t="s">
        <v>63</v>
      </c>
      <c r="C119" s="806"/>
      <c r="D119" s="628"/>
      <c r="E119" s="283" t="s">
        <v>50</v>
      </c>
      <c r="F119" s="272"/>
      <c r="G119" s="273"/>
      <c r="H119" s="292"/>
      <c r="I119" s="272"/>
      <c r="J119" s="284"/>
      <c r="K119" s="285"/>
      <c r="L119" s="566"/>
      <c r="M119" s="623"/>
      <c r="N119" s="295"/>
      <c r="O119" s="288"/>
      <c r="P119" s="556"/>
      <c r="Q119" s="567"/>
      <c r="R119" s="568"/>
      <c r="S119" s="569"/>
      <c r="T119" s="276"/>
      <c r="U119" s="295"/>
      <c r="V119" s="294"/>
      <c r="W119" s="556"/>
      <c r="X119" s="284"/>
      <c r="Y119" s="294"/>
      <c r="Z119" s="566"/>
      <c r="AA119" s="117"/>
      <c r="AB119" s="293"/>
      <c r="AC119" s="20">
        <f t="shared" si="11"/>
        <v>1</v>
      </c>
      <c r="AD119" s="237">
        <v>0</v>
      </c>
      <c r="AE119" s="237">
        <v>0</v>
      </c>
      <c r="AF119" s="237">
        <v>0</v>
      </c>
      <c r="AI119" s="64"/>
      <c r="AJ119" s="508" t="s">
        <v>50</v>
      </c>
      <c r="AK119" s="64"/>
      <c r="AL119" s="64"/>
      <c r="AM119" s="64"/>
      <c r="AN119" s="64"/>
      <c r="AO119" s="64"/>
      <c r="AP119" s="64"/>
      <c r="AS119" s="20" t="str">
        <f t="shared" si="12"/>
        <v>N/A</v>
      </c>
      <c r="AT119" s="20" t="str">
        <f t="shared" si="13"/>
        <v>N/A</v>
      </c>
      <c r="AU119" s="20" t="str">
        <f t="shared" si="14"/>
        <v>N/A</v>
      </c>
      <c r="AV119" s="20"/>
      <c r="AW119" s="20"/>
      <c r="AX119" s="20"/>
      <c r="AZ119" s="293"/>
    </row>
    <row r="120" spans="1:52" ht="30" x14ac:dyDescent="0.25">
      <c r="A120" s="1410">
        <v>111</v>
      </c>
      <c r="B120" s="1412" t="s">
        <v>63</v>
      </c>
      <c r="C120" s="810" t="s">
        <v>167</v>
      </c>
      <c r="D120" s="628" t="s">
        <v>167</v>
      </c>
      <c r="E120" s="732" t="str">
        <f>VLOOKUP(D120,Poeng!$B$10:$R$252,Poeng!E$1,FALSE)</f>
        <v>Mat 01 Environmental impacts from construction products - Building life cycle assessment (LCA)</v>
      </c>
      <c r="F120" s="667">
        <f>VLOOKUP(D120,Poeng!$B$10:$AB$252,Poeng!AB$1,FALSE)</f>
        <v>5</v>
      </c>
      <c r="G120" s="741"/>
      <c r="H120" s="668" t="str">
        <f>VLOOKUP(D120,Poeng!$B$10:$AI$252,Poeng!AI$1,FALSE)&amp;" c. "&amp;ROUND(VLOOKUP(D120,Poeng!$B$10:$AE$252,Poeng!AE$1,FALSE)*100,1)&amp;" %"</f>
        <v>0 c. 0 %</v>
      </c>
      <c r="I120" s="689" t="str">
        <f>VLOOKUP(D120,Poeng!$B$10:$BE$252,Poeng!BE$1,FALSE)</f>
        <v>N/A</v>
      </c>
      <c r="J120" s="676"/>
      <c r="K120" s="677"/>
      <c r="L120" s="678"/>
      <c r="M120" s="623"/>
      <c r="N120" s="742"/>
      <c r="O120" s="815" t="str">
        <f>VLOOKUP(D120,Poeng!$B$10:$BC$252,Poeng!AJ$1,FALSE)&amp;" c. "&amp;ROUND(VLOOKUP(D120,Poeng!$B$10:$BC$252,Poeng!AF$1,FALSE)*100,1)&amp;" %"</f>
        <v>0 c. 0 %</v>
      </c>
      <c r="P120" s="108" t="str">
        <f>VLOOKUP(D120,Poeng!$B$10:$BH$252,Poeng!BH$1,FALSE)</f>
        <v>N/A</v>
      </c>
      <c r="Q120" s="558"/>
      <c r="R120" s="559"/>
      <c r="S120" s="552"/>
      <c r="T120" s="276"/>
      <c r="U120" s="742"/>
      <c r="V120" s="679" t="str">
        <f>VLOOKUP(D120,Poeng!$B$10:$BC$252,Poeng!AK$1,FALSE)&amp;" c. "&amp;ROUND(VLOOKUP(D120,Poeng!$B$10:$BC$252,Poeng!AG$1,FALSE)*100,1)&amp;" %"</f>
        <v>0 c. 0 %</v>
      </c>
      <c r="W120" s="108" t="str">
        <f>VLOOKUP(D120,Poeng!$B$10:$BK$252,Poeng!BK$1,FALSE)</f>
        <v>N/A</v>
      </c>
      <c r="X120" s="75"/>
      <c r="Y120" s="74"/>
      <c r="Z120" s="552"/>
      <c r="AA120" s="117"/>
      <c r="AB120" s="481" t="s">
        <v>14</v>
      </c>
      <c r="AC120" s="20">
        <f t="shared" si="11"/>
        <v>1</v>
      </c>
      <c r="AD120" s="1" t="e">
        <f>VLOOKUP(K120,'Assessment Details'!$O$49:$P$52,2,FALSE)</f>
        <v>#N/A</v>
      </c>
      <c r="AE120" s="1" t="e">
        <f>VLOOKUP(R120,'Assessment Details'!$O$49:$P$52,2,FALSE)</f>
        <v>#N/A</v>
      </c>
      <c r="AF120" s="1" t="e">
        <f>VLOOKUP(Y120,'Assessment Details'!$O$49:$P$52,2,FALSE)</f>
        <v>#N/A</v>
      </c>
      <c r="AI120" s="64"/>
      <c r="AJ120" s="508" t="s">
        <v>150</v>
      </c>
      <c r="AK120" s="64"/>
      <c r="AL120" s="64"/>
      <c r="AM120" s="64"/>
      <c r="AN120" s="64"/>
      <c r="AO120" s="64"/>
      <c r="AP120" s="64"/>
      <c r="AS120" s="20" t="str">
        <f t="shared" si="12"/>
        <v>N/A</v>
      </c>
      <c r="AT120" s="20" t="str">
        <f t="shared" si="13"/>
        <v>N/A</v>
      </c>
      <c r="AU120" s="20" t="str">
        <f t="shared" si="14"/>
        <v>N/A</v>
      </c>
      <c r="AV120" s="20"/>
      <c r="AW120" s="20"/>
      <c r="AX120" s="20"/>
      <c r="AZ120" s="481"/>
    </row>
    <row r="121" spans="1:52" x14ac:dyDescent="0.25">
      <c r="A121" s="1410">
        <v>112</v>
      </c>
      <c r="B121" s="1412" t="s">
        <v>63</v>
      </c>
      <c r="C121" s="109" t="str">
        <f t="shared" si="18"/>
        <v>Mat 01</v>
      </c>
      <c r="D121" s="628" t="s">
        <v>750</v>
      </c>
      <c r="E121" s="663" t="str">
        <f>VLOOKUP(D121,Poeng!$B$10:$R$252,Poeng!E$1,FALSE)</f>
        <v>Pre-requisite: early stage greenhouse gas calculation</v>
      </c>
      <c r="F121" s="107" t="str">
        <f>VLOOKUP(D121,Poeng!$B$10:$AB$252,Poeng!AB$1,FALSE)</f>
        <v>Yes/No</v>
      </c>
      <c r="G121" s="1261" t="str">
        <f>'Assessment Issue Scoring'!E715</f>
        <v>Please select</v>
      </c>
      <c r="H121" s="108" t="str">
        <f>VLOOKUP(D121,Poeng!$B$10:$AE$252,Poeng!AE$1,FALSE)</f>
        <v>-</v>
      </c>
      <c r="I121" s="109" t="str">
        <f>VLOOKUP(D121,Poeng!$B$10:$BE$252,Poeng!BE$1,FALSE)</f>
        <v>Unclassified</v>
      </c>
      <c r="J121" s="74"/>
      <c r="K121" s="241"/>
      <c r="L121" s="608"/>
      <c r="M121" s="623"/>
      <c r="N121" s="77"/>
      <c r="O121" s="108" t="str">
        <f>VLOOKUP(D121,Poeng!$B$10:$BC$252,Poeng!AF$1,FALSE)</f>
        <v>-</v>
      </c>
      <c r="P121" s="108" t="str">
        <f>VLOOKUP(D121,Poeng!$B$10:$BH$252,Poeng!BH$1,FALSE)</f>
        <v>Unclassified</v>
      </c>
      <c r="Q121" s="558"/>
      <c r="R121" s="559"/>
      <c r="S121" s="552"/>
      <c r="T121" s="276"/>
      <c r="U121" s="77"/>
      <c r="V121" s="108" t="str">
        <f>VLOOKUP(D121,Poeng!$B$10:$BC$252,Poeng!AG$1,FALSE)</f>
        <v>-</v>
      </c>
      <c r="W121" s="108" t="str">
        <f>VLOOKUP(D121,Poeng!$B$10:$BK$252,Poeng!BK$1,FALSE)</f>
        <v>Unclassified</v>
      </c>
      <c r="X121" s="75"/>
      <c r="Y121" s="74"/>
      <c r="Z121" s="552"/>
      <c r="AA121" s="117"/>
      <c r="AB121" s="666"/>
      <c r="AC121" s="20">
        <f t="shared" si="11"/>
        <v>1</v>
      </c>
      <c r="AD121" s="1" t="e">
        <f>VLOOKUP(K121,'Assessment Details'!$O$49:$P$52,2,FALSE)</f>
        <v>#N/A</v>
      </c>
      <c r="AE121" s="1" t="e">
        <f>VLOOKUP(R121,'Assessment Details'!$O$49:$P$52,2,FALSE)</f>
        <v>#N/A</v>
      </c>
      <c r="AF121" s="1" t="e">
        <f>VLOOKUP(Y121,'Assessment Details'!$O$49:$P$52,2,FALSE)</f>
        <v>#N/A</v>
      </c>
      <c r="AS121" s="20"/>
      <c r="AT121" s="20"/>
      <c r="AU121" s="20"/>
      <c r="AV121" s="20"/>
      <c r="AW121" s="20"/>
      <c r="AX121" s="20"/>
      <c r="AZ121" s="666"/>
    </row>
    <row r="122" spans="1:52" x14ac:dyDescent="0.25">
      <c r="A122" s="1410">
        <v>113</v>
      </c>
      <c r="B122" s="1412" t="s">
        <v>63</v>
      </c>
      <c r="C122" s="109" t="str">
        <f t="shared" si="18"/>
        <v>Mat 01</v>
      </c>
      <c r="D122" s="628" t="s">
        <v>751</v>
      </c>
      <c r="E122" s="663" t="str">
        <f>VLOOKUP(D122,Poeng!$B$10:$R$252,Poeng!E$1,FALSE)</f>
        <v>Reduction of greenhouse gas emissions</v>
      </c>
      <c r="F122" s="107">
        <f>VLOOKUP(D122,Poeng!$B$10:$AB$252,Poeng!AB$1,FALSE)</f>
        <v>3</v>
      </c>
      <c r="G122" s="1166">
        <f>'Assessment Issue Scoring'!G718</f>
        <v>0</v>
      </c>
      <c r="H122" s="108">
        <f>VLOOKUP(D122,Poeng!$B$10:$AE$252,Poeng!AE$1,FALSE)</f>
        <v>0</v>
      </c>
      <c r="I122" s="109" t="str">
        <f>VLOOKUP(D122,Poeng!$B$10:$BE$252,Poeng!BE$1,FALSE)</f>
        <v>Good</v>
      </c>
      <c r="J122" s="74"/>
      <c r="K122" s="241"/>
      <c r="L122" s="608"/>
      <c r="M122" s="623"/>
      <c r="N122" s="77"/>
      <c r="O122" s="108">
        <f>VLOOKUP(D122,Poeng!$B$10:$BC$252,Poeng!AF$1,FALSE)</f>
        <v>0</v>
      </c>
      <c r="P122" s="108" t="str">
        <f>VLOOKUP(D122,Poeng!$B$10:$BH$252,Poeng!BH$1,FALSE)</f>
        <v>Good</v>
      </c>
      <c r="Q122" s="558"/>
      <c r="R122" s="559"/>
      <c r="S122" s="552"/>
      <c r="T122" s="276"/>
      <c r="U122" s="77"/>
      <c r="V122" s="108">
        <f>VLOOKUP(D122,Poeng!$B$10:$BC$252,Poeng!AG$1,FALSE)</f>
        <v>0</v>
      </c>
      <c r="W122" s="108" t="str">
        <f>VLOOKUP(D122,Poeng!$B$10:$BK$252,Poeng!BK$1,FALSE)</f>
        <v>Good</v>
      </c>
      <c r="X122" s="75"/>
      <c r="Y122" s="74"/>
      <c r="Z122" s="552"/>
      <c r="AA122" s="117"/>
      <c r="AB122" s="666"/>
      <c r="AC122" s="20">
        <f t="shared" si="11"/>
        <v>1</v>
      </c>
      <c r="AD122" s="1" t="e">
        <f>VLOOKUP(K122,'Assessment Details'!$O$49:$P$52,2,FALSE)</f>
        <v>#N/A</v>
      </c>
      <c r="AE122" s="1" t="e">
        <f>VLOOKUP(R122,'Assessment Details'!$O$49:$P$52,2,FALSE)</f>
        <v>#N/A</v>
      </c>
      <c r="AF122" s="1" t="e">
        <f>VLOOKUP(Y122,'Assessment Details'!$O$49:$P$52,2,FALSE)</f>
        <v>#N/A</v>
      </c>
      <c r="AS122" s="20"/>
      <c r="AT122" s="20"/>
      <c r="AU122" s="20"/>
      <c r="AV122" s="20"/>
      <c r="AW122" s="20"/>
      <c r="AX122" s="20"/>
      <c r="AZ122" s="666"/>
    </row>
    <row r="123" spans="1:52" x14ac:dyDescent="0.25">
      <c r="A123" s="1410">
        <v>114</v>
      </c>
      <c r="B123" s="1412" t="s">
        <v>63</v>
      </c>
      <c r="C123" s="109" t="str">
        <f t="shared" si="18"/>
        <v>Mat 01</v>
      </c>
      <c r="D123" s="16" t="s">
        <v>752</v>
      </c>
      <c r="E123" s="663" t="str">
        <f>VLOOKUP(D123,Poeng!$B$10:$R$252,Poeng!E$1,FALSE)</f>
        <v>Life cycle assessment of the building</v>
      </c>
      <c r="F123" s="107">
        <f>VLOOKUP(D123,Poeng!$B$10:$AB$252,Poeng!AB$1,FALSE)</f>
        <v>2</v>
      </c>
      <c r="G123" s="1166">
        <f>'Assessment Issue Scoring'!G722</f>
        <v>0</v>
      </c>
      <c r="H123" s="108">
        <f>VLOOKUP(D123,Poeng!$B$10:$AE$252,Poeng!AE$1,FALSE)</f>
        <v>0</v>
      </c>
      <c r="I123" s="109" t="str">
        <f>VLOOKUP(D123,Poeng!$B$10:$BE$252,Poeng!BE$1,FALSE)</f>
        <v>N/A</v>
      </c>
      <c r="J123" s="74"/>
      <c r="K123" s="241"/>
      <c r="L123" s="608"/>
      <c r="M123" s="623"/>
      <c r="N123" s="77"/>
      <c r="O123" s="108">
        <f>VLOOKUP(D123,Poeng!$B$10:$BC$252,Poeng!AF$1,FALSE)</f>
        <v>0</v>
      </c>
      <c r="P123" s="108" t="str">
        <f>VLOOKUP(D123,Poeng!$B$10:$BH$252,Poeng!BH$1,FALSE)</f>
        <v>N/A</v>
      </c>
      <c r="Q123" s="558"/>
      <c r="R123" s="559"/>
      <c r="S123" s="552"/>
      <c r="T123" s="276"/>
      <c r="U123" s="77"/>
      <c r="V123" s="108">
        <f>VLOOKUP(D123,Poeng!$B$10:$BC$252,Poeng!AG$1,FALSE)</f>
        <v>0</v>
      </c>
      <c r="W123" s="108" t="str">
        <f>VLOOKUP(D123,Poeng!$B$10:$BK$252,Poeng!BK$1,FALSE)</f>
        <v>N/A</v>
      </c>
      <c r="X123" s="75"/>
      <c r="Y123" s="74"/>
      <c r="Z123" s="552"/>
      <c r="AC123" s="20">
        <f t="shared" si="11"/>
        <v>1</v>
      </c>
      <c r="AD123" s="1" t="e">
        <f>VLOOKUP(K123,'Assessment Details'!$O$49:$P$52,2,FALSE)</f>
        <v>#N/A</v>
      </c>
      <c r="AE123" s="1" t="e">
        <f>VLOOKUP(R123,'Assessment Details'!$O$49:$P$52,2,FALSE)</f>
        <v>#N/A</v>
      </c>
      <c r="AF123" s="1" t="e">
        <f>VLOOKUP(Y123,'Assessment Details'!$O$49:$P$52,2,FALSE)</f>
        <v>#N/A</v>
      </c>
    </row>
    <row r="124" spans="1:52" ht="30" x14ac:dyDescent="0.25">
      <c r="A124" s="1410">
        <v>115</v>
      </c>
      <c r="B124" s="1412" t="s">
        <v>63</v>
      </c>
      <c r="C124" s="810" t="s">
        <v>457</v>
      </c>
      <c r="D124" s="628" t="s">
        <v>457</v>
      </c>
      <c r="E124" s="732" t="str">
        <f>VLOOKUP(D124,Poeng!$B$10:$R$252,Poeng!E$1,FALSE)</f>
        <v>Mat 02 Environmental impacts from construction products - product requirements</v>
      </c>
      <c r="F124" s="667">
        <f>VLOOKUP(D124,Poeng!$B$10:$AB$252,Poeng!AB$1,FALSE)</f>
        <v>3</v>
      </c>
      <c r="G124" s="742"/>
      <c r="H124" s="668" t="str">
        <f>VLOOKUP(D124,Poeng!$B$10:$AI$252,Poeng!AI$1,FALSE)&amp;" c. "&amp;ROUND(VLOOKUP(D124,Poeng!$B$10:$AE$252,Poeng!AE$1,FALSE)*100,1)&amp;" %"</f>
        <v>0 c. 0 %</v>
      </c>
      <c r="I124" s="690" t="str">
        <f>VLOOKUP(D124,Poeng!$B$10:$BE$252,Poeng!BE$1,FALSE)</f>
        <v>N/A</v>
      </c>
      <c r="J124" s="74"/>
      <c r="K124" s="241"/>
      <c r="L124" s="608"/>
      <c r="M124" s="623"/>
      <c r="N124" s="742"/>
      <c r="O124" s="679" t="str">
        <f>VLOOKUP(D124,Poeng!$B$10:$BC$252,Poeng!AJ$1,FALSE)&amp;" c. "&amp;ROUND(VLOOKUP(D124,Poeng!$B$10:$BC$252,Poeng!AF$1,FALSE)*100,1)&amp;" %"</f>
        <v>0 c. 0 %</v>
      </c>
      <c r="P124" s="108" t="str">
        <f>VLOOKUP(D124,Poeng!$B$10:$BH$252,Poeng!BH$1,FALSE)</f>
        <v>N/A</v>
      </c>
      <c r="Q124" s="558"/>
      <c r="R124" s="559"/>
      <c r="S124" s="552"/>
      <c r="T124" s="276"/>
      <c r="U124" s="742"/>
      <c r="V124" s="679" t="str">
        <f>VLOOKUP(D124,Poeng!$B$10:$BC$252,Poeng!AK$1,FALSE)&amp;" c. "&amp;ROUND(VLOOKUP(D124,Poeng!$B$10:$BC$252,Poeng!AG$1,FALSE)*100,1)&amp;" %"</f>
        <v>0 c. 0 %</v>
      </c>
      <c r="W124" s="108" t="str">
        <f>VLOOKUP(D124,Poeng!$B$10:$BK$252,Poeng!BK$1,FALSE)</f>
        <v>N/A</v>
      </c>
      <c r="X124" s="75"/>
      <c r="Y124" s="74"/>
      <c r="Z124" s="552"/>
      <c r="AA124" s="117"/>
      <c r="AB124" s="481"/>
      <c r="AC124" s="20">
        <f t="shared" si="11"/>
        <v>1</v>
      </c>
      <c r="AD124" s="1" t="e">
        <f>VLOOKUP(K124,'Assessment Details'!$O$49:$P$52,2,FALSE)</f>
        <v>#N/A</v>
      </c>
      <c r="AE124" s="1" t="e">
        <f>VLOOKUP(R124,'Assessment Details'!$O$49:$P$52,2,FALSE)</f>
        <v>#N/A</v>
      </c>
      <c r="AF124" s="1" t="e">
        <f>VLOOKUP(Y124,'Assessment Details'!$O$49:$P$52,2,FALSE)</f>
        <v>#N/A</v>
      </c>
      <c r="AI124" s="64"/>
      <c r="AJ124" s="508"/>
      <c r="AK124" s="64"/>
      <c r="AL124" s="64"/>
      <c r="AM124" s="64"/>
      <c r="AN124" s="64"/>
      <c r="AO124" s="64"/>
      <c r="AP124" s="64"/>
      <c r="AS124" s="20"/>
      <c r="AT124" s="20"/>
      <c r="AU124" s="20"/>
      <c r="AV124" s="20"/>
      <c r="AW124" s="20"/>
      <c r="AX124" s="20"/>
      <c r="AZ124" s="481"/>
    </row>
    <row r="125" spans="1:52" x14ac:dyDescent="0.25">
      <c r="A125" s="1410">
        <v>116</v>
      </c>
      <c r="B125" s="1412" t="s">
        <v>63</v>
      </c>
      <c r="C125" s="109" t="str">
        <f t="shared" si="18"/>
        <v>Mat 02</v>
      </c>
      <c r="D125" s="16" t="s">
        <v>753</v>
      </c>
      <c r="E125" s="663" t="str">
        <f>VLOOKUP(D125,Poeng!$B$10:$R$252,Poeng!E$1,FALSE)</f>
        <v>Minimum req: absence of environmental toxins (EU taxonomy requirement: criterion 1)</v>
      </c>
      <c r="F125" s="107" t="str">
        <f>VLOOKUP(D125,Poeng!$B$10:$AB$252,Poeng!AB$1,FALSE)</f>
        <v>Yes/No</v>
      </c>
      <c r="G125" s="1261" t="str">
        <f>'Assessment Issue Scoring'!E763</f>
        <v>Please select</v>
      </c>
      <c r="H125" s="108" t="str">
        <f>VLOOKUP(D125,Poeng!$B$10:$AE$252,Poeng!AE$1,FALSE)</f>
        <v>-</v>
      </c>
      <c r="I125" s="109" t="str">
        <f>VLOOKUP(D125,Poeng!$B$10:$BE$252,Poeng!BE$1,FALSE)</f>
        <v>Unclassified</v>
      </c>
      <c r="J125" s="74"/>
      <c r="K125" s="241"/>
      <c r="L125" s="608"/>
      <c r="M125" s="623"/>
      <c r="N125" s="77"/>
      <c r="O125" s="108" t="str">
        <f>VLOOKUP(D125,Poeng!$B$10:$BC$252,Poeng!AF$1,FALSE)</f>
        <v>-</v>
      </c>
      <c r="P125" s="108" t="str">
        <f>VLOOKUP(D125,Poeng!$B$10:$BH$252,Poeng!BH$1,FALSE)</f>
        <v>Unclassified</v>
      </c>
      <c r="Q125" s="558"/>
      <c r="R125" s="559"/>
      <c r="S125" s="552"/>
      <c r="T125" s="276"/>
      <c r="U125" s="77"/>
      <c r="V125" s="108" t="str">
        <f>VLOOKUP(D125,Poeng!$B$10:$BC$252,Poeng!AG$1,FALSE)</f>
        <v>-</v>
      </c>
      <c r="W125" s="108" t="str">
        <f>VLOOKUP(D125,Poeng!$B$10:$BK$252,Poeng!BK$1,FALSE)</f>
        <v>Unclassified</v>
      </c>
      <c r="X125" s="75"/>
      <c r="Y125" s="74"/>
      <c r="Z125" s="552"/>
      <c r="AC125" s="20">
        <f t="shared" si="11"/>
        <v>1</v>
      </c>
      <c r="AD125" s="1" t="e">
        <f>VLOOKUP(K125,'Assessment Details'!$O$49:$P$52,2,FALSE)</f>
        <v>#N/A</v>
      </c>
      <c r="AE125" s="1" t="e">
        <f>VLOOKUP(R125,'Assessment Details'!$O$49:$P$52,2,FALSE)</f>
        <v>#N/A</v>
      </c>
      <c r="AF125" s="1" t="e">
        <f>VLOOKUP(Y125,'Assessment Details'!$O$49:$P$52,2,FALSE)</f>
        <v>#N/A</v>
      </c>
    </row>
    <row r="126" spans="1:52" x14ac:dyDescent="0.25">
      <c r="A126" s="1410">
        <v>117</v>
      </c>
      <c r="B126" s="1412" t="s">
        <v>63</v>
      </c>
      <c r="C126" s="109" t="str">
        <f t="shared" si="18"/>
        <v>Mat 02</v>
      </c>
      <c r="D126" s="16" t="s">
        <v>754</v>
      </c>
      <c r="E126" s="663" t="str">
        <f>VLOOKUP(D126,Poeng!$B$10:$R$252,Poeng!E$1,FALSE)</f>
        <v xml:space="preserve">EPD for construction products </v>
      </c>
      <c r="F126" s="107">
        <f>VLOOKUP(D126,Poeng!$B$10:$AB$252,Poeng!AB$1,FALSE)</f>
        <v>1</v>
      </c>
      <c r="G126" s="1166">
        <f>'Assessment Issue Scoring'!G766</f>
        <v>0</v>
      </c>
      <c r="H126" s="108">
        <f>VLOOKUP(D126,Poeng!$B$10:$AE$252,Poeng!AE$1,FALSE)</f>
        <v>0</v>
      </c>
      <c r="I126" s="109" t="str">
        <f>VLOOKUP(D126,Poeng!$B$10:$BE$252,Poeng!BE$1,FALSE)</f>
        <v>N/A</v>
      </c>
      <c r="J126" s="74"/>
      <c r="K126" s="241"/>
      <c r="L126" s="608"/>
      <c r="M126" s="623"/>
      <c r="N126" s="77"/>
      <c r="O126" s="108">
        <f>VLOOKUP(D126,Poeng!$B$10:$BC$252,Poeng!AF$1,FALSE)</f>
        <v>0</v>
      </c>
      <c r="P126" s="108" t="str">
        <f>VLOOKUP(D126,Poeng!$B$10:$BH$252,Poeng!BH$1,FALSE)</f>
        <v>N/A</v>
      </c>
      <c r="Q126" s="558"/>
      <c r="R126" s="559"/>
      <c r="S126" s="552"/>
      <c r="T126" s="276"/>
      <c r="U126" s="77"/>
      <c r="V126" s="108">
        <f>VLOOKUP(D126,Poeng!$B$10:$BC$252,Poeng!AG$1,FALSE)</f>
        <v>0</v>
      </c>
      <c r="W126" s="108" t="str">
        <f>VLOOKUP(D126,Poeng!$B$10:$BK$252,Poeng!BK$1,FALSE)</f>
        <v>N/A</v>
      </c>
      <c r="X126" s="75"/>
      <c r="Y126" s="74"/>
      <c r="Z126" s="552"/>
      <c r="AC126" s="20">
        <f t="shared" si="11"/>
        <v>1</v>
      </c>
      <c r="AD126" s="1" t="e">
        <f>VLOOKUP(K126,'Assessment Details'!$O$49:$P$52,2,FALSE)</f>
        <v>#N/A</v>
      </c>
      <c r="AE126" s="1" t="e">
        <f>VLOOKUP(R126,'Assessment Details'!$O$49:$P$52,2,FALSE)</f>
        <v>#N/A</v>
      </c>
      <c r="AF126" s="1" t="e">
        <f>VLOOKUP(Y126,'Assessment Details'!$O$49:$P$52,2,FALSE)</f>
        <v>#N/A</v>
      </c>
    </row>
    <row r="127" spans="1:52" x14ac:dyDescent="0.25">
      <c r="A127" s="1410">
        <v>118</v>
      </c>
      <c r="B127" s="1412" t="s">
        <v>63</v>
      </c>
      <c r="C127" s="109" t="str">
        <f t="shared" si="18"/>
        <v>Mat 02</v>
      </c>
      <c r="D127" s="16" t="s">
        <v>755</v>
      </c>
      <c r="E127" s="663" t="str">
        <f>VLOOKUP(D127,Poeng!$B$10:$R$252,Poeng!E$1,FALSE)</f>
        <v xml:space="preserve">Performance requirements for construction products </v>
      </c>
      <c r="F127" s="107">
        <f>VLOOKUP(D127,Poeng!$B$10:$AB$252,Poeng!AB$1,FALSE)</f>
        <v>2</v>
      </c>
      <c r="G127" s="1166">
        <f>'Assessment Issue Scoring'!G771</f>
        <v>0</v>
      </c>
      <c r="H127" s="108">
        <f>VLOOKUP(D127,Poeng!$B$10:$AE$252,Poeng!AE$1,FALSE)</f>
        <v>0</v>
      </c>
      <c r="I127" s="109" t="str">
        <f>VLOOKUP(D127,Poeng!$B$10:$BE$252,Poeng!BE$1,FALSE)</f>
        <v>N/A</v>
      </c>
      <c r="J127" s="74"/>
      <c r="K127" s="241"/>
      <c r="L127" s="608"/>
      <c r="M127" s="623"/>
      <c r="N127" s="77"/>
      <c r="O127" s="108">
        <f>VLOOKUP(D127,Poeng!$B$10:$BC$252,Poeng!AF$1,FALSE)</f>
        <v>0</v>
      </c>
      <c r="P127" s="108" t="str">
        <f>VLOOKUP(D127,Poeng!$B$10:$BH$252,Poeng!BH$1,FALSE)</f>
        <v>N/A</v>
      </c>
      <c r="Q127" s="558"/>
      <c r="R127" s="559"/>
      <c r="S127" s="608"/>
      <c r="T127" s="276"/>
      <c r="U127" s="77"/>
      <c r="V127" s="108">
        <f>VLOOKUP(D127,Poeng!$B$10:$BC$252,Poeng!AG$1,FALSE)</f>
        <v>0</v>
      </c>
      <c r="W127" s="108" t="str">
        <f>VLOOKUP(D127,Poeng!$B$10:$BK$252,Poeng!BK$1,FALSE)</f>
        <v>N/A</v>
      </c>
      <c r="X127" s="75"/>
      <c r="Y127" s="74"/>
      <c r="Z127" s="608"/>
      <c r="AC127" s="20">
        <f t="shared" si="11"/>
        <v>1</v>
      </c>
      <c r="AD127" s="1" t="e">
        <f>VLOOKUP(K127,'Assessment Details'!$O$49:$P$52,2,FALSE)</f>
        <v>#N/A</v>
      </c>
      <c r="AE127" s="1" t="e">
        <f>VLOOKUP(R127,'Assessment Details'!$O$49:$P$52,2,FALSE)</f>
        <v>#N/A</v>
      </c>
      <c r="AF127" s="1" t="e">
        <f>VLOOKUP(Y127,'Assessment Details'!$O$49:$P$52,2,FALSE)</f>
        <v>#N/A</v>
      </c>
    </row>
    <row r="128" spans="1:52" x14ac:dyDescent="0.25">
      <c r="A128" s="1410">
        <v>119</v>
      </c>
      <c r="B128" s="1412" t="s">
        <v>63</v>
      </c>
      <c r="C128" s="690" t="s">
        <v>168</v>
      </c>
      <c r="D128" s="628" t="s">
        <v>168</v>
      </c>
      <c r="E128" s="662" t="str">
        <f>VLOOKUP(D128,Poeng!$B$10:$R$252,Poeng!E$1,FALSE)</f>
        <v>Mat 03 Responsible sourcing of construction products</v>
      </c>
      <c r="F128" s="667">
        <f>VLOOKUP(D128,Poeng!$B$10:$AB$252,Poeng!AB$1,FALSE)</f>
        <v>3</v>
      </c>
      <c r="G128" s="742"/>
      <c r="H128" s="668" t="str">
        <f>VLOOKUP(D128,Poeng!$B$10:$AI$252,Poeng!AI$1,FALSE)&amp;" c. "&amp;ROUND(VLOOKUP(D128,Poeng!$B$10:$AE$252,Poeng!AE$1,FALSE)*100,1)&amp;" %"</f>
        <v>0 c. 0 %</v>
      </c>
      <c r="I128" s="690" t="str">
        <f>VLOOKUP(D128,Poeng!$B$10:$BE$252,Poeng!BE$1,FALSE)</f>
        <v>N/A</v>
      </c>
      <c r="J128" s="74"/>
      <c r="K128" s="241"/>
      <c r="L128" s="608"/>
      <c r="M128" s="623"/>
      <c r="N128" s="742"/>
      <c r="O128" s="679" t="str">
        <f>VLOOKUP(D128,Poeng!$B$10:$BC$252,Poeng!AJ$1,FALSE)&amp;" c. "&amp;ROUND(VLOOKUP(D128,Poeng!$B$10:$BC$252,Poeng!AF$1,FALSE)*100,1)&amp;" %"</f>
        <v>0 c. 0 %</v>
      </c>
      <c r="P128" s="108" t="str">
        <f>VLOOKUP(D128,Poeng!$B$10:$BH$252,Poeng!BH$1,FALSE)</f>
        <v>N/A</v>
      </c>
      <c r="Q128" s="558"/>
      <c r="R128" s="559"/>
      <c r="S128" s="552"/>
      <c r="T128" s="276"/>
      <c r="U128" s="742"/>
      <c r="V128" s="679" t="str">
        <f>VLOOKUP(D128,Poeng!$B$10:$BC$252,Poeng!AK$1,FALSE)&amp;" c. "&amp;ROUND(VLOOKUP(D128,Poeng!$B$10:$BC$252,Poeng!AG$1,FALSE)*100,1)&amp;" %"</f>
        <v>0 c. 0 %</v>
      </c>
      <c r="W128" s="108" t="str">
        <f>VLOOKUP(D128,Poeng!$B$10:$BK$252,Poeng!BK$1,FALSE)</f>
        <v>N/A</v>
      </c>
      <c r="X128" s="75"/>
      <c r="Y128" s="74"/>
      <c r="Z128" s="552"/>
      <c r="AA128" s="117"/>
      <c r="AB128" s="481" t="s">
        <v>14</v>
      </c>
      <c r="AC128" s="20">
        <f t="shared" si="11"/>
        <v>1</v>
      </c>
      <c r="AD128" s="1" t="e">
        <f>VLOOKUP(K128,'Assessment Details'!$O$49:$P$52,2,FALSE)</f>
        <v>#N/A</v>
      </c>
      <c r="AE128" s="1" t="e">
        <f>VLOOKUP(R128,'Assessment Details'!$O$49:$P$52,2,FALSE)</f>
        <v>#N/A</v>
      </c>
      <c r="AF128" s="1" t="e">
        <f>VLOOKUP(Y128,'Assessment Details'!$O$49:$P$52,2,FALSE)</f>
        <v>#N/A</v>
      </c>
      <c r="AI128" s="64"/>
      <c r="AJ128" s="508" t="s">
        <v>151</v>
      </c>
      <c r="AK128" s="64"/>
      <c r="AL128" s="64"/>
      <c r="AM128" s="64"/>
      <c r="AN128" s="64"/>
      <c r="AO128" s="64"/>
      <c r="AP128" s="64"/>
      <c r="AS128" s="20" t="str">
        <f t="shared" si="12"/>
        <v>N/A</v>
      </c>
      <c r="AT128" s="20" t="str">
        <f t="shared" si="13"/>
        <v>N/A</v>
      </c>
      <c r="AU128" s="20" t="str">
        <f t="shared" si="14"/>
        <v>N/A</v>
      </c>
      <c r="AV128" s="20"/>
      <c r="AW128" s="20"/>
      <c r="AX128" s="20"/>
      <c r="AZ128" s="481"/>
    </row>
    <row r="129" spans="1:52" x14ac:dyDescent="0.25">
      <c r="A129" s="1410">
        <v>120</v>
      </c>
      <c r="B129" s="1412" t="s">
        <v>63</v>
      </c>
      <c r="C129" s="109" t="str">
        <f t="shared" si="18"/>
        <v>Mat 03</v>
      </c>
      <c r="D129" s="16" t="s">
        <v>756</v>
      </c>
      <c r="E129" s="663" t="str">
        <f>VLOOKUP(D129,Poeng!$B$10:$R$252,Poeng!E$1,FALSE)</f>
        <v>Minimum req: legal and sustainable timber</v>
      </c>
      <c r="F129" s="107" t="str">
        <f>VLOOKUP(D129,Poeng!$B$10:$AB$252,Poeng!AB$1,FALSE)</f>
        <v>Yes/No</v>
      </c>
      <c r="G129" s="1261" t="str">
        <f>'Assessment Issue Scoring'!E793</f>
        <v>Please select</v>
      </c>
      <c r="H129" s="108" t="str">
        <f>VLOOKUP(D129,Poeng!$B$10:$AE$252,Poeng!AE$1,FALSE)</f>
        <v>-</v>
      </c>
      <c r="I129" s="109" t="str">
        <f>VLOOKUP(D129,Poeng!$B$10:$BE$252,Poeng!BE$1,FALSE)</f>
        <v>Unclassified</v>
      </c>
      <c r="J129" s="74"/>
      <c r="K129" s="241"/>
      <c r="L129" s="608"/>
      <c r="M129" s="623"/>
      <c r="N129" s="77"/>
      <c r="O129" s="108" t="str">
        <f>VLOOKUP(D129,Poeng!$B$10:$BC$252,Poeng!AF$1,FALSE)</f>
        <v>-</v>
      </c>
      <c r="P129" s="108" t="str">
        <f>VLOOKUP(D129,Poeng!$B$10:$BH$252,Poeng!BH$1,FALSE)</f>
        <v>Unclassified</v>
      </c>
      <c r="Q129" s="558"/>
      <c r="R129" s="559"/>
      <c r="S129" s="552"/>
      <c r="T129" s="276"/>
      <c r="U129" s="77"/>
      <c r="V129" s="108" t="str">
        <f>VLOOKUP(D129,Poeng!$B$10:$BC$252,Poeng!AG$1,FALSE)</f>
        <v>-</v>
      </c>
      <c r="W129" s="108" t="str">
        <f>VLOOKUP(D129,Poeng!$B$10:$BK$252,Poeng!BK$1,FALSE)</f>
        <v>Unclassified</v>
      </c>
      <c r="X129" s="75"/>
      <c r="Y129" s="74"/>
      <c r="Z129" s="552"/>
      <c r="AC129" s="20">
        <f t="shared" si="11"/>
        <v>1</v>
      </c>
      <c r="AD129" s="1" t="e">
        <f>VLOOKUP(K129,'Assessment Details'!$O$49:$P$52,2,FALSE)</f>
        <v>#N/A</v>
      </c>
      <c r="AE129" s="1" t="e">
        <f>VLOOKUP(R129,'Assessment Details'!$O$49:$P$52,2,FALSE)</f>
        <v>#N/A</v>
      </c>
      <c r="AF129" s="1" t="e">
        <f>VLOOKUP(Y129,'Assessment Details'!$O$49:$P$52,2,FALSE)</f>
        <v>#N/A</v>
      </c>
    </row>
    <row r="130" spans="1:52" x14ac:dyDescent="0.25">
      <c r="A130" s="1410">
        <v>121</v>
      </c>
      <c r="B130" s="1412" t="s">
        <v>63</v>
      </c>
      <c r="C130" s="109" t="str">
        <f t="shared" si="18"/>
        <v>Mat 03</v>
      </c>
      <c r="D130" s="16" t="s">
        <v>757</v>
      </c>
      <c r="E130" s="663" t="str">
        <f>VLOOKUP(D130,Poeng!$B$10:$R$252,Poeng!E$1,FALSE)</f>
        <v>Enabling sustainable procurement</v>
      </c>
      <c r="F130" s="107">
        <f>VLOOKUP(D130,Poeng!$B$10:$AB$252,Poeng!AB$1,FALSE)</f>
        <v>1</v>
      </c>
      <c r="G130" s="1166">
        <f>'Assessment Issue Scoring'!G796</f>
        <v>0</v>
      </c>
      <c r="H130" s="108">
        <f>VLOOKUP(D130,Poeng!$B$10:$AE$252,Poeng!AE$1,FALSE)</f>
        <v>0</v>
      </c>
      <c r="I130" s="109" t="str">
        <f>VLOOKUP(D130,Poeng!$B$10:$BE$252,Poeng!BE$1,FALSE)</f>
        <v>N/A</v>
      </c>
      <c r="J130" s="74"/>
      <c r="K130" s="241"/>
      <c r="L130" s="608"/>
      <c r="M130" s="623"/>
      <c r="N130" s="77"/>
      <c r="O130" s="108">
        <f>VLOOKUP(D130,Poeng!$B$10:$BC$252,Poeng!AF$1,FALSE)</f>
        <v>0</v>
      </c>
      <c r="P130" s="108" t="str">
        <f>VLOOKUP(D130,Poeng!$B$10:$BH$252,Poeng!BH$1,FALSE)</f>
        <v>N/A</v>
      </c>
      <c r="Q130" s="558"/>
      <c r="R130" s="559"/>
      <c r="S130" s="552"/>
      <c r="T130" s="276"/>
      <c r="U130" s="77"/>
      <c r="V130" s="108">
        <f>VLOOKUP(D130,Poeng!$B$10:$BC$252,Poeng!AG$1,FALSE)</f>
        <v>0</v>
      </c>
      <c r="W130" s="108" t="str">
        <f>VLOOKUP(D130,Poeng!$B$10:$BK$252,Poeng!BK$1,FALSE)</f>
        <v>N/A</v>
      </c>
      <c r="X130" s="75"/>
      <c r="Y130" s="74"/>
      <c r="Z130" s="552"/>
      <c r="AC130" s="20">
        <f t="shared" si="11"/>
        <v>1</v>
      </c>
      <c r="AD130" s="1" t="e">
        <f>VLOOKUP(K130,'Assessment Details'!$O$49:$P$52,2,FALSE)</f>
        <v>#N/A</v>
      </c>
      <c r="AE130" s="1" t="e">
        <f>VLOOKUP(R130,'Assessment Details'!$O$49:$P$52,2,FALSE)</f>
        <v>#N/A</v>
      </c>
      <c r="AF130" s="1" t="e">
        <f>VLOOKUP(Y130,'Assessment Details'!$O$49:$P$52,2,FALSE)</f>
        <v>#N/A</v>
      </c>
    </row>
    <row r="131" spans="1:52" x14ac:dyDescent="0.25">
      <c r="A131" s="1410">
        <v>122</v>
      </c>
      <c r="B131" s="1412" t="s">
        <v>63</v>
      </c>
      <c r="C131" s="109" t="str">
        <f t="shared" si="18"/>
        <v>Mat 03</v>
      </c>
      <c r="D131" s="16" t="s">
        <v>758</v>
      </c>
      <c r="E131" s="663" t="str">
        <f>VLOOKUP(D131,Poeng!$B$10:$R$252,Poeng!E$1,FALSE)</f>
        <v>Responsible sourcing of relevant materials</v>
      </c>
      <c r="F131" s="107">
        <f>VLOOKUP(D131,Poeng!$B$10:$AB$252,Poeng!AB$1,FALSE)</f>
        <v>2</v>
      </c>
      <c r="G131" s="1166">
        <f>'Assessment Issue Scoring'!G799</f>
        <v>0</v>
      </c>
      <c r="H131" s="108">
        <f>VLOOKUP(D131,Poeng!$B$10:$AE$252,Poeng!AE$1,FALSE)</f>
        <v>0</v>
      </c>
      <c r="I131" s="109" t="str">
        <f>VLOOKUP(D131,Poeng!$B$10:$BE$252,Poeng!BE$1,FALSE)</f>
        <v>N/A</v>
      </c>
      <c r="J131" s="816"/>
      <c r="K131" s="241"/>
      <c r="L131" s="608"/>
      <c r="M131" s="623"/>
      <c r="N131" s="77"/>
      <c r="O131" s="108">
        <f>VLOOKUP(D131,Poeng!$B$10:$BC$252,Poeng!AF$1,FALSE)</f>
        <v>0</v>
      </c>
      <c r="P131" s="108" t="str">
        <f>VLOOKUP(D131,Poeng!$B$10:$BH$252,Poeng!BH$1,FALSE)</f>
        <v>N/A</v>
      </c>
      <c r="Q131" s="558"/>
      <c r="R131" s="559"/>
      <c r="S131" s="552"/>
      <c r="T131" s="276"/>
      <c r="U131" s="77"/>
      <c r="V131" s="108">
        <f>VLOOKUP(D131,Poeng!$B$10:$BC$252,Poeng!AG$1,FALSE)</f>
        <v>0</v>
      </c>
      <c r="W131" s="108" t="str">
        <f>VLOOKUP(D131,Poeng!$B$10:$BK$252,Poeng!BK$1,FALSE)</f>
        <v>N/A</v>
      </c>
      <c r="X131" s="75"/>
      <c r="Y131" s="74"/>
      <c r="Z131" s="552"/>
      <c r="AC131" s="20">
        <f t="shared" si="11"/>
        <v>1</v>
      </c>
      <c r="AD131" s="1" t="e">
        <f>VLOOKUP(K131,'Assessment Details'!$O$49:$P$52,2,FALSE)</f>
        <v>#N/A</v>
      </c>
      <c r="AE131" s="1" t="e">
        <f>VLOOKUP(R131,'Assessment Details'!$O$49:$P$52,2,FALSE)</f>
        <v>#N/A</v>
      </c>
      <c r="AF131" s="1" t="e">
        <f>VLOOKUP(Y131,'Assessment Details'!$O$49:$P$52,2,FALSE)</f>
        <v>#N/A</v>
      </c>
    </row>
    <row r="132" spans="1:52" x14ac:dyDescent="0.25">
      <c r="A132" s="1410">
        <v>123</v>
      </c>
      <c r="B132" s="1412" t="s">
        <v>63</v>
      </c>
      <c r="C132" s="690" t="s">
        <v>169</v>
      </c>
      <c r="D132" s="628" t="s">
        <v>169</v>
      </c>
      <c r="E132" s="662" t="str">
        <f>VLOOKUP(D132,Poeng!$B$10:$R$252,Poeng!E$1,FALSE)</f>
        <v>Mat 05 Designing for durability and climate adaption</v>
      </c>
      <c r="F132" s="667">
        <f>VLOOKUP(D132,Poeng!$B$10:$AB$252,Poeng!AB$1,FALSE)</f>
        <v>4</v>
      </c>
      <c r="G132" s="742"/>
      <c r="H132" s="668" t="str">
        <f>VLOOKUP(D132,Poeng!$B$10:$AI$252,Poeng!AI$1,FALSE)&amp;" c. "&amp;ROUND(VLOOKUP(D132,Poeng!$B$10:$AE$252,Poeng!AE$1,FALSE)*100,1)&amp;" %"</f>
        <v>0 c. 0 %</v>
      </c>
      <c r="I132" s="690" t="str">
        <f>VLOOKUP(D132,Poeng!$B$10:$BE$252,Poeng!BE$1,FALSE)</f>
        <v>N/A</v>
      </c>
      <c r="J132" s="74"/>
      <c r="K132" s="241"/>
      <c r="L132" s="608"/>
      <c r="M132" s="623"/>
      <c r="N132" s="742"/>
      <c r="O132" s="679" t="str">
        <f>VLOOKUP(D132,Poeng!$B$10:$BC$252,Poeng!AJ$1,FALSE)&amp;" c. "&amp;ROUND(VLOOKUP(D132,Poeng!$B$10:$BC$252,Poeng!AF$1,FALSE)*100,1)&amp;" %"</f>
        <v>0 c. 0 %</v>
      </c>
      <c r="P132" s="108" t="str">
        <f>VLOOKUP(D132,Poeng!$B$10:$BH$252,Poeng!BH$1,FALSE)</f>
        <v>N/A</v>
      </c>
      <c r="Q132" s="558"/>
      <c r="R132" s="559"/>
      <c r="S132" s="552"/>
      <c r="T132" s="276"/>
      <c r="U132" s="742"/>
      <c r="V132" s="679" t="str">
        <f>VLOOKUP(D132,Poeng!$B$10:$BC$252,Poeng!AK$1,FALSE)&amp;" c. "&amp;ROUND(VLOOKUP(D132,Poeng!$B$10:$BC$252,Poeng!AG$1,FALSE)*100,1)&amp;" %"</f>
        <v>0 c. 0 %</v>
      </c>
      <c r="W132" s="108" t="str">
        <f>VLOOKUP(D132,Poeng!$B$10:$BK$252,Poeng!BK$1,FALSE)</f>
        <v>N/A</v>
      </c>
      <c r="X132" s="75"/>
      <c r="Y132" s="74"/>
      <c r="Z132" s="552"/>
      <c r="AA132" s="117"/>
      <c r="AB132" s="481" t="s">
        <v>13</v>
      </c>
      <c r="AC132" s="20">
        <f t="shared" si="11"/>
        <v>1</v>
      </c>
      <c r="AD132" s="1" t="e">
        <f>VLOOKUP(K132,'Assessment Details'!$O$49:$P$52,2,FALSE)</f>
        <v>#N/A</v>
      </c>
      <c r="AE132" s="1" t="e">
        <f>VLOOKUP(R132,'Assessment Details'!$O$49:$P$52,2,FALSE)</f>
        <v>#N/A</v>
      </c>
      <c r="AF132" s="1" t="e">
        <f>VLOOKUP(Y132,'Assessment Details'!$O$49:$P$52,2,FALSE)</f>
        <v>#N/A</v>
      </c>
      <c r="AI132" s="64" t="str">
        <f>ais_ja</f>
        <v>Ja</v>
      </c>
      <c r="AJ132" s="508" t="s">
        <v>152</v>
      </c>
      <c r="AK132" s="487" t="s">
        <v>385</v>
      </c>
      <c r="AL132" s="487" t="s">
        <v>389</v>
      </c>
      <c r="AM132" s="487" t="s">
        <v>387</v>
      </c>
      <c r="AN132" s="64"/>
      <c r="AO132" s="64"/>
      <c r="AP132" s="64"/>
      <c r="AR132" s="1" t="s">
        <v>13</v>
      </c>
      <c r="AS132" s="20" t="str">
        <f t="shared" si="12"/>
        <v>N/A</v>
      </c>
      <c r="AT132" s="20" t="str">
        <f t="shared" si="13"/>
        <v>N/A</v>
      </c>
      <c r="AU132" s="20" t="str">
        <f t="shared" si="14"/>
        <v>N/A</v>
      </c>
      <c r="AV132" s="20"/>
      <c r="AW132" s="20"/>
      <c r="AX132" s="20"/>
      <c r="AZ132" s="483"/>
    </row>
    <row r="133" spans="1:52" x14ac:dyDescent="0.25">
      <c r="A133" s="1410">
        <v>124</v>
      </c>
      <c r="B133" s="1412" t="s">
        <v>63</v>
      </c>
      <c r="C133" s="109" t="str">
        <f t="shared" si="18"/>
        <v>Mat 05</v>
      </c>
      <c r="D133" s="628" t="s">
        <v>759</v>
      </c>
      <c r="E133" s="663" t="str">
        <f>VLOOKUP(D133,Poeng!$B$10:$R$252,Poeng!E$1,FALSE)</f>
        <v>Pre-requisite: risk analysis</v>
      </c>
      <c r="F133" s="107" t="str">
        <f>VLOOKUP(D133,Poeng!$B$10:$AB$252,Poeng!AB$1,FALSE)</f>
        <v>Yes/No</v>
      </c>
      <c r="G133" s="1261" t="str">
        <f>'Assessment Issue Scoring'!E822</f>
        <v>Please select</v>
      </c>
      <c r="H133" s="108" t="str">
        <f>VLOOKUP(D133,Poeng!$B$10:$AE$252,Poeng!AE$1,FALSE)</f>
        <v>-</v>
      </c>
      <c r="I133" s="109" t="str">
        <f>VLOOKUP(D133,Poeng!$B$10:$BE$252,Poeng!BE$1,FALSE)</f>
        <v>N/A</v>
      </c>
      <c r="J133" s="74"/>
      <c r="K133" s="241"/>
      <c r="L133" s="608"/>
      <c r="M133" s="623"/>
      <c r="N133" s="77"/>
      <c r="O133" s="108" t="str">
        <f>VLOOKUP(D133,Poeng!$B$10:$BC$252,Poeng!AF$1,FALSE)</f>
        <v>-</v>
      </c>
      <c r="P133" s="108" t="str">
        <f>VLOOKUP(D133,Poeng!$B$10:$BH$252,Poeng!BH$1,FALSE)</f>
        <v>N/A</v>
      </c>
      <c r="Q133" s="558"/>
      <c r="R133" s="559"/>
      <c r="S133" s="552"/>
      <c r="T133" s="276"/>
      <c r="U133" s="77"/>
      <c r="V133" s="108" t="str">
        <f>VLOOKUP(D133,Poeng!$B$10:$BC$252,Poeng!AG$1,FALSE)</f>
        <v>-</v>
      </c>
      <c r="W133" s="108" t="str">
        <f>VLOOKUP(D133,Poeng!$B$10:$BK$252,Poeng!BK$1,FALSE)</f>
        <v>N/A</v>
      </c>
      <c r="X133" s="75"/>
      <c r="Y133" s="74"/>
      <c r="Z133" s="552"/>
      <c r="AA133" s="117"/>
      <c r="AB133" s="534"/>
      <c r="AC133" s="20">
        <f t="shared" si="11"/>
        <v>1</v>
      </c>
      <c r="AD133" s="1" t="e">
        <f>VLOOKUP(K133,'Assessment Details'!$O$49:$P$52,2,FALSE)</f>
        <v>#N/A</v>
      </c>
      <c r="AE133" s="1" t="e">
        <f>VLOOKUP(R133,'Assessment Details'!$O$49:$P$52,2,FALSE)</f>
        <v>#N/A</v>
      </c>
      <c r="AF133" s="1" t="e">
        <f>VLOOKUP(Y133,'Assessment Details'!$O$49:$P$52,2,FALSE)</f>
        <v>#N/A</v>
      </c>
      <c r="AI133" s="64"/>
      <c r="AJ133" s="508"/>
      <c r="AK133" s="487"/>
      <c r="AL133" s="487"/>
      <c r="AM133" s="487"/>
      <c r="AN133" s="64"/>
      <c r="AO133" s="64"/>
      <c r="AP133" s="64"/>
      <c r="AS133" s="20"/>
      <c r="AT133" s="20"/>
      <c r="AU133" s="20"/>
      <c r="AV133" s="20"/>
      <c r="AW133" s="20"/>
      <c r="AX133" s="20"/>
      <c r="AZ133" s="535"/>
    </row>
    <row r="134" spans="1:52" x14ac:dyDescent="0.25">
      <c r="A134" s="1410">
        <v>125</v>
      </c>
      <c r="B134" s="1412" t="s">
        <v>63</v>
      </c>
      <c r="C134" s="109" t="str">
        <f t="shared" si="18"/>
        <v>Mat 05</v>
      </c>
      <c r="D134" s="628" t="s">
        <v>760</v>
      </c>
      <c r="E134" s="663" t="str">
        <f>VLOOKUP(D134,Poeng!$B$10:$R$252,Poeng!E$1,FALSE)</f>
        <v>Protect vulnerable parts of the building from damage</v>
      </c>
      <c r="F134" s="107">
        <f>VLOOKUP(D134,Poeng!$B$10:$AB$252,Poeng!AB$1,FALSE)</f>
        <v>1</v>
      </c>
      <c r="G134" s="1261">
        <f>'Assessment Issue Scoring'!G823</f>
        <v>0</v>
      </c>
      <c r="H134" s="108">
        <f>VLOOKUP(D134,Poeng!$B$10:$AE$252,Poeng!AE$1,FALSE)</f>
        <v>0</v>
      </c>
      <c r="I134" s="109" t="str">
        <f>VLOOKUP(D134,Poeng!$B$10:$BE$252,Poeng!BE$1,FALSE)</f>
        <v>N/A</v>
      </c>
      <c r="J134" s="74"/>
      <c r="K134" s="241"/>
      <c r="L134" s="608"/>
      <c r="M134" s="623"/>
      <c r="N134" s="77"/>
      <c r="O134" s="108">
        <f>VLOOKUP(D134,Poeng!$B$10:$BC$252,Poeng!AF$1,FALSE)</f>
        <v>0</v>
      </c>
      <c r="P134" s="108" t="str">
        <f>VLOOKUP(D134,Poeng!$B$10:$BH$252,Poeng!BH$1,FALSE)</f>
        <v>N/A</v>
      </c>
      <c r="Q134" s="558"/>
      <c r="R134" s="559"/>
      <c r="S134" s="552"/>
      <c r="T134" s="276"/>
      <c r="U134" s="77"/>
      <c r="V134" s="108">
        <f>VLOOKUP(D134,Poeng!$B$10:$BC$252,Poeng!AG$1,FALSE)</f>
        <v>0</v>
      </c>
      <c r="W134" s="108" t="str">
        <f>VLOOKUP(D134,Poeng!$B$10:$BK$252,Poeng!BK$1,FALSE)</f>
        <v>N/A</v>
      </c>
      <c r="X134" s="75"/>
      <c r="Y134" s="74"/>
      <c r="Z134" s="552"/>
      <c r="AA134" s="117"/>
      <c r="AB134" s="534"/>
      <c r="AC134" s="20">
        <f t="shared" si="11"/>
        <v>1</v>
      </c>
      <c r="AD134" s="1" t="e">
        <f>VLOOKUP(K134,'Assessment Details'!$O$49:$P$52,2,FALSE)</f>
        <v>#N/A</v>
      </c>
      <c r="AE134" s="1" t="e">
        <f>VLOOKUP(R134,'Assessment Details'!$O$49:$P$52,2,FALSE)</f>
        <v>#N/A</v>
      </c>
      <c r="AF134" s="1" t="e">
        <f>VLOOKUP(Y134,'Assessment Details'!$O$49:$P$52,2,FALSE)</f>
        <v>#N/A</v>
      </c>
      <c r="AI134" s="64"/>
      <c r="AJ134" s="508"/>
      <c r="AK134" s="487"/>
      <c r="AL134" s="487"/>
      <c r="AM134" s="487"/>
      <c r="AN134" s="64"/>
      <c r="AO134" s="64"/>
      <c r="AP134" s="64"/>
      <c r="AS134" s="20"/>
      <c r="AT134" s="20"/>
      <c r="AU134" s="20"/>
      <c r="AV134" s="20"/>
      <c r="AW134" s="20"/>
      <c r="AX134" s="20"/>
      <c r="AZ134" s="535"/>
    </row>
    <row r="135" spans="1:52" ht="30" x14ac:dyDescent="0.25">
      <c r="A135" s="1410">
        <v>126</v>
      </c>
      <c r="B135" s="1412" t="s">
        <v>63</v>
      </c>
      <c r="C135" s="109" t="str">
        <f t="shared" si="18"/>
        <v>Mat 05</v>
      </c>
      <c r="D135" s="628" t="s">
        <v>761</v>
      </c>
      <c r="E135" s="798" t="str">
        <f>VLOOKUP(D135,Poeng!$B$10:$R$252,Poeng!E$1,FALSE)</f>
        <v xml:space="preserve">Protecting exposed parts of the building from material degradation </v>
      </c>
      <c r="F135" s="107">
        <f>VLOOKUP(D135,Poeng!$B$10:$AB$252,Poeng!AB$1,FALSE)</f>
        <v>1</v>
      </c>
      <c r="G135" s="1261">
        <f>'Assessment Issue Scoring'!G824</f>
        <v>0</v>
      </c>
      <c r="H135" s="108">
        <f>VLOOKUP(D135,Poeng!$B$10:$AE$252,Poeng!AE$1,FALSE)</f>
        <v>0</v>
      </c>
      <c r="I135" s="109" t="str">
        <f>VLOOKUP(D135,Poeng!$B$10:$BE$252,Poeng!BE$1,FALSE)</f>
        <v>N/A</v>
      </c>
      <c r="J135" s="74"/>
      <c r="K135" s="241"/>
      <c r="L135" s="608"/>
      <c r="M135" s="623"/>
      <c r="N135" s="77"/>
      <c r="O135" s="108">
        <f>VLOOKUP(D135,Poeng!$B$10:$BC$252,Poeng!AF$1,FALSE)</f>
        <v>0</v>
      </c>
      <c r="P135" s="108" t="str">
        <f>VLOOKUP(D135,Poeng!$B$10:$BH$252,Poeng!BH$1,FALSE)</f>
        <v>N/A</v>
      </c>
      <c r="Q135" s="558"/>
      <c r="R135" s="559"/>
      <c r="S135" s="552"/>
      <c r="T135" s="276"/>
      <c r="U135" s="77"/>
      <c r="V135" s="108">
        <f>VLOOKUP(D135,Poeng!$B$10:$BC$252,Poeng!AG$1,FALSE)</f>
        <v>0</v>
      </c>
      <c r="W135" s="108" t="str">
        <f>VLOOKUP(D135,Poeng!$B$10:$BK$252,Poeng!BK$1,FALSE)</f>
        <v>N/A</v>
      </c>
      <c r="X135" s="75"/>
      <c r="Y135" s="74"/>
      <c r="Z135" s="552"/>
      <c r="AA135" s="117"/>
      <c r="AB135" s="534"/>
      <c r="AC135" s="20">
        <f t="shared" si="11"/>
        <v>1</v>
      </c>
      <c r="AD135" s="1" t="e">
        <f>VLOOKUP(K135,'Assessment Details'!$O$49:$P$52,2,FALSE)</f>
        <v>#N/A</v>
      </c>
      <c r="AE135" s="1" t="e">
        <f>VLOOKUP(R135,'Assessment Details'!$O$49:$P$52,2,FALSE)</f>
        <v>#N/A</v>
      </c>
      <c r="AF135" s="1" t="e">
        <f>VLOOKUP(Y135,'Assessment Details'!$O$49:$P$52,2,FALSE)</f>
        <v>#N/A</v>
      </c>
      <c r="AI135" s="64"/>
      <c r="AJ135" s="508"/>
      <c r="AK135" s="487"/>
      <c r="AL135" s="487"/>
      <c r="AM135" s="487"/>
      <c r="AN135" s="64"/>
      <c r="AO135" s="64"/>
      <c r="AP135" s="64"/>
      <c r="AS135" s="20"/>
      <c r="AT135" s="20"/>
      <c r="AU135" s="20"/>
      <c r="AV135" s="20"/>
      <c r="AW135" s="20"/>
      <c r="AX135" s="20"/>
      <c r="AZ135" s="535"/>
    </row>
    <row r="136" spans="1:52" x14ac:dyDescent="0.25">
      <c r="A136" s="1410">
        <v>127</v>
      </c>
      <c r="B136" s="1412" t="s">
        <v>63</v>
      </c>
      <c r="C136" s="109" t="str">
        <f t="shared" si="18"/>
        <v>Mat 05</v>
      </c>
      <c r="D136" s="628" t="s">
        <v>762</v>
      </c>
      <c r="E136" s="798" t="str">
        <f>VLOOKUP(D136,Poeng!$B$10:$R$252,Poeng!E$1,FALSE)</f>
        <v>Control plan and moisture measurements</v>
      </c>
      <c r="F136" s="107">
        <f>VLOOKUP(D136,Poeng!$B$10:$AB$252,Poeng!AB$1,FALSE)</f>
        <v>1</v>
      </c>
      <c r="G136" s="1261">
        <f>'Assessment Issue Scoring'!G825</f>
        <v>0</v>
      </c>
      <c r="H136" s="108">
        <f>VLOOKUP(D136,Poeng!$B$10:$AE$252,Poeng!AE$1,FALSE)</f>
        <v>0</v>
      </c>
      <c r="I136" s="109" t="str">
        <f>VLOOKUP(D136,Poeng!$B$10:$BE$252,Poeng!BE$1,FALSE)</f>
        <v>Very Good</v>
      </c>
      <c r="J136" s="74"/>
      <c r="K136" s="241"/>
      <c r="L136" s="608"/>
      <c r="M136" s="623"/>
      <c r="N136" s="77"/>
      <c r="O136" s="108">
        <f>VLOOKUP(D136,Poeng!$B$10:$BC$252,Poeng!AF$1,FALSE)</f>
        <v>0</v>
      </c>
      <c r="P136" s="108" t="str">
        <f>VLOOKUP(D136,Poeng!$B$10:$BH$252,Poeng!BH$1,FALSE)</f>
        <v>Very Good</v>
      </c>
      <c r="Q136" s="558"/>
      <c r="R136" s="559"/>
      <c r="S136" s="552"/>
      <c r="T136" s="276"/>
      <c r="U136" s="77"/>
      <c r="V136" s="108">
        <f>VLOOKUP(D136,Poeng!$B$10:$BC$252,Poeng!AG$1,FALSE)</f>
        <v>0</v>
      </c>
      <c r="W136" s="108" t="str">
        <f>VLOOKUP(D136,Poeng!$B$10:$BK$252,Poeng!BK$1,FALSE)</f>
        <v>Very Good</v>
      </c>
      <c r="X136" s="75"/>
      <c r="Y136" s="74"/>
      <c r="Z136" s="552"/>
      <c r="AA136" s="117"/>
      <c r="AB136" s="534"/>
      <c r="AC136" s="20">
        <f t="shared" si="11"/>
        <v>1</v>
      </c>
      <c r="AD136" s="1" t="e">
        <f>VLOOKUP(K136,'Assessment Details'!$O$49:$P$52,2,FALSE)</f>
        <v>#N/A</v>
      </c>
      <c r="AE136" s="1" t="e">
        <f>VLOOKUP(R136,'Assessment Details'!$O$49:$P$52,2,FALSE)</f>
        <v>#N/A</v>
      </c>
      <c r="AF136" s="1" t="e">
        <f>VLOOKUP(Y136,'Assessment Details'!$O$49:$P$52,2,FALSE)</f>
        <v>#N/A</v>
      </c>
      <c r="AI136" s="64"/>
      <c r="AJ136" s="508"/>
      <c r="AK136" s="487"/>
      <c r="AL136" s="487"/>
      <c r="AM136" s="487"/>
      <c r="AN136" s="64"/>
      <c r="AO136" s="64"/>
      <c r="AP136" s="64"/>
      <c r="AS136" s="20"/>
      <c r="AT136" s="20"/>
      <c r="AU136" s="20"/>
      <c r="AV136" s="20"/>
      <c r="AW136" s="20"/>
      <c r="AX136" s="20"/>
      <c r="AZ136" s="535"/>
    </row>
    <row r="137" spans="1:52" x14ac:dyDescent="0.25">
      <c r="A137" s="1410">
        <v>128</v>
      </c>
      <c r="B137" s="1412" t="s">
        <v>63</v>
      </c>
      <c r="C137" s="109" t="str">
        <f t="shared" si="18"/>
        <v>Mat 05</v>
      </c>
      <c r="D137" s="628" t="s">
        <v>873</v>
      </c>
      <c r="E137" s="663" t="str">
        <f>VLOOKUP(D137,Poeng!$B$10:$R$252,Poeng!E$1,FALSE)</f>
        <v>Construction under cover</v>
      </c>
      <c r="F137" s="107">
        <f>VLOOKUP(D137,Poeng!$B$10:$AB$252,Poeng!AB$1,FALSE)</f>
        <v>1</v>
      </c>
      <c r="G137" s="1166">
        <f>'Assessment Issue Scoring'!G826</f>
        <v>0</v>
      </c>
      <c r="H137" s="108">
        <f>VLOOKUP(D137,Poeng!$B$10:$AE$252,Poeng!AE$1,FALSE)</f>
        <v>0</v>
      </c>
      <c r="I137" s="109" t="str">
        <f>VLOOKUP(D137,Poeng!$B$10:$BE$252,Poeng!BE$1,FALSE)</f>
        <v>N/A</v>
      </c>
      <c r="J137" s="74"/>
      <c r="K137" s="241"/>
      <c r="L137" s="608"/>
      <c r="M137" s="623"/>
      <c r="N137" s="77"/>
      <c r="O137" s="108">
        <f>VLOOKUP(D137,Poeng!$B$10:$BC$252,Poeng!AF$1,FALSE)</f>
        <v>0</v>
      </c>
      <c r="P137" s="108" t="str">
        <f>VLOOKUP(D137,Poeng!$B$10:$BH$252,Poeng!BH$1,FALSE)</f>
        <v>N/A</v>
      </c>
      <c r="Q137" s="558"/>
      <c r="R137" s="559"/>
      <c r="S137" s="552"/>
      <c r="T137" s="276"/>
      <c r="U137" s="77"/>
      <c r="V137" s="108">
        <f>VLOOKUP(D137,Poeng!$B$10:$BC$252,Poeng!AG$1,FALSE)</f>
        <v>0</v>
      </c>
      <c r="W137" s="108" t="str">
        <f>VLOOKUP(D137,Poeng!$B$10:$BK$252,Poeng!BK$1,FALSE)</f>
        <v>N/A</v>
      </c>
      <c r="X137" s="75"/>
      <c r="Y137" s="74"/>
      <c r="Z137" s="552"/>
      <c r="AA137" s="117"/>
      <c r="AB137" s="534"/>
      <c r="AC137" s="20">
        <f t="shared" si="11"/>
        <v>1</v>
      </c>
      <c r="AD137" s="1" t="e">
        <f>VLOOKUP(K137,'Assessment Details'!$O$49:$P$52,2,FALSE)</f>
        <v>#N/A</v>
      </c>
      <c r="AE137" s="1" t="e">
        <f>VLOOKUP(R137,'Assessment Details'!$O$49:$P$52,2,FALSE)</f>
        <v>#N/A</v>
      </c>
      <c r="AF137" s="1" t="e">
        <f>VLOOKUP(Y137,'Assessment Details'!$O$49:$P$52,2,FALSE)</f>
        <v>#N/A</v>
      </c>
      <c r="AI137" s="64"/>
      <c r="AJ137" s="508"/>
      <c r="AK137" s="487"/>
      <c r="AL137" s="487"/>
      <c r="AM137" s="487"/>
      <c r="AN137" s="64"/>
      <c r="AO137" s="64"/>
      <c r="AP137" s="64"/>
      <c r="AS137" s="20"/>
      <c r="AT137" s="20"/>
      <c r="AU137" s="20"/>
      <c r="AV137" s="20"/>
      <c r="AW137" s="20"/>
      <c r="AX137" s="20"/>
      <c r="AZ137" s="535"/>
    </row>
    <row r="138" spans="1:52" x14ac:dyDescent="0.25">
      <c r="A138" s="1410">
        <v>129</v>
      </c>
      <c r="B138" s="1412" t="s">
        <v>63</v>
      </c>
      <c r="C138" s="690" t="s">
        <v>170</v>
      </c>
      <c r="D138" s="628" t="s">
        <v>170</v>
      </c>
      <c r="E138" s="662" t="str">
        <f>VLOOKUP(D138,Poeng!$B$10:$R$252,Poeng!E$1,FALSE)</f>
        <v>Mat 06 Material efficiency</v>
      </c>
      <c r="F138" s="667">
        <f>VLOOKUP(D138,Poeng!$B$10:$AB$252,Poeng!AB$1,FALSE)</f>
        <v>3</v>
      </c>
      <c r="G138" s="742"/>
      <c r="H138" s="668" t="str">
        <f>VLOOKUP(D138,Poeng!$B$10:$AI$252,Poeng!AI$1,FALSE)&amp;" c. "&amp;ROUND(VLOOKUP(D138,Poeng!$B$10:$AE$252,Poeng!AE$1,FALSE)*100,1)&amp;" %"</f>
        <v>0 c. 0 %</v>
      </c>
      <c r="I138" s="690" t="str">
        <f>VLOOKUP(D138,Poeng!$B$10:$BE$252,Poeng!BE$1,FALSE)</f>
        <v>N/A</v>
      </c>
      <c r="J138" s="74"/>
      <c r="K138" s="241"/>
      <c r="L138" s="608"/>
      <c r="M138" s="623"/>
      <c r="N138" s="742"/>
      <c r="O138" s="679" t="str">
        <f>VLOOKUP(D138,Poeng!$B$10:$BC$252,Poeng!AJ$1,FALSE)&amp;" c. "&amp;ROUND(VLOOKUP(D138,Poeng!$B$10:$BC$252,Poeng!AF$1,FALSE)*100,1)&amp;" %"</f>
        <v>0 c. 0 %</v>
      </c>
      <c r="P138" s="108" t="str">
        <f>VLOOKUP(D138,Poeng!$B$10:$BH$252,Poeng!BH$1,FALSE)</f>
        <v>N/A</v>
      </c>
      <c r="Q138" s="558"/>
      <c r="R138" s="559"/>
      <c r="S138" s="552"/>
      <c r="T138" s="276"/>
      <c r="U138" s="742"/>
      <c r="V138" s="679" t="str">
        <f>VLOOKUP(D138,Poeng!$B$10:$BC$252,Poeng!AK$1,FALSE)&amp;" c. "&amp;ROUND(VLOOKUP(D138,Poeng!$B$10:$BC$252,Poeng!AG$1,FALSE)*100,1)&amp;" %"</f>
        <v>0 c. 0 %</v>
      </c>
      <c r="W138" s="108" t="str">
        <f>VLOOKUP(D138,Poeng!$B$10:$BK$252,Poeng!BK$1,FALSE)</f>
        <v>N/A</v>
      </c>
      <c r="X138" s="75"/>
      <c r="Y138" s="74"/>
      <c r="Z138" s="552"/>
      <c r="AA138" s="117"/>
      <c r="AB138" s="534"/>
      <c r="AC138" s="20">
        <f t="shared" si="11"/>
        <v>1</v>
      </c>
      <c r="AD138" s="1" t="e">
        <f>VLOOKUP(K138,'Assessment Details'!$O$49:$P$52,2,FALSE)</f>
        <v>#N/A</v>
      </c>
      <c r="AE138" s="1" t="e">
        <f>VLOOKUP(R138,'Assessment Details'!$O$49:$P$52,2,FALSE)</f>
        <v>#N/A</v>
      </c>
      <c r="AF138" s="1" t="e">
        <f>VLOOKUP(Y138,'Assessment Details'!$O$49:$P$52,2,FALSE)</f>
        <v>#N/A</v>
      </c>
      <c r="AI138" s="64"/>
      <c r="AJ138" s="508"/>
      <c r="AK138" s="487"/>
      <c r="AL138" s="487"/>
      <c r="AM138" s="487"/>
      <c r="AN138" s="64"/>
      <c r="AO138" s="64"/>
      <c r="AP138" s="64"/>
      <c r="AS138" s="20"/>
      <c r="AT138" s="20"/>
      <c r="AU138" s="20"/>
      <c r="AV138" s="20"/>
      <c r="AW138" s="20"/>
      <c r="AX138" s="20"/>
      <c r="AZ138" s="535"/>
    </row>
    <row r="139" spans="1:52" x14ac:dyDescent="0.25">
      <c r="A139" s="1410">
        <v>130</v>
      </c>
      <c r="B139" s="1412" t="s">
        <v>63</v>
      </c>
      <c r="C139" s="109" t="str">
        <f>C138</f>
        <v>Mat 06</v>
      </c>
      <c r="D139" s="628" t="s">
        <v>1000</v>
      </c>
      <c r="E139" s="663" t="str">
        <f>VLOOKUP(D139,Poeng!$B$10:$R$252,Poeng!E$1,FALSE)</f>
        <v>Minimum req: mapping for component reuse - criterion 1 (EU taxonomy requirement: criterion 1)</v>
      </c>
      <c r="F139" s="107" t="str">
        <f>VLOOKUP(D139,Poeng!$B$10:$AB$252,Poeng!AB$1,FALSE)</f>
        <v>Yes/No</v>
      </c>
      <c r="G139" s="1261" t="str">
        <f>'Assessment Issue Scoring'!E846</f>
        <v>Please select</v>
      </c>
      <c r="H139" s="108" t="str">
        <f>VLOOKUP(D139,Poeng!$B$10:$AE$252,Poeng!AE$1,FALSE)</f>
        <v>-</v>
      </c>
      <c r="I139" s="109" t="str">
        <f>VLOOKUP(D139,Poeng!$B$10:$BE$252,Poeng!BE$1,FALSE)</f>
        <v>Unclassified</v>
      </c>
      <c r="J139" s="74"/>
      <c r="K139" s="241"/>
      <c r="L139" s="608"/>
      <c r="M139" s="623"/>
      <c r="N139" s="77"/>
      <c r="O139" s="108" t="str">
        <f>VLOOKUP(D139,Poeng!$B$10:$BC$252,Poeng!AF$1,FALSE)</f>
        <v>-</v>
      </c>
      <c r="P139" s="108" t="str">
        <f>VLOOKUP(D139,Poeng!$B$10:$BH$252,Poeng!BH$1,FALSE)</f>
        <v>Unclassified</v>
      </c>
      <c r="Q139" s="558"/>
      <c r="R139" s="559"/>
      <c r="S139" s="552"/>
      <c r="T139" s="276"/>
      <c r="U139" s="77"/>
      <c r="V139" s="108" t="str">
        <f>VLOOKUP(D139,Poeng!$B$10:$BC$252,Poeng!AG$1,FALSE)</f>
        <v>-</v>
      </c>
      <c r="W139" s="108" t="str">
        <f>VLOOKUP(D139,Poeng!$B$10:$BK$252,Poeng!BK$1,FALSE)</f>
        <v>Unclassified</v>
      </c>
      <c r="X139" s="75"/>
      <c r="Y139" s="74"/>
      <c r="Z139" s="552"/>
      <c r="AA139" s="117"/>
      <c r="AB139" s="666"/>
      <c r="AC139" s="20">
        <f t="shared" ref="AC139" si="19">IF(F139="",1,IF(F139=0,2,1))</f>
        <v>1</v>
      </c>
      <c r="AD139" s="1" t="e">
        <f>VLOOKUP(K139,'Assessment Details'!$O$49:$P$52,2,FALSE)</f>
        <v>#N/A</v>
      </c>
      <c r="AE139" s="1" t="e">
        <f>VLOOKUP(R139,'Assessment Details'!$O$49:$P$52,2,FALSE)</f>
        <v>#N/A</v>
      </c>
      <c r="AF139" s="1" t="e">
        <f>VLOOKUP(Y139,'Assessment Details'!$O$49:$P$52,2,FALSE)</f>
        <v>#N/A</v>
      </c>
      <c r="AK139" s="544"/>
      <c r="AL139" s="544"/>
      <c r="AM139" s="544"/>
      <c r="AS139" s="20"/>
      <c r="AT139" s="20"/>
      <c r="AU139" s="20"/>
      <c r="AV139" s="20"/>
      <c r="AW139" s="20"/>
      <c r="AX139" s="20"/>
      <c r="AZ139" s="666"/>
    </row>
    <row r="140" spans="1:52" x14ac:dyDescent="0.25">
      <c r="A140" s="1410">
        <v>131</v>
      </c>
      <c r="B140" s="1412" t="s">
        <v>63</v>
      </c>
      <c r="C140" s="109" t="str">
        <f>C138</f>
        <v>Mat 06</v>
      </c>
      <c r="D140" s="16" t="s">
        <v>763</v>
      </c>
      <c r="E140" s="798" t="str">
        <f>VLOOKUP(D140,Poeng!$B$10:$R$252,Poeng!E$1,FALSE)</f>
        <v>Mapping for component reuse and implementation</v>
      </c>
      <c r="F140" s="107">
        <f>VLOOKUP(D140,Poeng!$B$10:$AB$252,Poeng!AB$1,FALSE)</f>
        <v>1</v>
      </c>
      <c r="G140" s="1261">
        <f>'Assessment Issue Scoring'!G847</f>
        <v>0</v>
      </c>
      <c r="H140" s="108">
        <f>VLOOKUP(D140,Poeng!$B$10:$AE$252,Poeng!AE$1,FALSE)</f>
        <v>0</v>
      </c>
      <c r="I140" s="109" t="str">
        <f>VLOOKUP(D140,Poeng!$B$10:$BE$252,Poeng!BE$1,FALSE)</f>
        <v>Unclassified</v>
      </c>
      <c r="J140" s="74"/>
      <c r="K140" s="241"/>
      <c r="L140" s="608"/>
      <c r="M140" s="623"/>
      <c r="N140" s="77"/>
      <c r="O140" s="108">
        <f>VLOOKUP(D140,Poeng!$B$10:$BC$252,Poeng!AF$1,FALSE)</f>
        <v>0</v>
      </c>
      <c r="P140" s="108" t="str">
        <f>VLOOKUP(D140,Poeng!$B$10:$BH$252,Poeng!BH$1,FALSE)</f>
        <v>Unclassified</v>
      </c>
      <c r="Q140" s="558"/>
      <c r="R140" s="559"/>
      <c r="S140" s="552"/>
      <c r="T140" s="276"/>
      <c r="U140" s="77"/>
      <c r="V140" s="108">
        <f>VLOOKUP(D140,Poeng!$B$10:$BC$252,Poeng!AG$1,FALSE)</f>
        <v>0</v>
      </c>
      <c r="W140" s="108" t="str">
        <f>VLOOKUP(D140,Poeng!$B$10:$BK$252,Poeng!BK$1,FALSE)</f>
        <v>Unclassified</v>
      </c>
      <c r="X140" s="75"/>
      <c r="Y140" s="74"/>
      <c r="Z140" s="552"/>
      <c r="AC140" s="20">
        <f t="shared" si="11"/>
        <v>1</v>
      </c>
      <c r="AD140" s="1" t="e">
        <f>VLOOKUP(K140,'Assessment Details'!$O$49:$P$52,2,FALSE)</f>
        <v>#N/A</v>
      </c>
      <c r="AE140" s="1" t="e">
        <f>VLOOKUP(R140,'Assessment Details'!$O$49:$P$52,2,FALSE)</f>
        <v>#N/A</v>
      </c>
      <c r="AF140" s="1" t="e">
        <f>VLOOKUP(Y140,'Assessment Details'!$O$49:$P$52,2,FALSE)</f>
        <v>#N/A</v>
      </c>
    </row>
    <row r="141" spans="1:52" x14ac:dyDescent="0.25">
      <c r="A141" s="1410">
        <v>132</v>
      </c>
      <c r="B141" s="1412" t="s">
        <v>63</v>
      </c>
      <c r="C141" s="109" t="str">
        <f t="shared" si="18"/>
        <v>Mat 06</v>
      </c>
      <c r="D141" s="16" t="s">
        <v>764</v>
      </c>
      <c r="E141" s="663" t="str">
        <f>VLOOKUP(D141,Poeng!$B$10:$R$252,Poeng!E$1,FALSE)</f>
        <v>Material efficency</v>
      </c>
      <c r="F141" s="107">
        <f>VLOOKUP(D141,Poeng!$B$10:$AB$252,Poeng!AB$1,FALSE)</f>
        <v>1</v>
      </c>
      <c r="G141" s="1261">
        <f>'Assessment Issue Scoring'!G848</f>
        <v>0</v>
      </c>
      <c r="H141" s="108">
        <f>VLOOKUP(D141,Poeng!$B$10:$AE$252,Poeng!AE$1,FALSE)</f>
        <v>0</v>
      </c>
      <c r="I141" s="109" t="str">
        <f>VLOOKUP(D141,Poeng!$B$10:$BE$252,Poeng!BE$1,FALSE)</f>
        <v>N/A</v>
      </c>
      <c r="J141" s="74"/>
      <c r="K141" s="241"/>
      <c r="L141" s="608"/>
      <c r="M141" s="623"/>
      <c r="N141" s="77"/>
      <c r="O141" s="108">
        <f>VLOOKUP(D141,Poeng!$B$10:$BC$252,Poeng!AF$1,FALSE)</f>
        <v>0</v>
      </c>
      <c r="P141" s="108" t="str">
        <f>VLOOKUP(D141,Poeng!$B$10:$BH$252,Poeng!BH$1,FALSE)</f>
        <v>N/A</v>
      </c>
      <c r="Q141" s="558"/>
      <c r="R141" s="559"/>
      <c r="S141" s="552"/>
      <c r="T141" s="276"/>
      <c r="U141" s="77"/>
      <c r="V141" s="108">
        <f>VLOOKUP(D141,Poeng!$B$10:$BC$252,Poeng!AG$1,FALSE)</f>
        <v>0</v>
      </c>
      <c r="W141" s="108" t="str">
        <f>VLOOKUP(D141,Poeng!$B$10:$BK$252,Poeng!BK$1,FALSE)</f>
        <v>N/A</v>
      </c>
      <c r="X141" s="75"/>
      <c r="Y141" s="74"/>
      <c r="Z141" s="552"/>
      <c r="AC141" s="20">
        <f t="shared" si="11"/>
        <v>1</v>
      </c>
      <c r="AD141" s="1" t="e">
        <f>VLOOKUP(K141,'Assessment Details'!$O$49:$P$52,2,FALSE)</f>
        <v>#N/A</v>
      </c>
      <c r="AE141" s="1" t="e">
        <f>VLOOKUP(R141,'Assessment Details'!$O$49:$P$52,2,FALSE)</f>
        <v>#N/A</v>
      </c>
      <c r="AF141" s="1" t="e">
        <f>VLOOKUP(Y141,'Assessment Details'!$O$49:$P$52,2,FALSE)</f>
        <v>#N/A</v>
      </c>
    </row>
    <row r="142" spans="1:52" x14ac:dyDescent="0.25">
      <c r="A142" s="1410">
        <v>133</v>
      </c>
      <c r="B142" s="1412" t="s">
        <v>63</v>
      </c>
      <c r="C142" s="109" t="str">
        <f t="shared" si="18"/>
        <v>Mat 06</v>
      </c>
      <c r="D142" s="16" t="s">
        <v>765</v>
      </c>
      <c r="E142" s="663" t="str">
        <f>VLOOKUP(D142,Poeng!$B$10:$R$252,Poeng!E$1,FALSE)</f>
        <v>Reuse of extern building components</v>
      </c>
      <c r="F142" s="107">
        <f>VLOOKUP(D142,Poeng!$B$10:$AB$252,Poeng!AB$1,FALSE)</f>
        <v>1</v>
      </c>
      <c r="G142" s="1261">
        <f>'Assessment Issue Scoring'!G849</f>
        <v>0</v>
      </c>
      <c r="H142" s="108">
        <f>VLOOKUP(D142,Poeng!$B$10:$AE$252,Poeng!AE$1,FALSE)</f>
        <v>0</v>
      </c>
      <c r="I142" s="109" t="str">
        <f>VLOOKUP(D142,Poeng!$B$10:$BE$252,Poeng!BE$1,FALSE)</f>
        <v>N/A</v>
      </c>
      <c r="J142" s="74"/>
      <c r="K142" s="241"/>
      <c r="L142" s="608"/>
      <c r="M142" s="623"/>
      <c r="N142" s="77"/>
      <c r="O142" s="108">
        <f>VLOOKUP(D142,Poeng!$B$10:$BC$252,Poeng!AF$1,FALSE)</f>
        <v>0</v>
      </c>
      <c r="P142" s="108" t="str">
        <f>VLOOKUP(D142,Poeng!$B$10:$BH$252,Poeng!BH$1,FALSE)</f>
        <v>N/A</v>
      </c>
      <c r="Q142" s="558"/>
      <c r="R142" s="559"/>
      <c r="S142" s="552"/>
      <c r="T142" s="276"/>
      <c r="U142" s="77"/>
      <c r="V142" s="108">
        <f>VLOOKUP(D142,Poeng!$B$10:$BC$252,Poeng!AG$1,FALSE)</f>
        <v>0</v>
      </c>
      <c r="W142" s="108" t="str">
        <f>VLOOKUP(D142,Poeng!$B$10:$BK$252,Poeng!BK$1,FALSE)</f>
        <v>N/A</v>
      </c>
      <c r="X142" s="75"/>
      <c r="Y142" s="74"/>
      <c r="Z142" s="552"/>
      <c r="AC142" s="20">
        <f t="shared" si="11"/>
        <v>1</v>
      </c>
      <c r="AD142" s="1" t="e">
        <f>VLOOKUP(K142,'Assessment Details'!$O$49:$P$52,2,FALSE)</f>
        <v>#N/A</v>
      </c>
      <c r="AE142" s="1" t="e">
        <f>VLOOKUP(R142,'Assessment Details'!$O$49:$P$52,2,FALSE)</f>
        <v>#N/A</v>
      </c>
      <c r="AF142" s="1" t="e">
        <f>VLOOKUP(Y142,'Assessment Details'!$O$49:$P$52,2,FALSE)</f>
        <v>#N/A</v>
      </c>
    </row>
    <row r="143" spans="1:52" x14ac:dyDescent="0.25">
      <c r="A143" s="1410">
        <v>134</v>
      </c>
      <c r="B143" s="1412" t="s">
        <v>63</v>
      </c>
      <c r="C143" s="690" t="s">
        <v>458</v>
      </c>
      <c r="D143" s="628" t="s">
        <v>458</v>
      </c>
      <c r="E143" s="662" t="str">
        <f>VLOOKUP(D143,Poeng!$B$10:$R$252,Poeng!E$1,FALSE)</f>
        <v>Mat 07 Design for disassembly and adaptability</v>
      </c>
      <c r="F143" s="667">
        <f>VLOOKUP(D143,Poeng!$B$10:$AB$252,Poeng!AB$1,FALSE)</f>
        <v>3</v>
      </c>
      <c r="G143" s="742"/>
      <c r="H143" s="668" t="str">
        <f>VLOOKUP(D143,Poeng!$B$10:$AI$252,Poeng!AI$1,FALSE)&amp;" c. "&amp;ROUND(VLOOKUP(D143,Poeng!$B$10:$AE$252,Poeng!AE$1,FALSE)*100,1)&amp;" %"</f>
        <v>0 c. 0 %</v>
      </c>
      <c r="I143" s="690" t="str">
        <f>VLOOKUP(D143,Poeng!$B$10:$BE$252,Poeng!BE$1,FALSE)</f>
        <v>N/A</v>
      </c>
      <c r="J143" s="74"/>
      <c r="K143" s="241"/>
      <c r="L143" s="608"/>
      <c r="M143" s="623"/>
      <c r="N143" s="742"/>
      <c r="O143" s="679" t="str">
        <f>VLOOKUP(D143,Poeng!$B$10:$BC$252,Poeng!AJ$1,FALSE)&amp;" c. "&amp;ROUND(VLOOKUP(D143,Poeng!$B$10:$BC$252,Poeng!AF$1,FALSE)*100,1)&amp;" %"</f>
        <v>0 c. 0 %</v>
      </c>
      <c r="P143" s="108" t="str">
        <f>VLOOKUP(D143,Poeng!$B$10:$BH$252,Poeng!BH$1,FALSE)</f>
        <v>N/A</v>
      </c>
      <c r="Q143" s="558"/>
      <c r="R143" s="559"/>
      <c r="S143" s="552"/>
      <c r="T143" s="276"/>
      <c r="U143" s="742"/>
      <c r="V143" s="679" t="str">
        <f>VLOOKUP(D143,Poeng!$B$10:$BC$252,Poeng!AK$1,FALSE)&amp;" c. "&amp;ROUND(VLOOKUP(D143,Poeng!$B$10:$BC$252,Poeng!AG$1,FALSE)*100,1)&amp;" %"</f>
        <v>0 c. 0 %</v>
      </c>
      <c r="W143" s="108" t="str">
        <f>VLOOKUP(D143,Poeng!$B$10:$BK$252,Poeng!BK$1,FALSE)</f>
        <v>N/A</v>
      </c>
      <c r="X143" s="75"/>
      <c r="Y143" s="74"/>
      <c r="Z143" s="552"/>
      <c r="AA143" s="117"/>
      <c r="AB143" s="534"/>
      <c r="AC143" s="20">
        <f t="shared" si="11"/>
        <v>1</v>
      </c>
      <c r="AD143" s="1" t="e">
        <f>VLOOKUP(K143,'Assessment Details'!$O$49:$P$52,2,FALSE)</f>
        <v>#N/A</v>
      </c>
      <c r="AE143" s="1" t="e">
        <f>VLOOKUP(R143,'Assessment Details'!$O$49:$P$52,2,FALSE)</f>
        <v>#N/A</v>
      </c>
      <c r="AF143" s="1" t="e">
        <f>VLOOKUP(Y143,'Assessment Details'!$O$49:$P$52,2,FALSE)</f>
        <v>#N/A</v>
      </c>
      <c r="AI143" s="64"/>
      <c r="AJ143" s="508"/>
      <c r="AK143" s="487"/>
      <c r="AL143" s="487"/>
      <c r="AM143" s="487"/>
      <c r="AN143" s="64"/>
      <c r="AO143" s="64"/>
      <c r="AP143" s="64"/>
      <c r="AS143" s="20"/>
      <c r="AT143" s="20"/>
      <c r="AU143" s="20"/>
      <c r="AV143" s="20"/>
      <c r="AW143" s="20"/>
      <c r="AX143" s="20"/>
      <c r="AZ143" s="535"/>
    </row>
    <row r="144" spans="1:52" x14ac:dyDescent="0.25">
      <c r="A144" s="1410">
        <v>135</v>
      </c>
      <c r="B144" s="1412" t="s">
        <v>63</v>
      </c>
      <c r="C144" s="109" t="str">
        <f t="shared" si="18"/>
        <v>Mat 07</v>
      </c>
      <c r="D144" s="16" t="s">
        <v>766</v>
      </c>
      <c r="E144" s="663" t="str">
        <f>VLOOKUP(D144,Poeng!$B$10:$R$252,Poeng!E$1,FALSE)</f>
        <v>Resource inventory</v>
      </c>
      <c r="F144" s="107">
        <f>VLOOKUP(D144,Poeng!$B$10:$AB$252,Poeng!AB$1,FALSE)</f>
        <v>1</v>
      </c>
      <c r="G144" s="1166">
        <f>'Assessment Issue Scoring'!G883</f>
        <v>0</v>
      </c>
      <c r="H144" s="108">
        <f>VLOOKUP(D144,Poeng!$B$10:$AE$252,Poeng!AE$1,FALSE)</f>
        <v>0</v>
      </c>
      <c r="I144" s="109" t="str">
        <f>VLOOKUP(D144,Poeng!$B$10:$BE$252,Poeng!BE$1,FALSE)</f>
        <v>N/A</v>
      </c>
      <c r="J144" s="74"/>
      <c r="K144" s="241"/>
      <c r="L144" s="608"/>
      <c r="M144" s="623"/>
      <c r="N144" s="77"/>
      <c r="O144" s="108">
        <f>VLOOKUP(D144,Poeng!$B$10:$BC$252,Poeng!AF$1,FALSE)</f>
        <v>0</v>
      </c>
      <c r="P144" s="108" t="str">
        <f>VLOOKUP(D144,Poeng!$B$10:$BH$252,Poeng!BH$1,FALSE)</f>
        <v>N/A</v>
      </c>
      <c r="Q144" s="558"/>
      <c r="R144" s="559"/>
      <c r="S144" s="552"/>
      <c r="T144" s="276"/>
      <c r="U144" s="77"/>
      <c r="V144" s="108">
        <f>VLOOKUP(D144,Poeng!$B$10:$BC$252,Poeng!AG$1,FALSE)</f>
        <v>0</v>
      </c>
      <c r="W144" s="108" t="str">
        <f>VLOOKUP(D144,Poeng!$B$10:$BK$252,Poeng!BK$1,FALSE)</f>
        <v>N/A</v>
      </c>
      <c r="X144" s="75"/>
      <c r="Y144" s="74"/>
      <c r="Z144" s="552"/>
      <c r="AC144" s="20">
        <f t="shared" si="11"/>
        <v>1</v>
      </c>
      <c r="AD144" s="1" t="e">
        <f>VLOOKUP(K144,'Assessment Details'!$O$49:$P$52,2,FALSE)</f>
        <v>#N/A</v>
      </c>
      <c r="AE144" s="1" t="e">
        <f>VLOOKUP(R144,'Assessment Details'!$O$49:$P$52,2,FALSE)</f>
        <v>#N/A</v>
      </c>
      <c r="AF144" s="1" t="e">
        <f>VLOOKUP(Y144,'Assessment Details'!$O$49:$P$52,2,FALSE)</f>
        <v>#N/A</v>
      </c>
    </row>
    <row r="145" spans="1:52" ht="30" x14ac:dyDescent="0.25">
      <c r="A145" s="1410">
        <v>136</v>
      </c>
      <c r="B145" s="1412" t="s">
        <v>63</v>
      </c>
      <c r="C145" s="809" t="str">
        <f t="shared" si="18"/>
        <v>Mat 07</v>
      </c>
      <c r="D145" s="16" t="s">
        <v>767</v>
      </c>
      <c r="E145" s="798" t="str">
        <f>VLOOKUP(D145,Poeng!$B$10:$R$252,Poeng!E$1,FALSE)</f>
        <v>Design for disassembly and functional adaptability - recommendations (EU taxonomy requirement: criterion 2-3)</v>
      </c>
      <c r="F145" s="107">
        <f>VLOOKUP(D145,Poeng!$B$10:$AB$252,Poeng!AB$1,FALSE)</f>
        <v>1</v>
      </c>
      <c r="G145" s="1261">
        <f>'Assessment Issue Scoring'!G884</f>
        <v>0</v>
      </c>
      <c r="H145" s="108">
        <f>VLOOKUP(D145,Poeng!$B$10:$AE$252,Poeng!AE$1,FALSE)</f>
        <v>0</v>
      </c>
      <c r="I145" s="109" t="str">
        <f>VLOOKUP(D145,Poeng!$B$10:$BE$252,Poeng!BE$1,FALSE)</f>
        <v>Very Good</v>
      </c>
      <c r="J145" s="74"/>
      <c r="K145" s="241"/>
      <c r="L145" s="608"/>
      <c r="M145" s="623"/>
      <c r="N145" s="77"/>
      <c r="O145" s="108">
        <f>VLOOKUP(D145,Poeng!$B$10:$BC$252,Poeng!AF$1,FALSE)</f>
        <v>0</v>
      </c>
      <c r="P145" s="108" t="str">
        <f>VLOOKUP(D145,Poeng!$B$10:$BH$252,Poeng!BH$1,FALSE)</f>
        <v>Very Good</v>
      </c>
      <c r="Q145" s="558"/>
      <c r="R145" s="559"/>
      <c r="S145" s="552"/>
      <c r="T145" s="276"/>
      <c r="U145" s="77"/>
      <c r="V145" s="108">
        <f>VLOOKUP(D145,Poeng!$B$10:$BC$252,Poeng!AG$1,FALSE)</f>
        <v>0</v>
      </c>
      <c r="W145" s="108" t="str">
        <f>VLOOKUP(D145,Poeng!$B$10:$BK$252,Poeng!BK$1,FALSE)</f>
        <v>Very Good</v>
      </c>
      <c r="X145" s="75"/>
      <c r="Y145" s="74"/>
      <c r="Z145" s="552"/>
      <c r="AC145" s="20">
        <f t="shared" ref="AC145:AC213" si="20">IF(F145="",1,IF(F145=0,2,1))</f>
        <v>1</v>
      </c>
      <c r="AD145" s="1" t="e">
        <f>VLOOKUP(K145,'Assessment Details'!$O$49:$P$52,2,FALSE)</f>
        <v>#N/A</v>
      </c>
      <c r="AE145" s="1" t="e">
        <f>VLOOKUP(R145,'Assessment Details'!$O$49:$P$52,2,FALSE)</f>
        <v>#N/A</v>
      </c>
      <c r="AF145" s="1" t="e">
        <f>VLOOKUP(Y145,'Assessment Details'!$O$49:$P$52,2,FALSE)</f>
        <v>#N/A</v>
      </c>
    </row>
    <row r="146" spans="1:52" x14ac:dyDescent="0.25">
      <c r="A146" s="1410">
        <v>137</v>
      </c>
      <c r="B146" s="1412" t="s">
        <v>63</v>
      </c>
      <c r="C146" s="109" t="str">
        <f t="shared" si="18"/>
        <v>Mat 07</v>
      </c>
      <c r="D146" s="16" t="s">
        <v>768</v>
      </c>
      <c r="E146" s="663" t="str">
        <f>VLOOKUP(D146,Poeng!$B$10:$R$252,Poeng!E$1,FALSE)</f>
        <v>Disassembly and functional adaptability - implementation (EU taxonomy requirement: criterion 4-6)</v>
      </c>
      <c r="F146" s="107">
        <f>VLOOKUP(D146,Poeng!$B$10:$AB$252,Poeng!AB$1,FALSE)</f>
        <v>1</v>
      </c>
      <c r="G146" s="1166">
        <f>'Assessment Issue Scoring'!G885</f>
        <v>0</v>
      </c>
      <c r="H146" s="108">
        <f>VLOOKUP(D146,Poeng!$B$10:$AE$252,Poeng!AE$1,FALSE)</f>
        <v>0</v>
      </c>
      <c r="I146" s="109" t="str">
        <f>VLOOKUP(D146,Poeng!$B$10:$BE$252,Poeng!BE$1,FALSE)</f>
        <v>Very Good</v>
      </c>
      <c r="J146" s="74"/>
      <c r="K146" s="241"/>
      <c r="L146" s="608"/>
      <c r="M146" s="623"/>
      <c r="N146" s="77"/>
      <c r="O146" s="108">
        <f>VLOOKUP(D146,Poeng!$B$10:$BC$252,Poeng!AF$1,FALSE)</f>
        <v>0</v>
      </c>
      <c r="P146" s="108" t="str">
        <f>VLOOKUP(D146,Poeng!$B$10:$BH$252,Poeng!BH$1,FALSE)</f>
        <v>Very Good</v>
      </c>
      <c r="Q146" s="558"/>
      <c r="R146" s="559"/>
      <c r="S146" s="552"/>
      <c r="T146" s="276"/>
      <c r="U146" s="77"/>
      <c r="V146" s="108">
        <f>VLOOKUP(D146,Poeng!$B$10:$BC$252,Poeng!AG$1,FALSE)</f>
        <v>0</v>
      </c>
      <c r="W146" s="108" t="str">
        <f>VLOOKUP(D146,Poeng!$B$10:$BK$252,Poeng!BK$1,FALSE)</f>
        <v>Very Good</v>
      </c>
      <c r="X146" s="75"/>
      <c r="Y146" s="74"/>
      <c r="Z146" s="552"/>
      <c r="AC146" s="20">
        <f t="shared" si="20"/>
        <v>1</v>
      </c>
      <c r="AD146" s="1" t="e">
        <f>VLOOKUP(K146,'Assessment Details'!$O$49:$P$52,2,FALSE)</f>
        <v>#N/A</v>
      </c>
      <c r="AE146" s="1" t="e">
        <f>VLOOKUP(R146,'Assessment Details'!$O$49:$P$52,2,FALSE)</f>
        <v>#N/A</v>
      </c>
      <c r="AF146" s="1" t="e">
        <f>VLOOKUP(Y146,'Assessment Details'!$O$49:$P$52,2,FALSE)</f>
        <v>#N/A</v>
      </c>
    </row>
    <row r="147" spans="1:52" ht="15.75" thickBot="1" x14ac:dyDescent="0.3">
      <c r="A147" s="1410">
        <v>138</v>
      </c>
      <c r="B147" s="1412" t="s">
        <v>63</v>
      </c>
      <c r="C147" s="805"/>
      <c r="D147" s="628" t="s">
        <v>865</v>
      </c>
      <c r="E147" s="277" t="s">
        <v>102</v>
      </c>
      <c r="F147" s="110">
        <f>Mat_Credits</f>
        <v>21</v>
      </c>
      <c r="G147" s="115"/>
      <c r="H147" s="111">
        <f>Mat_cont_tot</f>
        <v>0</v>
      </c>
      <c r="I147" s="669" t="str">
        <f>"Credits achieved: "&amp;Mat_tot_user</f>
        <v>Credits achieved: 0</v>
      </c>
      <c r="J147" s="118"/>
      <c r="K147" s="242"/>
      <c r="L147" s="560"/>
      <c r="M147" s="623"/>
      <c r="N147" s="320"/>
      <c r="O147" s="111">
        <f>VLOOKUP(D147,Poeng!$B$10:$BC$252,Poeng!AF$1,FALSE)</f>
        <v>0</v>
      </c>
      <c r="P147" s="669" t="str">
        <f>"Credits achieved: "&amp;Mat_c_user</f>
        <v>Credits achieved: 0</v>
      </c>
      <c r="Q147" s="561"/>
      <c r="R147" s="562"/>
      <c r="S147" s="560"/>
      <c r="T147" s="276"/>
      <c r="U147" s="320"/>
      <c r="V147" s="111">
        <f>VLOOKUP(D147,Poeng!$B$10:$BC$252,Poeng!AG$1,FALSE)</f>
        <v>0</v>
      </c>
      <c r="W147" s="669" t="str">
        <f>"Credits achieved: "&amp;Mat_d_user</f>
        <v>Credits achieved: 0</v>
      </c>
      <c r="X147" s="319"/>
      <c r="Y147" s="120"/>
      <c r="Z147" s="560"/>
      <c r="AA147" s="117"/>
      <c r="AB147" s="482"/>
      <c r="AC147" s="20">
        <f t="shared" si="20"/>
        <v>1</v>
      </c>
      <c r="AD147" s="238">
        <v>0</v>
      </c>
      <c r="AE147" s="238">
        <v>0</v>
      </c>
      <c r="AF147" s="238">
        <v>0</v>
      </c>
      <c r="AI147" s="64"/>
      <c r="AJ147" s="508" t="s">
        <v>102</v>
      </c>
      <c r="AK147" s="64"/>
      <c r="AL147" s="64"/>
      <c r="AM147" s="64"/>
      <c r="AN147" s="64"/>
      <c r="AO147" s="64"/>
      <c r="AP147" s="64"/>
      <c r="AS147" s="20" t="str">
        <f t="shared" si="12"/>
        <v>N/A</v>
      </c>
      <c r="AT147" s="20" t="str">
        <f t="shared" si="13"/>
        <v>N/A</v>
      </c>
      <c r="AU147" s="20" t="str">
        <f t="shared" si="14"/>
        <v>N/A</v>
      </c>
      <c r="AV147" s="20"/>
      <c r="AW147" s="20"/>
      <c r="AX147" s="20"/>
      <c r="AZ147" s="482"/>
    </row>
    <row r="148" spans="1:52" x14ac:dyDescent="0.25">
      <c r="A148" s="1410">
        <v>139</v>
      </c>
      <c r="B148" s="1412" t="s">
        <v>63</v>
      </c>
      <c r="C148" s="807"/>
      <c r="D148" s="628"/>
      <c r="E148" s="290"/>
      <c r="F148" s="279"/>
      <c r="G148" s="280"/>
      <c r="H148" s="279"/>
      <c r="I148" s="279"/>
      <c r="J148" s="281"/>
      <c r="K148" s="280"/>
      <c r="L148" s="563"/>
      <c r="M148" s="623"/>
      <c r="N148" s="282"/>
      <c r="O148" s="282"/>
      <c r="P148" s="563"/>
      <c r="Q148" s="563"/>
      <c r="R148" s="564"/>
      <c r="S148" s="563"/>
      <c r="T148" s="276"/>
      <c r="U148" s="282"/>
      <c r="V148" s="282"/>
      <c r="W148" s="563"/>
      <c r="X148" s="281"/>
      <c r="Y148" s="282"/>
      <c r="Z148" s="563"/>
      <c r="AA148" s="117"/>
      <c r="AB148" s="281"/>
      <c r="AC148" s="20">
        <f t="shared" si="20"/>
        <v>1</v>
      </c>
      <c r="AD148" s="239">
        <v>0</v>
      </c>
      <c r="AE148" s="239">
        <v>0</v>
      </c>
      <c r="AF148" s="239">
        <v>0</v>
      </c>
      <c r="AI148" s="64"/>
      <c r="AJ148" s="508"/>
      <c r="AK148" s="64"/>
      <c r="AL148" s="64"/>
      <c r="AM148" s="64"/>
      <c r="AN148" s="64"/>
      <c r="AO148" s="64"/>
      <c r="AP148" s="64"/>
      <c r="AS148" s="20" t="str">
        <f t="shared" si="12"/>
        <v>N/A</v>
      </c>
      <c r="AT148" s="20" t="str">
        <f t="shared" si="13"/>
        <v>N/A</v>
      </c>
      <c r="AU148" s="20" t="str">
        <f t="shared" si="14"/>
        <v>N/A</v>
      </c>
      <c r="AV148" s="20"/>
      <c r="AW148" s="20"/>
      <c r="AX148" s="20"/>
      <c r="AZ148" s="281"/>
    </row>
    <row r="149" spans="1:52" ht="18.75" x14ac:dyDescent="0.25">
      <c r="A149" s="1410">
        <v>140</v>
      </c>
      <c r="B149" s="1412" t="s">
        <v>64</v>
      </c>
      <c r="C149" s="808"/>
      <c r="D149" s="628"/>
      <c r="E149" s="291" t="s">
        <v>51</v>
      </c>
      <c r="F149" s="272"/>
      <c r="G149" s="273"/>
      <c r="H149" s="292"/>
      <c r="I149" s="272"/>
      <c r="J149" s="284"/>
      <c r="K149" s="285"/>
      <c r="L149" s="566"/>
      <c r="M149" s="623"/>
      <c r="N149" s="295"/>
      <c r="O149" s="288"/>
      <c r="P149" s="556"/>
      <c r="Q149" s="567"/>
      <c r="R149" s="568"/>
      <c r="S149" s="569"/>
      <c r="T149" s="276"/>
      <c r="U149" s="295"/>
      <c r="V149" s="294"/>
      <c r="W149" s="556"/>
      <c r="X149" s="284"/>
      <c r="Y149" s="294"/>
      <c r="Z149" s="566"/>
      <c r="AA149" s="117"/>
      <c r="AB149" s="293"/>
      <c r="AC149" s="20">
        <f t="shared" si="20"/>
        <v>1</v>
      </c>
      <c r="AD149" s="237">
        <v>0</v>
      </c>
      <c r="AE149" s="237">
        <v>0</v>
      </c>
      <c r="AF149" s="237">
        <v>0</v>
      </c>
      <c r="AI149" s="64"/>
      <c r="AJ149" s="508" t="s">
        <v>51</v>
      </c>
      <c r="AK149" s="64"/>
      <c r="AL149" s="64"/>
      <c r="AM149" s="64"/>
      <c r="AN149" s="64"/>
      <c r="AO149" s="64"/>
      <c r="AP149" s="64"/>
      <c r="AS149" s="20" t="str">
        <f t="shared" si="12"/>
        <v>N/A</v>
      </c>
      <c r="AT149" s="20" t="str">
        <f t="shared" si="13"/>
        <v>N/A</v>
      </c>
      <c r="AU149" s="20" t="str">
        <f t="shared" si="14"/>
        <v>N/A</v>
      </c>
      <c r="AV149" s="20"/>
      <c r="AW149" s="20"/>
      <c r="AX149" s="20"/>
      <c r="AZ149" s="293"/>
    </row>
    <row r="150" spans="1:52" x14ac:dyDescent="0.25">
      <c r="A150" s="1410">
        <v>141</v>
      </c>
      <c r="B150" s="1412" t="s">
        <v>64</v>
      </c>
      <c r="C150" s="690" t="s">
        <v>171</v>
      </c>
      <c r="D150" s="628" t="s">
        <v>171</v>
      </c>
      <c r="E150" s="662" t="str">
        <f>VLOOKUP(D150,Poeng!$B$10:$R$252,Poeng!E$1,FALSE)</f>
        <v>Wst 01 Construction waste management</v>
      </c>
      <c r="F150" s="667">
        <f>VLOOKUP(D150,Poeng!$B$10:$AB$252,Poeng!AB$1,FALSE)</f>
        <v>5</v>
      </c>
      <c r="G150" s="741"/>
      <c r="H150" s="668" t="str">
        <f>VLOOKUP(D150,Poeng!$B$10:$AI$252,Poeng!AI$1,FALSE)&amp;" c. "&amp;ROUND(VLOOKUP(D150,Poeng!$B$10:$AE$252,Poeng!AE$1,FALSE)*100,1)&amp;" %"</f>
        <v>0 c. 0 %</v>
      </c>
      <c r="I150" s="689" t="str">
        <f>VLOOKUP(D150,Poeng!$B$10:$BE$252,Poeng!BE$1,FALSE)</f>
        <v>N/A</v>
      </c>
      <c r="J150" s="676"/>
      <c r="K150" s="677"/>
      <c r="L150" s="678"/>
      <c r="M150" s="623"/>
      <c r="N150" s="742"/>
      <c r="O150" s="815" t="str">
        <f>VLOOKUP(D150,Poeng!$B$10:$BC$252,Poeng!AJ$1,FALSE)&amp;" c. "&amp;ROUND(VLOOKUP(D150,Poeng!$B$10:$BC$252,Poeng!AF$1,FALSE)*100,1)&amp;" %"</f>
        <v>0 c. 0 %</v>
      </c>
      <c r="P150" s="108" t="str">
        <f>VLOOKUP(D150,Poeng!$B$10:$BH$252,Poeng!BH$1,FALSE)</f>
        <v>N/A</v>
      </c>
      <c r="Q150" s="558"/>
      <c r="R150" s="559"/>
      <c r="S150" s="552"/>
      <c r="T150" s="276"/>
      <c r="U150" s="742"/>
      <c r="V150" s="679" t="str">
        <f>VLOOKUP(D150,Poeng!$B$10:$BC$252,Poeng!AK$1,FALSE)&amp;" c. "&amp;ROUND(VLOOKUP(D150,Poeng!$B$10:$BC$252,Poeng!AG$1,FALSE)*100,1)&amp;" %"</f>
        <v>0 c. 0 %</v>
      </c>
      <c r="W150" s="108" t="str">
        <f>VLOOKUP(D150,Poeng!$B$10:$BK$252,Poeng!BK$1,FALSE)</f>
        <v>N/A</v>
      </c>
      <c r="X150" s="75"/>
      <c r="Y150" s="74"/>
      <c r="Z150" s="552"/>
      <c r="AA150" s="117"/>
      <c r="AB150" s="481" t="s">
        <v>14</v>
      </c>
      <c r="AC150" s="20">
        <f t="shared" si="20"/>
        <v>1</v>
      </c>
      <c r="AD150" s="1" t="e">
        <f>VLOOKUP(K150,'Assessment Details'!$O$49:$P$52,2,FALSE)</f>
        <v>#N/A</v>
      </c>
      <c r="AE150" s="1" t="e">
        <f>VLOOKUP(R150,'Assessment Details'!$O$49:$P$52,2,FALSE)</f>
        <v>#N/A</v>
      </c>
      <c r="AF150" s="1" t="e">
        <f>VLOOKUP(Y150,'Assessment Details'!$O$49:$P$52,2,FALSE)</f>
        <v>#N/A</v>
      </c>
      <c r="AI150" s="64"/>
      <c r="AJ150" s="508" t="s">
        <v>153</v>
      </c>
      <c r="AK150" s="64"/>
      <c r="AL150" s="64"/>
      <c r="AM150" s="64"/>
      <c r="AN150" s="64"/>
      <c r="AO150" s="64"/>
      <c r="AP150" s="64"/>
      <c r="AS150" s="20" t="str">
        <f t="shared" si="12"/>
        <v>N/A</v>
      </c>
      <c r="AT150" s="20" t="str">
        <f t="shared" si="13"/>
        <v>N/A</v>
      </c>
      <c r="AU150" s="20" t="str">
        <f t="shared" si="14"/>
        <v>N/A</v>
      </c>
      <c r="AV150" s="20"/>
      <c r="AW150" s="20"/>
      <c r="AX150" s="20"/>
      <c r="AZ150" s="481"/>
    </row>
    <row r="151" spans="1:52" x14ac:dyDescent="0.25">
      <c r="A151" s="1410">
        <v>142</v>
      </c>
      <c r="B151" s="1412" t="s">
        <v>64</v>
      </c>
      <c r="C151" s="109" t="str">
        <f>C150</f>
        <v>Wst 01</v>
      </c>
      <c r="D151" s="628" t="s">
        <v>769</v>
      </c>
      <c r="E151" s="663" t="str">
        <f>VLOOKUP(D151,Poeng!$B$10:$R$259,Poeng!E$1,FALSE)</f>
        <v>Resource managment plan</v>
      </c>
      <c r="F151" s="107">
        <f>VLOOKUP(D151,Poeng!$B$10:$AB$259,Poeng!AB$1,FALSE)</f>
        <v>1</v>
      </c>
      <c r="G151" s="1166">
        <f>'Assessment Issue Scoring'!G910</f>
        <v>0</v>
      </c>
      <c r="H151" s="108">
        <f>VLOOKUP(D151,Poeng!$B$10:$AE$259,Poeng!AE$1,FALSE)</f>
        <v>0</v>
      </c>
      <c r="I151" s="109" t="str">
        <f>VLOOKUP(D151,Poeng!$B$10:$BE$259,Poeng!BE$1,FALSE)</f>
        <v>Good</v>
      </c>
      <c r="J151" s="836"/>
      <c r="K151" s="837"/>
      <c r="L151" s="838"/>
      <c r="M151" s="623"/>
      <c r="N151" s="77"/>
      <c r="O151" s="108">
        <f>VLOOKUP(D151,Poeng!$B$10:$BC$259,Poeng!AF$1,FALSE)</f>
        <v>0</v>
      </c>
      <c r="P151" s="108" t="str">
        <f>VLOOKUP(D151,Poeng!$B$10:$BH$259,Poeng!BH$1,FALSE)</f>
        <v>Good</v>
      </c>
      <c r="Q151" s="558"/>
      <c r="R151" s="559"/>
      <c r="S151" s="552"/>
      <c r="T151" s="276"/>
      <c r="U151" s="77"/>
      <c r="V151" s="108">
        <f>VLOOKUP(D151,Poeng!$B$10:$BC$259,Poeng!AG$1,FALSE)</f>
        <v>0</v>
      </c>
      <c r="W151" s="108" t="str">
        <f>VLOOKUP(D151,Poeng!$B$10:$BK$259,Poeng!BK$1,FALSE)</f>
        <v>Good</v>
      </c>
      <c r="X151" s="75"/>
      <c r="Y151" s="74"/>
      <c r="Z151" s="552"/>
      <c r="AA151" s="117"/>
      <c r="AB151" s="666"/>
      <c r="AC151" s="20">
        <f t="shared" ref="AC151" si="21">IF(F151="",1,IF(F151=0,2,1))</f>
        <v>1</v>
      </c>
      <c r="AD151" s="1" t="e">
        <f>VLOOKUP(K151,'Assessment Details'!$O$49:$P$52,2,FALSE)</f>
        <v>#N/A</v>
      </c>
      <c r="AE151" s="1" t="e">
        <f>VLOOKUP(R151,'Assessment Details'!$O$49:$P$52,2,FALSE)</f>
        <v>#N/A</v>
      </c>
      <c r="AF151" s="1" t="e">
        <f>VLOOKUP(Y151,'Assessment Details'!$O$49:$P$52,2,FALSE)</f>
        <v>#N/A</v>
      </c>
      <c r="AS151" s="20"/>
      <c r="AT151" s="20"/>
      <c r="AU151" s="20"/>
      <c r="AV151" s="20"/>
      <c r="AW151" s="20"/>
      <c r="AX151" s="20"/>
      <c r="AZ151" s="666"/>
    </row>
    <row r="152" spans="1:52" x14ac:dyDescent="0.25">
      <c r="A152" s="1410">
        <v>143</v>
      </c>
      <c r="B152" s="1412" t="s">
        <v>64</v>
      </c>
      <c r="C152" s="109" t="str">
        <f>C150</f>
        <v>Wst 01</v>
      </c>
      <c r="D152" s="16" t="s">
        <v>998</v>
      </c>
      <c r="E152" s="1415" t="str">
        <f>VLOOKUP(D152,Poeng!$B$10:$R$259,Poeng!E$1,FALSE)</f>
        <v>EU taxonomy requirement: criterion 1</v>
      </c>
      <c r="F152" s="107" t="str">
        <f>VLOOKUP(D152,Poeng!$B$10:$AB$259,Poeng!AB$1,FALSE)</f>
        <v>Yes/No</v>
      </c>
      <c r="G152" s="1261" t="str">
        <f>'Assessment Issue Scoring'!E911</f>
        <v>Please select</v>
      </c>
      <c r="H152" s="108" t="str">
        <f>VLOOKUP(D152,Poeng!$B$10:$AE$259,Poeng!AE$1,FALSE)</f>
        <v>-</v>
      </c>
      <c r="I152" s="109" t="str">
        <f>VLOOKUP(D152,Poeng!$B$10:$BE$259,Poeng!BE$1,FALSE)</f>
        <v>N/A</v>
      </c>
      <c r="J152" s="74"/>
      <c r="K152" s="241"/>
      <c r="L152" s="608"/>
      <c r="M152" s="623"/>
      <c r="N152" s="77"/>
      <c r="O152" s="108" t="str">
        <f>VLOOKUP(D152,Poeng!$B$10:$BC$259,Poeng!AF$1,FALSE)</f>
        <v>-</v>
      </c>
      <c r="P152" s="108" t="str">
        <f>VLOOKUP(D152,Poeng!$B$10:$BH$259,Poeng!BH$1,FALSE)</f>
        <v>N/A</v>
      </c>
      <c r="Q152" s="558"/>
      <c r="R152" s="559"/>
      <c r="S152" s="552"/>
      <c r="T152" s="276"/>
      <c r="U152" s="77"/>
      <c r="V152" s="108" t="str">
        <f>VLOOKUP(D152,Poeng!$B$10:$BC$259,Poeng!AG$1,FALSE)</f>
        <v>-</v>
      </c>
      <c r="W152" s="108" t="str">
        <f>VLOOKUP(D152,Poeng!$B$10:$BK$259,Poeng!BK$1,FALSE)</f>
        <v>N/A</v>
      </c>
      <c r="X152" s="75"/>
      <c r="Y152" s="74"/>
      <c r="Z152" s="552"/>
      <c r="AC152" s="20">
        <f t="shared" si="20"/>
        <v>1</v>
      </c>
      <c r="AD152" s="1" t="e">
        <f>VLOOKUP(K152,'Assessment Details'!$O$49:$P$52,2,FALSE)</f>
        <v>#N/A</v>
      </c>
      <c r="AE152" s="1" t="e">
        <f>VLOOKUP(R152,'Assessment Details'!$O$49:$P$52,2,FALSE)</f>
        <v>#N/A</v>
      </c>
      <c r="AF152" s="1" t="e">
        <f>VLOOKUP(Y152,'Assessment Details'!$O$49:$P$52,2,FALSE)</f>
        <v>#N/A</v>
      </c>
    </row>
    <row r="153" spans="1:52" x14ac:dyDescent="0.25">
      <c r="A153" s="1410">
        <v>144</v>
      </c>
      <c r="B153" s="1412" t="s">
        <v>64</v>
      </c>
      <c r="C153" s="109" t="str">
        <f t="shared" si="18"/>
        <v>Wst 01</v>
      </c>
      <c r="D153" s="16" t="s">
        <v>770</v>
      </c>
      <c r="E153" s="663" t="str">
        <f>VLOOKUP(D153,Poeng!$B$10:$R$252,Poeng!E$1,FALSE)</f>
        <v>Amount of construction waste</v>
      </c>
      <c r="F153" s="107">
        <f>VLOOKUP(D153,Poeng!$B$10:$AB$252,Poeng!AB$1,FALSE)</f>
        <v>2</v>
      </c>
      <c r="G153" s="1261">
        <f>'Assessment Issue Scoring'!G912</f>
        <v>0</v>
      </c>
      <c r="H153" s="108">
        <f>VLOOKUP(D153,Poeng!$B$10:$AE$252,Poeng!AE$1,FALSE)</f>
        <v>0</v>
      </c>
      <c r="I153" s="109" t="str">
        <f>VLOOKUP(D153,Poeng!$B$10:$BE$252,Poeng!BE$1,FALSE)</f>
        <v>Excellent</v>
      </c>
      <c r="J153" s="74"/>
      <c r="K153" s="241"/>
      <c r="L153" s="608"/>
      <c r="M153" s="623"/>
      <c r="N153" s="77"/>
      <c r="O153" s="108">
        <f>VLOOKUP(D153,Poeng!$B$10:$BC$252,Poeng!AF$1,FALSE)</f>
        <v>0</v>
      </c>
      <c r="P153" s="108" t="str">
        <f>VLOOKUP(D153,Poeng!$B$10:$BH$252,Poeng!BH$1,FALSE)</f>
        <v>Excellent</v>
      </c>
      <c r="Q153" s="558"/>
      <c r="R153" s="559"/>
      <c r="S153" s="552"/>
      <c r="T153" s="276"/>
      <c r="U153" s="77"/>
      <c r="V153" s="108">
        <f>VLOOKUP(D153,Poeng!$B$10:$BC$252,Poeng!AG$1,FALSE)</f>
        <v>0</v>
      </c>
      <c r="W153" s="108" t="str">
        <f>VLOOKUP(D153,Poeng!$B$10:$BK$252,Poeng!BK$1,FALSE)</f>
        <v>Excellent</v>
      </c>
      <c r="X153" s="75"/>
      <c r="Y153" s="74"/>
      <c r="Z153" s="552"/>
      <c r="AC153" s="20">
        <f t="shared" si="20"/>
        <v>1</v>
      </c>
      <c r="AD153" s="1" t="e">
        <f>VLOOKUP(K153,'Assessment Details'!$O$49:$P$52,2,FALSE)</f>
        <v>#N/A</v>
      </c>
      <c r="AE153" s="1" t="e">
        <f>VLOOKUP(R153,'Assessment Details'!$O$49:$P$52,2,FALSE)</f>
        <v>#N/A</v>
      </c>
      <c r="AF153" s="1" t="e">
        <f>VLOOKUP(Y153,'Assessment Details'!$O$49:$P$52,2,FALSE)</f>
        <v>#N/A</v>
      </c>
    </row>
    <row r="154" spans="1:52" x14ac:dyDescent="0.25">
      <c r="A154" s="1410">
        <v>145</v>
      </c>
      <c r="B154" s="1412" t="s">
        <v>64</v>
      </c>
      <c r="C154" s="109" t="str">
        <f t="shared" si="18"/>
        <v>Wst 01</v>
      </c>
      <c r="D154" s="16" t="s">
        <v>771</v>
      </c>
      <c r="E154" s="663" t="str">
        <f>VLOOKUP(D154,Poeng!$B$10:$R$252,Poeng!E$1,FALSE)</f>
        <v>Waste sorting, reuse and recycling</v>
      </c>
      <c r="F154" s="107">
        <f>VLOOKUP(D154,Poeng!$B$10:$AB$252,Poeng!AB$1,FALSE)</f>
        <v>2</v>
      </c>
      <c r="G154" s="1166">
        <f>'Assessment Issue Scoring'!G913</f>
        <v>0</v>
      </c>
      <c r="H154" s="108">
        <f>VLOOKUP(D154,Poeng!$B$10:$AE$252,Poeng!AE$1,FALSE)</f>
        <v>0</v>
      </c>
      <c r="I154" s="109" t="str">
        <f>VLOOKUP(D154,Poeng!$B$10:$BE$252,Poeng!BE$1,FALSE)</f>
        <v>Very Good</v>
      </c>
      <c r="J154" s="74"/>
      <c r="K154" s="241"/>
      <c r="L154" s="608"/>
      <c r="M154" s="623"/>
      <c r="N154" s="77"/>
      <c r="O154" s="108">
        <f>VLOOKUP(D154,Poeng!$B$10:$BC$252,Poeng!AF$1,FALSE)</f>
        <v>0</v>
      </c>
      <c r="P154" s="108" t="str">
        <f>VLOOKUP(D154,Poeng!$B$10:$BH$252,Poeng!BH$1,FALSE)</f>
        <v>Very Good</v>
      </c>
      <c r="Q154" s="558"/>
      <c r="R154" s="559"/>
      <c r="S154" s="552"/>
      <c r="T154" s="276"/>
      <c r="U154" s="77"/>
      <c r="V154" s="108">
        <f>VLOOKUP(D154,Poeng!$B$10:$BC$252,Poeng!AG$1,FALSE)</f>
        <v>0</v>
      </c>
      <c r="W154" s="108" t="str">
        <f>VLOOKUP(D154,Poeng!$B$10:$BK$252,Poeng!BK$1,FALSE)</f>
        <v>Very Good</v>
      </c>
      <c r="X154" s="75"/>
      <c r="Y154" s="74"/>
      <c r="Z154" s="552"/>
      <c r="AC154" s="20">
        <f t="shared" si="20"/>
        <v>1</v>
      </c>
      <c r="AD154" s="1" t="e">
        <f>VLOOKUP(K154,'Assessment Details'!$O$49:$P$52,2,FALSE)</f>
        <v>#N/A</v>
      </c>
      <c r="AE154" s="1" t="e">
        <f>VLOOKUP(R154,'Assessment Details'!$O$49:$P$52,2,FALSE)</f>
        <v>#N/A</v>
      </c>
      <c r="AF154" s="1" t="e">
        <f>VLOOKUP(Y154,'Assessment Details'!$O$49:$P$52,2,FALSE)</f>
        <v>#N/A</v>
      </c>
    </row>
    <row r="155" spans="1:52" x14ac:dyDescent="0.25">
      <c r="A155" s="1410">
        <v>146</v>
      </c>
      <c r="B155" s="1412" t="s">
        <v>64</v>
      </c>
      <c r="C155" s="109" t="str">
        <f t="shared" si="18"/>
        <v>Wst 01</v>
      </c>
      <c r="D155" s="16" t="s">
        <v>957</v>
      </c>
      <c r="E155" s="1415" t="str">
        <f>VLOOKUP(D155,Poeng!$B$10:$R$252,Poeng!E$1,FALSE)</f>
        <v>EU taxonomy requirement: criterion 4, ready for reuse &gt;70%</v>
      </c>
      <c r="F155" s="107" t="str">
        <f>VLOOKUP(D155,Poeng!$B$10:$AB$252,Poeng!AB$1,FALSE)</f>
        <v>Yes/No</v>
      </c>
      <c r="G155" s="1261" t="str">
        <f>'Assessment Issue Scoring'!K915</f>
        <v>No</v>
      </c>
      <c r="H155" s="108" t="str">
        <f>VLOOKUP(D155,Poeng!$B$10:$AE$252,Poeng!AE$1,FALSE)</f>
        <v>-</v>
      </c>
      <c r="I155" s="109" t="str">
        <f>VLOOKUP(D155,Poeng!$B$10:$BE$252,Poeng!BE$1,FALSE)</f>
        <v>Very Good</v>
      </c>
      <c r="J155" s="74"/>
      <c r="K155" s="241" t="s">
        <v>0</v>
      </c>
      <c r="L155" s="608"/>
      <c r="M155" s="623"/>
      <c r="N155" s="77"/>
      <c r="O155" s="108" t="str">
        <f>VLOOKUP(D155,Poeng!$B$10:$BC$252,Poeng!AF$1,FALSE)</f>
        <v>-</v>
      </c>
      <c r="P155" s="108" t="str">
        <f>VLOOKUP(D155,Poeng!$B$10:$BH$252,Poeng!BH$1,FALSE)</f>
        <v>Very Good</v>
      </c>
      <c r="Q155" s="558"/>
      <c r="R155" s="559"/>
      <c r="S155" s="552"/>
      <c r="T155" s="276"/>
      <c r="U155" s="77"/>
      <c r="V155" s="108" t="str">
        <f>VLOOKUP(D155,Poeng!$B$10:$BC$252,Poeng!AG$1,FALSE)</f>
        <v>-</v>
      </c>
      <c r="W155" s="108" t="str">
        <f>VLOOKUP(D155,Poeng!$B$10:$BK$252,Poeng!BK$1,FALSE)</f>
        <v>Very Good</v>
      </c>
      <c r="X155" s="75"/>
      <c r="Y155" s="74"/>
      <c r="Z155" s="552"/>
      <c r="AC155" s="20">
        <f t="shared" ref="AC155" si="22">IF(F155="",1,IF(F155=0,2,1))</f>
        <v>1</v>
      </c>
      <c r="AD155" s="1">
        <f>VLOOKUP(K155,'Assessment Details'!$O$49:$P$52,2,FALSE)</f>
        <v>4</v>
      </c>
      <c r="AE155" s="1" t="e">
        <f>VLOOKUP(R155,'Assessment Details'!$O$49:$P$52,2,FALSE)</f>
        <v>#N/A</v>
      </c>
      <c r="AF155" s="1" t="e">
        <f>VLOOKUP(Y155,'Assessment Details'!$O$49:$P$52,2,FALSE)</f>
        <v>#N/A</v>
      </c>
    </row>
    <row r="156" spans="1:52" x14ac:dyDescent="0.25">
      <c r="A156" s="1410">
        <v>147</v>
      </c>
      <c r="B156" s="1412" t="s">
        <v>64</v>
      </c>
      <c r="C156" s="690" t="s">
        <v>354</v>
      </c>
      <c r="D156" s="628" t="s">
        <v>354</v>
      </c>
      <c r="E156" s="662" t="str">
        <f>VLOOKUP(D156,Poeng!$B$10:$R$252,Poeng!E$1,FALSE)</f>
        <v>Wst 03a Operational waste</v>
      </c>
      <c r="F156" s="667">
        <f>VLOOKUP(D156,Poeng!$B$10:$AB$252,Poeng!AB$1,FALSE)</f>
        <v>1</v>
      </c>
      <c r="G156" s="742"/>
      <c r="H156" s="668" t="str">
        <f>VLOOKUP(D156,Poeng!$B$10:$AI$252,Poeng!AI$1,FALSE)&amp;" c. "&amp;ROUND(VLOOKUP(D156,Poeng!$B$10:$AE$252,Poeng!AE$1,FALSE)*100,1)&amp;" %"</f>
        <v>0 c. 0 %</v>
      </c>
      <c r="I156" s="690" t="str">
        <f>VLOOKUP(D156,Poeng!$B$10:$BE$252,Poeng!BE$1,FALSE)</f>
        <v>N/A</v>
      </c>
      <c r="J156" s="74"/>
      <c r="K156" s="241"/>
      <c r="L156" s="608"/>
      <c r="M156" s="623"/>
      <c r="N156" s="742"/>
      <c r="O156" s="679" t="str">
        <f>VLOOKUP(D156,Poeng!$B$10:$BC$252,Poeng!AJ$1,FALSE)&amp;" c. "&amp;ROUND(VLOOKUP(D156,Poeng!$B$10:$BC$252,Poeng!AF$1,FALSE)*100,1)&amp;" %"</f>
        <v>0 c. 0 %</v>
      </c>
      <c r="P156" s="108" t="str">
        <f>VLOOKUP(D156,Poeng!$B$10:$BH$252,Poeng!BH$1,FALSE)</f>
        <v>N/A</v>
      </c>
      <c r="Q156" s="558"/>
      <c r="R156" s="559"/>
      <c r="S156" s="552"/>
      <c r="T156" s="276"/>
      <c r="U156" s="742"/>
      <c r="V156" s="679" t="str">
        <f>VLOOKUP(D156,Poeng!$B$10:$BC$252,Poeng!AK$1,FALSE)&amp;" c. "&amp;ROUND(VLOOKUP(D156,Poeng!$B$10:$BC$252,Poeng!AG$1,FALSE)*100,1)&amp;" %"</f>
        <v>0 c. 0 %</v>
      </c>
      <c r="W156" s="108" t="str">
        <f>VLOOKUP(D156,Poeng!$B$10:$BK$252,Poeng!BK$1,FALSE)</f>
        <v>N/A</v>
      </c>
      <c r="X156" s="75"/>
      <c r="Y156" s="74"/>
      <c r="Z156" s="552"/>
      <c r="AA156" s="117"/>
      <c r="AB156" s="481" t="s">
        <v>13</v>
      </c>
      <c r="AC156" s="20">
        <f t="shared" si="20"/>
        <v>1</v>
      </c>
      <c r="AD156" s="1" t="e">
        <f>VLOOKUP(K156,'Assessment Details'!$O$49:$P$52,2,FALSE)</f>
        <v>#N/A</v>
      </c>
      <c r="AE156" s="1" t="e">
        <f>VLOOKUP(R156,'Assessment Details'!$O$49:$P$52,2,FALSE)</f>
        <v>#N/A</v>
      </c>
      <c r="AF156" s="1" t="e">
        <f>VLOOKUP(Y156,'Assessment Details'!$O$49:$P$52,2,FALSE)</f>
        <v>#N/A</v>
      </c>
      <c r="AI156" s="64"/>
      <c r="AJ156" s="508" t="s">
        <v>160</v>
      </c>
      <c r="AK156" s="487" t="s">
        <v>13</v>
      </c>
      <c r="AL156" s="487" t="s">
        <v>12</v>
      </c>
      <c r="AM156" s="64"/>
      <c r="AN156" s="64"/>
      <c r="AO156" s="64"/>
      <c r="AP156" s="64"/>
      <c r="AS156" s="20" t="str">
        <f t="shared" si="12"/>
        <v>N/A</v>
      </c>
      <c r="AT156" s="20" t="str">
        <f t="shared" si="13"/>
        <v>N/A</v>
      </c>
      <c r="AU156" s="20" t="str">
        <f t="shared" si="14"/>
        <v>N/A</v>
      </c>
      <c r="AV156" s="20"/>
      <c r="AW156" s="20"/>
      <c r="AX156" s="20"/>
      <c r="AZ156" s="481"/>
    </row>
    <row r="157" spans="1:52" x14ac:dyDescent="0.25">
      <c r="A157" s="1410">
        <v>148</v>
      </c>
      <c r="B157" s="1412" t="s">
        <v>64</v>
      </c>
      <c r="C157" s="109" t="str">
        <f t="shared" si="18"/>
        <v>Wst 03a</v>
      </c>
      <c r="D157" s="628" t="s">
        <v>772</v>
      </c>
      <c r="E157" s="663" t="str">
        <f>VLOOKUP(D157,Poeng!$B$10:$R$252,Poeng!E$1,FALSE)</f>
        <v>Operational waste</v>
      </c>
      <c r="F157" s="107">
        <f>VLOOKUP(D157,Poeng!$B$10:$AB$252,Poeng!AB$1,FALSE)</f>
        <v>1</v>
      </c>
      <c r="G157" s="1166">
        <f>'Assessment Issue Scoring'!G944</f>
        <v>0</v>
      </c>
      <c r="H157" s="108">
        <f>VLOOKUP(D157,Poeng!$B$10:$AE$252,Poeng!AE$1,FALSE)</f>
        <v>0</v>
      </c>
      <c r="I157" s="109" t="str">
        <f>VLOOKUP(D157,Poeng!$B$10:$BE$252,Poeng!BE$1,FALSE)</f>
        <v>Very Good</v>
      </c>
      <c r="J157" s="74"/>
      <c r="K157" s="241"/>
      <c r="L157" s="608"/>
      <c r="M157" s="623"/>
      <c r="N157" s="77"/>
      <c r="O157" s="108">
        <f>VLOOKUP(D157,Poeng!$B$10:$BC$252,Poeng!AF$1,FALSE)</f>
        <v>0</v>
      </c>
      <c r="P157" s="108" t="str">
        <f>VLOOKUP(D157,Poeng!$B$10:$BH$252,Poeng!BH$1,FALSE)</f>
        <v>Very Good</v>
      </c>
      <c r="Q157" s="558"/>
      <c r="R157" s="559"/>
      <c r="S157" s="552"/>
      <c r="T157" s="276"/>
      <c r="U157" s="77"/>
      <c r="V157" s="108">
        <f>VLOOKUP(D157,Poeng!$B$10:$BC$252,Poeng!AG$1,FALSE)</f>
        <v>0</v>
      </c>
      <c r="W157" s="108" t="str">
        <f>VLOOKUP(D157,Poeng!$B$10:$BK$252,Poeng!BK$1,FALSE)</f>
        <v>Very Good</v>
      </c>
      <c r="X157" s="75"/>
      <c r="Y157" s="74"/>
      <c r="Z157" s="552"/>
      <c r="AA157" s="117"/>
      <c r="AB157" s="481"/>
      <c r="AC157" s="20">
        <f t="shared" si="20"/>
        <v>1</v>
      </c>
      <c r="AD157" s="1" t="e">
        <f>VLOOKUP(K157,'Assessment Details'!$O$49:$P$52,2,FALSE)</f>
        <v>#N/A</v>
      </c>
      <c r="AE157" s="1" t="e">
        <f>VLOOKUP(R157,'Assessment Details'!$O$49:$P$52,2,FALSE)</f>
        <v>#N/A</v>
      </c>
      <c r="AF157" s="1" t="e">
        <f>VLOOKUP(Y157,'Assessment Details'!$O$49:$P$52,2,FALSE)</f>
        <v>#N/A</v>
      </c>
      <c r="AI157" s="64"/>
      <c r="AJ157" s="508"/>
      <c r="AK157" s="487"/>
      <c r="AL157" s="487"/>
      <c r="AM157" s="64"/>
      <c r="AN157" s="64"/>
      <c r="AO157" s="64"/>
      <c r="AP157" s="64"/>
      <c r="AS157" s="20"/>
      <c r="AT157" s="20"/>
      <c r="AU157" s="20"/>
      <c r="AV157" s="20"/>
      <c r="AW157" s="20"/>
      <c r="AX157" s="20"/>
      <c r="AZ157" s="481"/>
    </row>
    <row r="158" spans="1:52" x14ac:dyDescent="0.25">
      <c r="A158" s="1410">
        <v>149</v>
      </c>
      <c r="B158" s="1412" t="s">
        <v>64</v>
      </c>
      <c r="C158" s="690" t="s">
        <v>356</v>
      </c>
      <c r="D158" s="628" t="s">
        <v>356</v>
      </c>
      <c r="E158" s="662" t="str">
        <f>VLOOKUP(D158,Poeng!$B$10:$R$252,Poeng!E$1,FALSE)</f>
        <v>Wst 03b Operational waste</v>
      </c>
      <c r="F158" s="667">
        <f>VLOOKUP(D158,Poeng!$B$10:$AB$252,Poeng!AB$1,FALSE)</f>
        <v>0</v>
      </c>
      <c r="G158" s="742"/>
      <c r="H158" s="668" t="str">
        <f>VLOOKUP(D158,Poeng!$B$10:$AI$252,Poeng!AI$1,FALSE)&amp;" c. "&amp;ROUND(VLOOKUP(D158,Poeng!$B$10:$AE$252,Poeng!AE$1,FALSE)*100,1)&amp;" %"</f>
        <v>0 c. 0 %</v>
      </c>
      <c r="I158" s="690" t="str">
        <f>VLOOKUP(D158,Poeng!$B$10:$BE$252,Poeng!BE$1,FALSE)</f>
        <v>N/A</v>
      </c>
      <c r="J158" s="74"/>
      <c r="K158" s="241"/>
      <c r="L158" s="608"/>
      <c r="M158" s="623"/>
      <c r="N158" s="742"/>
      <c r="O158" s="679" t="str">
        <f>VLOOKUP(D158,Poeng!$B$10:$BC$252,Poeng!AJ$1,FALSE)&amp;" c. "&amp;ROUND(VLOOKUP(D158,Poeng!$B$10:$BC$252,Poeng!AF$1,FALSE)*100,1)&amp;" %"</f>
        <v>0 c. 0 %</v>
      </c>
      <c r="P158" s="108" t="str">
        <f>VLOOKUP(D158,Poeng!$B$10:$BH$252,Poeng!BH$1,FALSE)</f>
        <v>N/A</v>
      </c>
      <c r="Q158" s="558"/>
      <c r="R158" s="559"/>
      <c r="S158" s="552"/>
      <c r="T158" s="276"/>
      <c r="U158" s="742"/>
      <c r="V158" s="679" t="str">
        <f>VLOOKUP(D158,Poeng!$B$10:$BC$252,Poeng!AK$1,FALSE)&amp;" c. "&amp;ROUND(VLOOKUP(D158,Poeng!$B$10:$BC$252,Poeng!AG$1,FALSE)*100,1)&amp;" %"</f>
        <v>0 c. 0 %</v>
      </c>
      <c r="W158" s="108" t="str">
        <f>VLOOKUP(D158,Poeng!$B$10:$BK$252,Poeng!BK$1,FALSE)</f>
        <v>N/A</v>
      </c>
      <c r="X158" s="75"/>
      <c r="Y158" s="74"/>
      <c r="Z158" s="552"/>
      <c r="AA158" s="117"/>
      <c r="AB158" s="481"/>
      <c r="AC158" s="20">
        <f t="shared" si="20"/>
        <v>2</v>
      </c>
      <c r="AD158" s="1" t="e">
        <f>VLOOKUP(K158,'Assessment Details'!$O$49:$P$52,2,FALSE)</f>
        <v>#N/A</v>
      </c>
      <c r="AE158" s="1" t="e">
        <f>VLOOKUP(R158,'Assessment Details'!$O$49:$P$52,2,FALSE)</f>
        <v>#N/A</v>
      </c>
      <c r="AF158" s="1" t="e">
        <f>VLOOKUP(Y158,'Assessment Details'!$O$49:$P$52,2,FALSE)</f>
        <v>#N/A</v>
      </c>
      <c r="AI158" s="64"/>
      <c r="AJ158" s="508"/>
      <c r="AK158" s="487"/>
      <c r="AL158" s="487"/>
      <c r="AM158" s="64"/>
      <c r="AN158" s="64"/>
      <c r="AO158" s="64"/>
      <c r="AP158" s="64"/>
      <c r="AS158" s="20"/>
      <c r="AT158" s="20"/>
      <c r="AU158" s="20"/>
      <c r="AV158" s="20"/>
      <c r="AW158" s="20"/>
      <c r="AX158" s="20"/>
      <c r="AZ158" s="481"/>
    </row>
    <row r="159" spans="1:52" x14ac:dyDescent="0.25">
      <c r="A159" s="1410">
        <v>150</v>
      </c>
      <c r="B159" s="1412" t="s">
        <v>64</v>
      </c>
      <c r="C159" s="109" t="str">
        <f t="shared" si="18"/>
        <v>Wst 03b</v>
      </c>
      <c r="D159" s="628" t="s">
        <v>773</v>
      </c>
      <c r="E159" s="663" t="str">
        <f>VLOOKUP(D159,Poeng!$B$10:$R$252,Poeng!E$1,FALSE)</f>
        <v>Sorting of waste</v>
      </c>
      <c r="F159" s="107">
        <f>VLOOKUP(D159,Poeng!$B$10:$AB$252,Poeng!AB$1,FALSE)</f>
        <v>0</v>
      </c>
      <c r="G159" s="1166">
        <f>'Assessment Issue Scoring'!G948</f>
        <v>0</v>
      </c>
      <c r="H159" s="108">
        <f>VLOOKUP(D159,Poeng!$B$10:$AE$252,Poeng!AE$1,FALSE)</f>
        <v>0</v>
      </c>
      <c r="I159" s="109" t="str">
        <f>VLOOKUP(D159,Poeng!$B$10:$BE$252,Poeng!BE$1,FALSE)</f>
        <v>N/A</v>
      </c>
      <c r="J159" s="74"/>
      <c r="K159" s="241"/>
      <c r="L159" s="608"/>
      <c r="M159" s="623"/>
      <c r="N159" s="77"/>
      <c r="O159" s="108">
        <f>VLOOKUP(D159,Poeng!$B$10:$BC$252,Poeng!AF$1,FALSE)</f>
        <v>0</v>
      </c>
      <c r="P159" s="108" t="str">
        <f>VLOOKUP(D159,Poeng!$B$10:$BH$252,Poeng!BH$1,FALSE)</f>
        <v>N/A</v>
      </c>
      <c r="Q159" s="558"/>
      <c r="R159" s="559"/>
      <c r="S159" s="608"/>
      <c r="T159" s="276"/>
      <c r="U159" s="77"/>
      <c r="V159" s="108">
        <f>VLOOKUP(D159,Poeng!$B$10:$BC$252,Poeng!AG$1,FALSE)</f>
        <v>0</v>
      </c>
      <c r="W159" s="108" t="str">
        <f>VLOOKUP(D159,Poeng!$B$10:$BK$252,Poeng!BK$1,FALSE)</f>
        <v>N/A</v>
      </c>
      <c r="X159" s="75"/>
      <c r="Y159" s="74"/>
      <c r="Z159" s="608"/>
      <c r="AA159" s="117"/>
      <c r="AB159" s="481"/>
      <c r="AC159" s="20">
        <f t="shared" si="20"/>
        <v>2</v>
      </c>
      <c r="AD159" s="1" t="e">
        <f>VLOOKUP(K159,'Assessment Details'!$O$49:$P$52,2,FALSE)</f>
        <v>#N/A</v>
      </c>
      <c r="AE159" s="1" t="e">
        <f>VLOOKUP(R159,'Assessment Details'!$O$49:$P$52,2,FALSE)</f>
        <v>#N/A</v>
      </c>
      <c r="AF159" s="1" t="e">
        <f>VLOOKUP(Y159,'Assessment Details'!$O$49:$P$52,2,FALSE)</f>
        <v>#N/A</v>
      </c>
      <c r="AI159" s="64"/>
      <c r="AJ159" s="508"/>
      <c r="AK159" s="487"/>
      <c r="AL159" s="487"/>
      <c r="AM159" s="64"/>
      <c r="AN159" s="64"/>
      <c r="AO159" s="64"/>
      <c r="AP159" s="64"/>
      <c r="AS159" s="20"/>
      <c r="AT159" s="20"/>
      <c r="AU159" s="20"/>
      <c r="AV159" s="20"/>
      <c r="AW159" s="20"/>
      <c r="AX159" s="20"/>
      <c r="AZ159" s="481"/>
    </row>
    <row r="160" spans="1:52" x14ac:dyDescent="0.25">
      <c r="A160" s="1410">
        <v>151</v>
      </c>
      <c r="B160" s="1412" t="s">
        <v>64</v>
      </c>
      <c r="C160" s="690" t="s">
        <v>173</v>
      </c>
      <c r="D160" s="628" t="s">
        <v>173</v>
      </c>
      <c r="E160" s="662" t="str">
        <f>VLOOKUP(D160,Poeng!$B$10:$R$252,Poeng!E$1,FALSE)</f>
        <v>Wst 04 Speculative finishes</v>
      </c>
      <c r="F160" s="667">
        <f>VLOOKUP(D160,Poeng!$B$10:$AB$252,Poeng!AB$1,FALSE)</f>
        <v>1</v>
      </c>
      <c r="G160" s="742"/>
      <c r="H160" s="668" t="str">
        <f>VLOOKUP(D160,Poeng!$B$10:$AI$252,Poeng!AI$1,FALSE)&amp;" c. "&amp;ROUND(VLOOKUP(D160,Poeng!$B$10:$AE$252,Poeng!AE$1,FALSE)*100,1)&amp;" %"</f>
        <v>0 c. 0 %</v>
      </c>
      <c r="I160" s="690" t="str">
        <f>VLOOKUP(D160,Poeng!$B$10:$BE$252,Poeng!BE$1,FALSE)</f>
        <v>N/A</v>
      </c>
      <c r="J160" s="74"/>
      <c r="K160" s="241"/>
      <c r="L160" s="608"/>
      <c r="M160" s="623"/>
      <c r="N160" s="742"/>
      <c r="O160" s="679" t="str">
        <f>VLOOKUP(D160,Poeng!$B$10:$BC$252,Poeng!AJ$1,FALSE)&amp;" c. "&amp;ROUND(VLOOKUP(D160,Poeng!$B$10:$BC$252,Poeng!AF$1,FALSE)*100,1)&amp;" %"</f>
        <v>0 c. 0 %</v>
      </c>
      <c r="P160" s="108" t="str">
        <f>VLOOKUP(D160,Poeng!$B$10:$BH$252,Poeng!BH$1,FALSE)</f>
        <v>N/A</v>
      </c>
      <c r="Q160" s="558"/>
      <c r="R160" s="559"/>
      <c r="S160" s="552"/>
      <c r="T160" s="276"/>
      <c r="U160" s="742"/>
      <c r="V160" s="679" t="str">
        <f>VLOOKUP(D160,Poeng!$B$10:$BC$252,Poeng!AK$1,FALSE)&amp;" c. "&amp;ROUND(VLOOKUP(D160,Poeng!$B$10:$BC$252,Poeng!AG$1,FALSE)*100,1)&amp;" %"</f>
        <v>0 c. 0 %</v>
      </c>
      <c r="W160" s="108" t="str">
        <f>VLOOKUP(D160,Poeng!$B$10:$BK$252,Poeng!BK$1,FALSE)</f>
        <v>N/A</v>
      </c>
      <c r="X160" s="75"/>
      <c r="Y160" s="74"/>
      <c r="Z160" s="552"/>
      <c r="AA160" s="117"/>
      <c r="AB160" s="481" t="s">
        <v>13</v>
      </c>
      <c r="AC160" s="20">
        <f t="shared" si="20"/>
        <v>1</v>
      </c>
      <c r="AD160" s="1" t="e">
        <f>VLOOKUP(K160,'Assessment Details'!$O$49:$P$52,2,FALSE)</f>
        <v>#N/A</v>
      </c>
      <c r="AE160" s="1" t="e">
        <f>VLOOKUP(R160,'Assessment Details'!$O$49:$P$52,2,FALSE)</f>
        <v>#N/A</v>
      </c>
      <c r="AF160" s="1" t="e">
        <f>VLOOKUP(Y160,'Assessment Details'!$O$49:$P$52,2,FALSE)</f>
        <v>#N/A</v>
      </c>
      <c r="AI160" s="64"/>
      <c r="AJ160" s="508" t="s">
        <v>205</v>
      </c>
      <c r="AK160" s="487" t="s">
        <v>13</v>
      </c>
      <c r="AL160" s="487" t="s">
        <v>12</v>
      </c>
      <c r="AM160" s="64"/>
      <c r="AN160" s="64"/>
      <c r="AO160" s="64"/>
      <c r="AP160" s="64"/>
      <c r="AS160" s="20" t="str">
        <f t="shared" si="12"/>
        <v>N/A</v>
      </c>
      <c r="AT160" s="20" t="str">
        <f t="shared" si="13"/>
        <v>N/A</v>
      </c>
      <c r="AU160" s="20" t="str">
        <f t="shared" si="14"/>
        <v>N/A</v>
      </c>
      <c r="AV160" s="20"/>
      <c r="AW160" s="20"/>
      <c r="AX160" s="20"/>
      <c r="AZ160" s="481"/>
    </row>
    <row r="161" spans="1:52" x14ac:dyDescent="0.25">
      <c r="A161" s="1410">
        <v>152</v>
      </c>
      <c r="B161" s="1412" t="s">
        <v>64</v>
      </c>
      <c r="C161" s="109" t="str">
        <f t="shared" si="18"/>
        <v>Wst 04</v>
      </c>
      <c r="D161" s="628" t="s">
        <v>774</v>
      </c>
      <c r="E161" s="663" t="str">
        <f>VLOOKUP(D161,Poeng!$B$10:$R$252,Poeng!E$1,FALSE)</f>
        <v xml:space="preserve">User involvement surface finishes </v>
      </c>
      <c r="F161" s="107">
        <f>VLOOKUP(D161,Poeng!$B$10:$AB$252,Poeng!AB$1,FALSE)</f>
        <v>1</v>
      </c>
      <c r="G161" s="1166">
        <f>'Assessment Issue Scoring'!G968</f>
        <v>0</v>
      </c>
      <c r="H161" s="108">
        <f>VLOOKUP(D161,Poeng!$B$10:$AE$252,Poeng!AE$1,FALSE)</f>
        <v>0</v>
      </c>
      <c r="I161" s="109" t="str">
        <f>VLOOKUP(D161,Poeng!$B$10:$BE$252,Poeng!BE$1,FALSE)</f>
        <v>N/A</v>
      </c>
      <c r="J161" s="74"/>
      <c r="K161" s="241"/>
      <c r="L161" s="608"/>
      <c r="M161" s="623"/>
      <c r="N161" s="77"/>
      <c r="O161" s="108">
        <f>VLOOKUP(D161,Poeng!$B$10:$BC$252,Poeng!AF$1,FALSE)</f>
        <v>0</v>
      </c>
      <c r="P161" s="108" t="str">
        <f>VLOOKUP(D161,Poeng!$B$10:$BH$252,Poeng!BH$1,FALSE)</f>
        <v>N/A</v>
      </c>
      <c r="Q161" s="558"/>
      <c r="R161" s="559"/>
      <c r="S161" s="552"/>
      <c r="T161" s="276"/>
      <c r="U161" s="77"/>
      <c r="V161" s="108">
        <f>VLOOKUP(D161,Poeng!$B$10:$BC$252,Poeng!AG$1,FALSE)</f>
        <v>0</v>
      </c>
      <c r="W161" s="108" t="str">
        <f>VLOOKUP(D161,Poeng!$B$10:$BK$252,Poeng!BK$1,FALSE)</f>
        <v>N/A</v>
      </c>
      <c r="X161" s="75"/>
      <c r="Y161" s="74"/>
      <c r="Z161" s="552"/>
      <c r="AA161" s="117"/>
      <c r="AB161" s="534"/>
      <c r="AC161" s="20">
        <f t="shared" si="20"/>
        <v>1</v>
      </c>
      <c r="AD161" s="1" t="e">
        <f>VLOOKUP(K161,'Assessment Details'!$O$49:$P$52,2,FALSE)</f>
        <v>#N/A</v>
      </c>
      <c r="AE161" s="1" t="e">
        <f>VLOOKUP(R161,'Assessment Details'!$O$49:$P$52,2,FALSE)</f>
        <v>#N/A</v>
      </c>
      <c r="AF161" s="1" t="e">
        <f>VLOOKUP(Y161,'Assessment Details'!$O$49:$P$52,2,FALSE)</f>
        <v>#N/A</v>
      </c>
      <c r="AI161" s="64"/>
      <c r="AJ161" s="508"/>
      <c r="AK161" s="487"/>
      <c r="AL161" s="487"/>
      <c r="AM161" s="64"/>
      <c r="AN161" s="64"/>
      <c r="AO161" s="64"/>
      <c r="AP161" s="64"/>
      <c r="AS161" s="20"/>
      <c r="AT161" s="20"/>
      <c r="AU161" s="20"/>
      <c r="AV161" s="20"/>
      <c r="AW161" s="20"/>
      <c r="AX161" s="20"/>
      <c r="AZ161" s="534"/>
    </row>
    <row r="162" spans="1:52" ht="15.75" thickBot="1" x14ac:dyDescent="0.3">
      <c r="A162" s="1410">
        <v>153</v>
      </c>
      <c r="B162" s="1412" t="s">
        <v>64</v>
      </c>
      <c r="C162" s="811"/>
      <c r="D162" s="628" t="s">
        <v>866</v>
      </c>
      <c r="E162" s="297" t="s">
        <v>103</v>
      </c>
      <c r="F162" s="110">
        <f>Wst_Credits</f>
        <v>7</v>
      </c>
      <c r="G162" s="115"/>
      <c r="H162" s="111">
        <f>Wst_cont_tot</f>
        <v>0</v>
      </c>
      <c r="I162" s="669" t="str">
        <f>"Credits achieved: "&amp;Wst_tot_user</f>
        <v>Credits achieved: 0</v>
      </c>
      <c r="J162" s="118"/>
      <c r="K162" s="242"/>
      <c r="L162" s="560"/>
      <c r="M162" s="623"/>
      <c r="N162" s="320"/>
      <c r="O162" s="111">
        <f>VLOOKUP(D162,Poeng!$B$10:$BC$252,Poeng!AF$1,FALSE)</f>
        <v>0</v>
      </c>
      <c r="P162" s="669" t="str">
        <f>"Credits achieved: "&amp;Wst_d_user</f>
        <v>Credits achieved: 0</v>
      </c>
      <c r="Q162" s="561"/>
      <c r="R162" s="562"/>
      <c r="S162" s="560"/>
      <c r="T162" s="276"/>
      <c r="U162" s="320"/>
      <c r="V162" s="111">
        <f>VLOOKUP(D162,Poeng!$B$10:$BC$252,Poeng!AG$1,FALSE)</f>
        <v>0</v>
      </c>
      <c r="W162" s="669" t="str">
        <f>"Credits achieved: "&amp;Wst_c_user</f>
        <v>Credits achieved: 0</v>
      </c>
      <c r="X162" s="319"/>
      <c r="Y162" s="120"/>
      <c r="Z162" s="560"/>
      <c r="AA162" s="117"/>
      <c r="AB162" s="482"/>
      <c r="AC162" s="20">
        <f t="shared" si="20"/>
        <v>1</v>
      </c>
      <c r="AD162" s="238">
        <v>0</v>
      </c>
      <c r="AE162" s="238">
        <v>0</v>
      </c>
      <c r="AF162" s="238">
        <v>0</v>
      </c>
      <c r="AI162" s="64"/>
      <c r="AJ162" s="508" t="s">
        <v>103</v>
      </c>
      <c r="AK162" s="64"/>
      <c r="AL162" s="64"/>
      <c r="AM162" s="64"/>
      <c r="AN162" s="64"/>
      <c r="AO162" s="64"/>
      <c r="AP162" s="64"/>
      <c r="AS162" s="20" t="str">
        <f t="shared" si="12"/>
        <v>N/A</v>
      </c>
      <c r="AT162" s="20" t="str">
        <f t="shared" si="13"/>
        <v>N/A</v>
      </c>
      <c r="AU162" s="20" t="str">
        <f t="shared" si="14"/>
        <v>N/A</v>
      </c>
      <c r="AV162" s="20"/>
      <c r="AW162" s="20"/>
      <c r="AX162" s="20"/>
      <c r="AZ162" s="482"/>
    </row>
    <row r="163" spans="1:52" x14ac:dyDescent="0.25">
      <c r="A163" s="1410">
        <v>154</v>
      </c>
      <c r="B163" s="1412" t="s">
        <v>64</v>
      </c>
      <c r="C163" s="807"/>
      <c r="D163" s="628"/>
      <c r="E163" s="290"/>
      <c r="F163" s="279"/>
      <c r="G163" s="280"/>
      <c r="H163" s="279"/>
      <c r="I163" s="279"/>
      <c r="J163" s="281"/>
      <c r="K163" s="280"/>
      <c r="L163" s="563"/>
      <c r="M163" s="623"/>
      <c r="N163" s="282"/>
      <c r="O163" s="282"/>
      <c r="P163" s="563"/>
      <c r="Q163" s="563"/>
      <c r="R163" s="564"/>
      <c r="S163" s="563"/>
      <c r="T163" s="276"/>
      <c r="U163" s="282"/>
      <c r="V163" s="282"/>
      <c r="W163" s="563"/>
      <c r="X163" s="281"/>
      <c r="Y163" s="282"/>
      <c r="Z163" s="563"/>
      <c r="AA163" s="117"/>
      <c r="AB163" s="281"/>
      <c r="AC163" s="20">
        <f t="shared" si="20"/>
        <v>1</v>
      </c>
      <c r="AD163" s="239">
        <v>0</v>
      </c>
      <c r="AE163" s="239">
        <v>0</v>
      </c>
      <c r="AF163" s="239">
        <v>0</v>
      </c>
      <c r="AI163" s="64"/>
      <c r="AJ163" s="508"/>
      <c r="AK163" s="64"/>
      <c r="AL163" s="64"/>
      <c r="AM163" s="64"/>
      <c r="AN163" s="64"/>
      <c r="AO163" s="64"/>
      <c r="AP163" s="64"/>
      <c r="AS163" s="20" t="str">
        <f t="shared" si="12"/>
        <v>N/A</v>
      </c>
      <c r="AT163" s="20" t="str">
        <f t="shared" si="13"/>
        <v>N/A</v>
      </c>
      <c r="AU163" s="20" t="str">
        <f t="shared" si="14"/>
        <v>N/A</v>
      </c>
      <c r="AV163" s="20"/>
      <c r="AW163" s="20"/>
      <c r="AX163" s="20"/>
      <c r="AZ163" s="281"/>
    </row>
    <row r="164" spans="1:52" ht="18.75" x14ac:dyDescent="0.25">
      <c r="A164" s="1410">
        <v>155</v>
      </c>
      <c r="B164" s="1412" t="s">
        <v>65</v>
      </c>
      <c r="C164" s="808"/>
      <c r="D164" s="628"/>
      <c r="E164" s="291" t="s">
        <v>52</v>
      </c>
      <c r="F164" s="272"/>
      <c r="G164" s="273"/>
      <c r="H164" s="292"/>
      <c r="I164" s="272"/>
      <c r="J164" s="284"/>
      <c r="K164" s="285"/>
      <c r="L164" s="566"/>
      <c r="M164" s="623"/>
      <c r="N164" s="295"/>
      <c r="O164" s="288"/>
      <c r="P164" s="556"/>
      <c r="Q164" s="567"/>
      <c r="R164" s="568"/>
      <c r="S164" s="569"/>
      <c r="T164" s="276"/>
      <c r="U164" s="295"/>
      <c r="V164" s="294"/>
      <c r="W164" s="556"/>
      <c r="X164" s="284"/>
      <c r="Y164" s="294"/>
      <c r="Z164" s="566"/>
      <c r="AA164" s="117"/>
      <c r="AB164" s="293"/>
      <c r="AC164" s="20">
        <f t="shared" si="20"/>
        <v>1</v>
      </c>
      <c r="AD164" s="237">
        <v>0</v>
      </c>
      <c r="AE164" s="237">
        <v>0</v>
      </c>
      <c r="AF164" s="237">
        <v>0</v>
      </c>
      <c r="AI164" s="64"/>
      <c r="AJ164" s="508" t="s">
        <v>52</v>
      </c>
      <c r="AK164" s="64"/>
      <c r="AL164" s="64"/>
      <c r="AM164" s="64"/>
      <c r="AN164" s="64"/>
      <c r="AO164" s="64"/>
      <c r="AP164" s="64"/>
      <c r="AS164" s="20" t="str">
        <f t="shared" ref="AS164:AS228" si="23">IF($AJ$4=ais_nei,AIS_NA,IF(AK164="",AIS_NA,AK164))</f>
        <v>N/A</v>
      </c>
      <c r="AT164" s="20" t="str">
        <f t="shared" ref="AT164:AT228" si="24">IF($AJ$4=ais_nei,AIS_NA,IF(AL164="",AIS_NA,AL164))</f>
        <v>N/A</v>
      </c>
      <c r="AU164" s="20" t="str">
        <f t="shared" ref="AU164:AV228" si="25">IF($AJ$4=ais_nei,AIS_NA,IF(AM164="",AIS_NA,AM164))</f>
        <v>N/A</v>
      </c>
      <c r="AV164" s="20"/>
      <c r="AW164" s="20"/>
      <c r="AX164" s="20"/>
      <c r="AZ164" s="293"/>
    </row>
    <row r="165" spans="1:52" x14ac:dyDescent="0.25">
      <c r="A165" s="1410">
        <v>156</v>
      </c>
      <c r="B165" s="1412" t="s">
        <v>65</v>
      </c>
      <c r="C165" s="690" t="s">
        <v>174</v>
      </c>
      <c r="D165" s="628" t="s">
        <v>174</v>
      </c>
      <c r="E165" s="662" t="str">
        <f>VLOOKUP(D165,Poeng!$B$10:$R$252,Poeng!E$1,FALSE)</f>
        <v>LE 01 Site selection</v>
      </c>
      <c r="F165" s="667">
        <f>VLOOKUP(D165,Poeng!$B$10:$AB$252,Poeng!AB$1,FALSE)</f>
        <v>2</v>
      </c>
      <c r="G165" s="741"/>
      <c r="H165" s="668" t="str">
        <f>VLOOKUP(D165,Poeng!$B$10:$AI$252,Poeng!AI$1,FALSE)&amp;" c. "&amp;ROUND(VLOOKUP(D165,Poeng!$B$10:$AE$252,Poeng!AE$1,FALSE)*100,1)&amp;" %"</f>
        <v>0 c. 0 %</v>
      </c>
      <c r="I165" s="689" t="str">
        <f>VLOOKUP(D165,Poeng!$B$10:$BE$252,Poeng!BE$1,FALSE)</f>
        <v>N/A</v>
      </c>
      <c r="J165" s="676"/>
      <c r="K165" s="677"/>
      <c r="L165" s="678"/>
      <c r="M165" s="623"/>
      <c r="N165" s="742"/>
      <c r="O165" s="815" t="str">
        <f>VLOOKUP(D165,Poeng!$B$10:$BC$252,Poeng!AJ$1,FALSE)&amp;" c. "&amp;ROUND(VLOOKUP(D165,Poeng!$B$10:$BC$252,Poeng!AF$1,FALSE)*100,1)&amp;" %"</f>
        <v>0 c. 0 %</v>
      </c>
      <c r="P165" s="108" t="str">
        <f>VLOOKUP(D165,Poeng!$B$10:$BH$252,Poeng!BH$1,FALSE)</f>
        <v>N/A</v>
      </c>
      <c r="Q165" s="558"/>
      <c r="R165" s="559"/>
      <c r="S165" s="552"/>
      <c r="T165" s="276"/>
      <c r="U165" s="742"/>
      <c r="V165" s="679" t="str">
        <f>VLOOKUP(D165,Poeng!$B$10:$BC$252,Poeng!AK$1,FALSE)&amp;" c. "&amp;ROUND(VLOOKUP(D165,Poeng!$B$10:$BC$252,Poeng!AG$1,FALSE)*100,1)&amp;" %"</f>
        <v>0 c. 0 %</v>
      </c>
      <c r="W165" s="108" t="str">
        <f>VLOOKUP(D165,Poeng!$B$10:$BK$252,Poeng!BK$1,FALSE)</f>
        <v>N/A</v>
      </c>
      <c r="X165" s="75"/>
      <c r="Y165" s="74"/>
      <c r="Z165" s="552"/>
      <c r="AA165" s="117"/>
      <c r="AB165" s="481" t="s">
        <v>14</v>
      </c>
      <c r="AC165" s="20">
        <f t="shared" si="20"/>
        <v>1</v>
      </c>
      <c r="AD165" s="1" t="e">
        <f>VLOOKUP(K165,'Assessment Details'!$O$49:$P$52,2,FALSE)</f>
        <v>#N/A</v>
      </c>
      <c r="AE165" s="1" t="e">
        <f>VLOOKUP(R165,'Assessment Details'!$O$49:$P$52,2,FALSE)</f>
        <v>#N/A</v>
      </c>
      <c r="AF165" s="1" t="e">
        <f>VLOOKUP(Y165,'Assessment Details'!$O$49:$P$52,2,FALSE)</f>
        <v>#N/A</v>
      </c>
      <c r="AI165" s="64"/>
      <c r="AJ165" s="508" t="s">
        <v>154</v>
      </c>
      <c r="AK165" s="64"/>
      <c r="AL165" s="64"/>
      <c r="AM165" s="64"/>
      <c r="AN165" s="64"/>
      <c r="AO165" s="64"/>
      <c r="AP165" s="64"/>
      <c r="AS165" s="20" t="str">
        <f t="shared" si="23"/>
        <v>N/A</v>
      </c>
      <c r="AT165" s="20" t="str">
        <f t="shared" si="24"/>
        <v>N/A</v>
      </c>
      <c r="AU165" s="20" t="str">
        <f t="shared" si="25"/>
        <v>N/A</v>
      </c>
      <c r="AV165" s="20"/>
      <c r="AW165" s="20"/>
      <c r="AX165" s="20"/>
      <c r="AZ165" s="481"/>
    </row>
    <row r="166" spans="1:52" x14ac:dyDescent="0.25">
      <c r="A166" s="1410">
        <v>157</v>
      </c>
      <c r="B166" s="1412" t="s">
        <v>65</v>
      </c>
      <c r="C166" s="109" t="str">
        <f t="shared" si="18"/>
        <v>LE 01</v>
      </c>
      <c r="D166" s="628" t="s">
        <v>777</v>
      </c>
      <c r="E166" s="663" t="str">
        <f>VLOOKUP(D166,Poeng!$B$10:$R$252,Poeng!E$1,FALSE)</f>
        <v>Previously occupied land</v>
      </c>
      <c r="F166" s="107">
        <f>VLOOKUP(D166,Poeng!$B$10:$AB$252,Poeng!AB$1,FALSE)</f>
        <v>2</v>
      </c>
      <c r="G166" s="1166">
        <f>'Assessment Issue Scoring'!G990</f>
        <v>0</v>
      </c>
      <c r="H166" s="108">
        <f>VLOOKUP(D166,Poeng!$B$10:$AE$252,Poeng!AE$1,FALSE)</f>
        <v>0</v>
      </c>
      <c r="I166" s="109" t="str">
        <f>VLOOKUP(D166,Poeng!$B$10:$BE$252,Poeng!BE$1,FALSE)</f>
        <v>N/A</v>
      </c>
      <c r="J166" s="74"/>
      <c r="K166" s="241"/>
      <c r="L166" s="608"/>
      <c r="M166" s="623"/>
      <c r="N166" s="77"/>
      <c r="O166" s="108">
        <f>VLOOKUP(D166,Poeng!$B$10:$BC$252,Poeng!AF$1,FALSE)</f>
        <v>0</v>
      </c>
      <c r="P166" s="108" t="str">
        <f>VLOOKUP(D166,Poeng!$B$10:$BH$252,Poeng!BH$1,FALSE)</f>
        <v>N/A</v>
      </c>
      <c r="Q166" s="558"/>
      <c r="R166" s="559"/>
      <c r="S166" s="552"/>
      <c r="T166" s="276"/>
      <c r="U166" s="77"/>
      <c r="V166" s="108">
        <f>VLOOKUP(D166,Poeng!$B$10:$BC$252,Poeng!AG$1,FALSE)</f>
        <v>0</v>
      </c>
      <c r="W166" s="108" t="str">
        <f>VLOOKUP(D166,Poeng!$B$10:$BK$252,Poeng!BK$1,FALSE)</f>
        <v>N/A</v>
      </c>
      <c r="X166" s="75"/>
      <c r="Y166" s="74"/>
      <c r="Z166" s="552"/>
      <c r="AA166" s="117"/>
      <c r="AB166" s="481"/>
      <c r="AC166" s="20">
        <f t="shared" si="20"/>
        <v>1</v>
      </c>
      <c r="AD166" s="1" t="e">
        <f>VLOOKUP(K166,'Assessment Details'!$O$49:$P$52,2,FALSE)</f>
        <v>#N/A</v>
      </c>
      <c r="AE166" s="1" t="e">
        <f>VLOOKUP(R166,'Assessment Details'!$O$49:$P$52,2,FALSE)</f>
        <v>#N/A</v>
      </c>
      <c r="AF166" s="1" t="e">
        <f>VLOOKUP(Y166,'Assessment Details'!$O$49:$P$52,2,FALSE)</f>
        <v>#N/A</v>
      </c>
      <c r="AI166" s="64"/>
      <c r="AJ166" s="508"/>
      <c r="AK166" s="64"/>
      <c r="AL166" s="64"/>
      <c r="AM166" s="64"/>
      <c r="AN166" s="64"/>
      <c r="AO166" s="64"/>
      <c r="AP166" s="64"/>
      <c r="AS166" s="20"/>
      <c r="AT166" s="20"/>
      <c r="AU166" s="20"/>
      <c r="AV166" s="20"/>
      <c r="AW166" s="20"/>
      <c r="AX166" s="20"/>
      <c r="AZ166" s="481"/>
    </row>
    <row r="167" spans="1:52" x14ac:dyDescent="0.25">
      <c r="A167" s="1410">
        <v>158</v>
      </c>
      <c r="B167" s="1412" t="s">
        <v>65</v>
      </c>
      <c r="C167" s="109" t="str">
        <f t="shared" si="18"/>
        <v>LE 01</v>
      </c>
      <c r="D167" s="628" t="s">
        <v>958</v>
      </c>
      <c r="E167" s="663" t="str">
        <f>VLOOKUP(D167,Poeng!$B$10:$R$252,Poeng!E$1,FALSE)</f>
        <v>Minimum req: agricultural area / forest (EU taxonomy requirement: criterion 2)</v>
      </c>
      <c r="F167" s="107" t="str">
        <f>VLOOKUP(D167,Poeng!$B$10:$AB$252,Poeng!AB$1,FALSE)</f>
        <v>Yes/No</v>
      </c>
      <c r="G167" s="1261" t="str">
        <f>'Assessment Issue Scoring'!K991</f>
        <v>No</v>
      </c>
      <c r="H167" s="108" t="str">
        <f>VLOOKUP(D167,Poeng!$B$10:$AE$252,Poeng!AE$1,FALSE)</f>
        <v>-</v>
      </c>
      <c r="I167" s="109" t="str">
        <f>VLOOKUP(D167,Poeng!$B$10:$BE$252,Poeng!BE$1,FALSE)</f>
        <v>Very Good</v>
      </c>
      <c r="J167" s="74"/>
      <c r="K167" s="241"/>
      <c r="L167" s="608"/>
      <c r="M167" s="623"/>
      <c r="N167" s="77"/>
      <c r="O167" s="108" t="str">
        <f>VLOOKUP(D167,Poeng!$B$10:$BC$252,Poeng!AF$1,FALSE)</f>
        <v>-</v>
      </c>
      <c r="P167" s="108" t="str">
        <f>VLOOKUP(D167,Poeng!$B$10:$BH$252,Poeng!BH$1,FALSE)</f>
        <v>Very Good</v>
      </c>
      <c r="Q167" s="558"/>
      <c r="R167" s="559"/>
      <c r="S167" s="552"/>
      <c r="T167" s="276"/>
      <c r="U167" s="77"/>
      <c r="V167" s="108" t="str">
        <f>VLOOKUP(D167,Poeng!$B$10:$BC$252,Poeng!AG$1,FALSE)</f>
        <v>-</v>
      </c>
      <c r="W167" s="108" t="str">
        <f>VLOOKUP(D167,Poeng!$B$10:$BK$252,Poeng!BK$1,FALSE)</f>
        <v>Very Good</v>
      </c>
      <c r="X167" s="75"/>
      <c r="Y167" s="74"/>
      <c r="Z167" s="552"/>
      <c r="AA167" s="117"/>
      <c r="AB167" s="481"/>
      <c r="AC167" s="20">
        <f t="shared" ref="AC167" si="26">IF(F167="",1,IF(F167=0,2,1))</f>
        <v>1</v>
      </c>
      <c r="AD167" s="1" t="e">
        <f>VLOOKUP(K167,'Assessment Details'!$O$49:$P$52,2,FALSE)</f>
        <v>#N/A</v>
      </c>
      <c r="AE167" s="1" t="e">
        <f>VLOOKUP(R167,'Assessment Details'!$O$49:$P$52,2,FALSE)</f>
        <v>#N/A</v>
      </c>
      <c r="AF167" s="1" t="e">
        <f>VLOOKUP(Y167,'Assessment Details'!$O$49:$P$52,2,FALSE)</f>
        <v>#N/A</v>
      </c>
      <c r="AI167" s="64"/>
      <c r="AJ167" s="508"/>
      <c r="AK167" s="64"/>
      <c r="AL167" s="64"/>
      <c r="AM167" s="64"/>
      <c r="AN167" s="64"/>
      <c r="AO167" s="64"/>
      <c r="AP167" s="64"/>
      <c r="AS167" s="20"/>
      <c r="AT167" s="20"/>
      <c r="AU167" s="20"/>
      <c r="AV167" s="20"/>
      <c r="AW167" s="20"/>
      <c r="AX167" s="20"/>
      <c r="AZ167" s="481"/>
    </row>
    <row r="168" spans="1:52" x14ac:dyDescent="0.25">
      <c r="A168" s="1410">
        <v>159</v>
      </c>
      <c r="B168" s="1412" t="s">
        <v>65</v>
      </c>
      <c r="C168" s="690" t="s">
        <v>175</v>
      </c>
      <c r="D168" s="628" t="s">
        <v>175</v>
      </c>
      <c r="E168" s="662" t="str">
        <f>VLOOKUP(D168,Poeng!$B$10:$R$252,Poeng!E$1,FALSE)</f>
        <v>LE 02 Ecological risks and opportunities</v>
      </c>
      <c r="F168" s="667">
        <f>VLOOKUP(D168,Poeng!$B$10:$AB$252,Poeng!AB$1,FALSE)</f>
        <v>2</v>
      </c>
      <c r="G168" s="742"/>
      <c r="H168" s="668" t="str">
        <f>VLOOKUP(D168,Poeng!$B$10:$AI$252,Poeng!AI$1,FALSE)&amp;" c. "&amp;ROUND(VLOOKUP(D168,Poeng!$B$10:$AE$252,Poeng!AE$1,FALSE)*100,1)&amp;" %"</f>
        <v>0 c. 0 %</v>
      </c>
      <c r="I168" s="690" t="str">
        <f>VLOOKUP(D168,Poeng!$B$10:$BE$252,Poeng!BE$1,FALSE)</f>
        <v>N/A</v>
      </c>
      <c r="J168" s="74"/>
      <c r="K168" s="241"/>
      <c r="L168" s="608"/>
      <c r="M168" s="623"/>
      <c r="N168" s="742"/>
      <c r="O168" s="679" t="str">
        <f>VLOOKUP(D168,Poeng!$B$10:$BC$252,Poeng!AJ$1,FALSE)&amp;" c. "&amp;ROUND(VLOOKUP(D168,Poeng!$B$10:$BC$252,Poeng!AF$1,FALSE)*100,1)&amp;" %"</f>
        <v>0 c. 0 %</v>
      </c>
      <c r="P168" s="108" t="str">
        <f>VLOOKUP(D168,Poeng!$B$10:$BH$252,Poeng!BH$1,FALSE)</f>
        <v>N/A</v>
      </c>
      <c r="Q168" s="558"/>
      <c r="R168" s="559"/>
      <c r="S168" s="552"/>
      <c r="T168" s="276"/>
      <c r="U168" s="742"/>
      <c r="V168" s="679" t="str">
        <f>VLOOKUP(D168,Poeng!$B$10:$BC$252,Poeng!AK$1,FALSE)&amp;" c. "&amp;ROUND(VLOOKUP(D168,Poeng!$B$10:$BC$252,Poeng!AG$1,FALSE)*100,1)&amp;" %"</f>
        <v>0 c. 0 %</v>
      </c>
      <c r="W168" s="108" t="str">
        <f>VLOOKUP(D168,Poeng!$B$10:$BK$252,Poeng!BK$1,FALSE)</f>
        <v>N/A</v>
      </c>
      <c r="X168" s="75"/>
      <c r="Y168" s="74"/>
      <c r="Z168" s="552"/>
      <c r="AA168" s="117"/>
      <c r="AB168" s="481" t="s">
        <v>14</v>
      </c>
      <c r="AC168" s="20">
        <f t="shared" si="20"/>
        <v>1</v>
      </c>
      <c r="AD168" s="1" t="e">
        <f>VLOOKUP(K168,'Assessment Details'!$O$49:$P$52,2,FALSE)</f>
        <v>#N/A</v>
      </c>
      <c r="AE168" s="1" t="e">
        <f>VLOOKUP(R168,'Assessment Details'!$O$49:$P$52,2,FALSE)</f>
        <v>#N/A</v>
      </c>
      <c r="AF168" s="1" t="e">
        <f>VLOOKUP(Y168,'Assessment Details'!$O$49:$P$52,2,FALSE)</f>
        <v>#N/A</v>
      </c>
      <c r="AI168" s="64"/>
      <c r="AJ168" s="508" t="s">
        <v>155</v>
      </c>
      <c r="AK168" s="64"/>
      <c r="AL168" s="64"/>
      <c r="AM168" s="64"/>
      <c r="AN168" s="64"/>
      <c r="AO168" s="64"/>
      <c r="AP168" s="64"/>
      <c r="AS168" s="20" t="str">
        <f t="shared" si="23"/>
        <v>N/A</v>
      </c>
      <c r="AT168" s="20" t="str">
        <f t="shared" si="24"/>
        <v>N/A</v>
      </c>
      <c r="AU168" s="20" t="str">
        <f t="shared" si="25"/>
        <v>N/A</v>
      </c>
      <c r="AV168" s="20"/>
      <c r="AW168" s="20"/>
      <c r="AX168" s="20"/>
      <c r="AZ168" s="481"/>
    </row>
    <row r="169" spans="1:52" x14ac:dyDescent="0.25">
      <c r="A169" s="1410">
        <v>160</v>
      </c>
      <c r="B169" s="1412" t="s">
        <v>65</v>
      </c>
      <c r="C169" s="109" t="str">
        <f t="shared" si="18"/>
        <v>LE 02</v>
      </c>
      <c r="D169" s="628" t="s">
        <v>778</v>
      </c>
      <c r="E169" s="663" t="str">
        <f>VLOOKUP(D169,Poeng!$B$10:$R$252,Poeng!E$1,FALSE)</f>
        <v>Pre-requisite: statutory obligations fulfilled</v>
      </c>
      <c r="F169" s="107" t="str">
        <f>VLOOKUP(D169,Poeng!$B$10:$AB$252,Poeng!AB$1,FALSE)</f>
        <v>Yes/No</v>
      </c>
      <c r="G169" s="1261" t="str">
        <f>'Assessment Issue Scoring'!E1011</f>
        <v>Please select</v>
      </c>
      <c r="H169" s="108" t="str">
        <f>VLOOKUP(D169,Poeng!$B$10:$AE$252,Poeng!AE$1,FALSE)</f>
        <v>-</v>
      </c>
      <c r="I169" s="109" t="str">
        <f>VLOOKUP(D169,Poeng!$B$10:$BE$252,Poeng!BE$1,FALSE)</f>
        <v>N/A</v>
      </c>
      <c r="J169" s="74"/>
      <c r="K169" s="241"/>
      <c r="L169" s="608"/>
      <c r="M169" s="623"/>
      <c r="N169" s="77"/>
      <c r="O169" s="108" t="str">
        <f>VLOOKUP(D169,Poeng!$B$10:$BC$252,Poeng!AF$1,FALSE)</f>
        <v>-</v>
      </c>
      <c r="P169" s="108" t="str">
        <f>VLOOKUP(D169,Poeng!$B$10:$BH$252,Poeng!BH$1,FALSE)</f>
        <v>N/A</v>
      </c>
      <c r="Q169" s="558"/>
      <c r="R169" s="559"/>
      <c r="S169" s="552"/>
      <c r="T169" s="276"/>
      <c r="U169" s="77"/>
      <c r="V169" s="108" t="str">
        <f>VLOOKUP(D169,Poeng!$B$10:$BC$252,Poeng!AG$1,FALSE)</f>
        <v>-</v>
      </c>
      <c r="W169" s="108" t="str">
        <f>VLOOKUP(D169,Poeng!$B$10:$BK$252,Poeng!BK$1,FALSE)</f>
        <v>N/A</v>
      </c>
      <c r="X169" s="75"/>
      <c r="Y169" s="74"/>
      <c r="Z169" s="552"/>
      <c r="AA169" s="117"/>
      <c r="AB169" s="481"/>
      <c r="AC169" s="20">
        <f t="shared" si="20"/>
        <v>1</v>
      </c>
      <c r="AD169" s="1" t="e">
        <f>VLOOKUP(K169,'Assessment Details'!$O$49:$P$52,2,FALSE)</f>
        <v>#N/A</v>
      </c>
      <c r="AE169" s="1" t="e">
        <f>VLOOKUP(R169,'Assessment Details'!$O$49:$P$52,2,FALSE)</f>
        <v>#N/A</v>
      </c>
      <c r="AF169" s="1" t="e">
        <f>VLOOKUP(Y169,'Assessment Details'!$O$49:$P$52,2,FALSE)</f>
        <v>#N/A</v>
      </c>
      <c r="AI169" s="64"/>
      <c r="AJ169" s="508"/>
      <c r="AK169" s="64"/>
      <c r="AL169" s="64"/>
      <c r="AM169" s="64"/>
      <c r="AN169" s="64"/>
      <c r="AO169" s="64"/>
      <c r="AP169" s="64"/>
      <c r="AS169" s="20"/>
      <c r="AT169" s="20"/>
      <c r="AU169" s="20"/>
      <c r="AV169" s="20"/>
      <c r="AW169" s="20"/>
      <c r="AX169" s="20"/>
      <c r="AZ169" s="481"/>
    </row>
    <row r="170" spans="1:52" x14ac:dyDescent="0.25">
      <c r="A170" s="1410">
        <v>161</v>
      </c>
      <c r="B170" s="1412" t="s">
        <v>65</v>
      </c>
      <c r="C170" s="109" t="str">
        <f t="shared" si="18"/>
        <v>LE 02</v>
      </c>
      <c r="D170" s="628" t="s">
        <v>779</v>
      </c>
      <c r="E170" s="663" t="str">
        <f>VLOOKUP(D170,Poeng!$B$10:$R$252,Poeng!E$1,FALSE)</f>
        <v>Survey and evaluation (EU taxonomy requirement: criterion 2-4)</v>
      </c>
      <c r="F170" s="107">
        <f>VLOOKUP(D170,Poeng!$B$10:$AB$252,Poeng!AB$1,FALSE)</f>
        <v>1</v>
      </c>
      <c r="G170" s="1261">
        <f>'Assessment Issue Scoring'!G1015</f>
        <v>0</v>
      </c>
      <c r="H170" s="108">
        <f>VLOOKUP(D170,Poeng!$B$10:$AE$252,Poeng!AE$1,FALSE)</f>
        <v>0</v>
      </c>
      <c r="I170" s="109" t="str">
        <f>VLOOKUP(D170,Poeng!$B$10:$BE$252,Poeng!BE$1,FALSE)</f>
        <v>Good</v>
      </c>
      <c r="J170" s="74"/>
      <c r="K170" s="241"/>
      <c r="L170" s="608"/>
      <c r="M170" s="623"/>
      <c r="N170" s="77"/>
      <c r="O170" s="108">
        <f>VLOOKUP(D170,Poeng!$B$10:$BC$252,Poeng!AF$1,FALSE)</f>
        <v>0</v>
      </c>
      <c r="P170" s="108" t="str">
        <f>VLOOKUP(D170,Poeng!$B$10:$BH$252,Poeng!BH$1,FALSE)</f>
        <v>Good</v>
      </c>
      <c r="Q170" s="558"/>
      <c r="R170" s="559"/>
      <c r="S170" s="552"/>
      <c r="T170" s="276"/>
      <c r="U170" s="77"/>
      <c r="V170" s="108">
        <f>VLOOKUP(D170,Poeng!$B$10:$BC$252,Poeng!AG$1,FALSE)</f>
        <v>0</v>
      </c>
      <c r="W170" s="108" t="str">
        <f>VLOOKUP(D170,Poeng!$B$10:$BK$252,Poeng!BK$1,FALSE)</f>
        <v>Good</v>
      </c>
      <c r="X170" s="75"/>
      <c r="Y170" s="74"/>
      <c r="Z170" s="552"/>
      <c r="AA170" s="117"/>
      <c r="AB170" s="481"/>
      <c r="AC170" s="20">
        <f t="shared" si="20"/>
        <v>1</v>
      </c>
      <c r="AD170" s="1" t="e">
        <f>VLOOKUP(K170,'Assessment Details'!$O$49:$P$52,2,FALSE)</f>
        <v>#N/A</v>
      </c>
      <c r="AE170" s="1" t="e">
        <f>VLOOKUP(R170,'Assessment Details'!$O$49:$P$52,2,FALSE)</f>
        <v>#N/A</v>
      </c>
      <c r="AF170" s="1" t="e">
        <f>VLOOKUP(Y170,'Assessment Details'!$O$49:$P$52,2,FALSE)</f>
        <v>#N/A</v>
      </c>
      <c r="AI170" s="64"/>
      <c r="AJ170" s="508"/>
      <c r="AK170" s="64"/>
      <c r="AL170" s="64"/>
      <c r="AM170" s="64"/>
      <c r="AN170" s="64"/>
      <c r="AO170" s="64"/>
      <c r="AP170" s="64"/>
      <c r="AS170" s="20"/>
      <c r="AT170" s="20"/>
      <c r="AU170" s="20"/>
      <c r="AV170" s="20"/>
      <c r="AW170" s="20"/>
      <c r="AX170" s="20"/>
      <c r="AZ170" s="481"/>
    </row>
    <row r="171" spans="1:52" x14ac:dyDescent="0.25">
      <c r="A171" s="1410">
        <v>162</v>
      </c>
      <c r="B171" s="1412" t="s">
        <v>65</v>
      </c>
      <c r="C171" s="109" t="str">
        <f t="shared" si="18"/>
        <v>LE 02</v>
      </c>
      <c r="D171" s="628" t="s">
        <v>780</v>
      </c>
      <c r="E171" s="663" t="str">
        <f>VLOOKUP(D171,Poeng!$B$10:$R$252,Poeng!E$1,FALSE)</f>
        <v>Determin ecological possibilities</v>
      </c>
      <c r="F171" s="107">
        <f>VLOOKUP(D171,Poeng!$B$10:$AB$252,Poeng!AB$1,FALSE)</f>
        <v>1</v>
      </c>
      <c r="G171" s="1166">
        <f>'Assessment Issue Scoring'!G1019</f>
        <v>0</v>
      </c>
      <c r="H171" s="108">
        <f>VLOOKUP(D171,Poeng!$B$10:$AE$252,Poeng!AE$1,FALSE)</f>
        <v>0</v>
      </c>
      <c r="I171" s="109" t="str">
        <f>VLOOKUP(D171,Poeng!$B$10:$BE$252,Poeng!BE$1,FALSE)</f>
        <v>N/A</v>
      </c>
      <c r="J171" s="74"/>
      <c r="K171" s="241"/>
      <c r="L171" s="608"/>
      <c r="M171" s="623"/>
      <c r="N171" s="77"/>
      <c r="O171" s="108">
        <f>VLOOKUP(D171,Poeng!$B$10:$BC$252,Poeng!AF$1,FALSE)</f>
        <v>0</v>
      </c>
      <c r="P171" s="108" t="str">
        <f>VLOOKUP(D171,Poeng!$B$10:$BH$252,Poeng!BH$1,FALSE)</f>
        <v>N/A</v>
      </c>
      <c r="Q171" s="558"/>
      <c r="R171" s="559"/>
      <c r="S171" s="552"/>
      <c r="T171" s="276"/>
      <c r="U171" s="77"/>
      <c r="V171" s="108">
        <f>VLOOKUP(D171,Poeng!$B$10:$BC$252,Poeng!AG$1,FALSE)</f>
        <v>0</v>
      </c>
      <c r="W171" s="108" t="str">
        <f>VLOOKUP(D171,Poeng!$B$10:$BK$252,Poeng!BK$1,FALSE)</f>
        <v>N/A</v>
      </c>
      <c r="X171" s="75"/>
      <c r="Y171" s="74"/>
      <c r="Z171" s="552"/>
      <c r="AA171" s="117"/>
      <c r="AB171" s="481"/>
      <c r="AC171" s="20">
        <f t="shared" si="20"/>
        <v>1</v>
      </c>
      <c r="AD171" s="1" t="e">
        <f>VLOOKUP(K171,'Assessment Details'!$O$49:$P$52,2,FALSE)</f>
        <v>#N/A</v>
      </c>
      <c r="AE171" s="1" t="e">
        <f>VLOOKUP(R171,'Assessment Details'!$O$49:$P$52,2,FALSE)</f>
        <v>#N/A</v>
      </c>
      <c r="AF171" s="1" t="e">
        <f>VLOOKUP(Y171,'Assessment Details'!$O$49:$P$52,2,FALSE)</f>
        <v>#N/A</v>
      </c>
      <c r="AI171" s="64"/>
      <c r="AJ171" s="508"/>
      <c r="AK171" s="64"/>
      <c r="AL171" s="64"/>
      <c r="AM171" s="64"/>
      <c r="AN171" s="64"/>
      <c r="AO171" s="64"/>
      <c r="AP171" s="64"/>
      <c r="AS171" s="20"/>
      <c r="AT171" s="20"/>
      <c r="AU171" s="20"/>
      <c r="AV171" s="20"/>
      <c r="AW171" s="20"/>
      <c r="AX171" s="20"/>
      <c r="AZ171" s="481"/>
    </row>
    <row r="172" spans="1:52" x14ac:dyDescent="0.25">
      <c r="A172" s="1410">
        <v>163</v>
      </c>
      <c r="B172" s="1412" t="s">
        <v>65</v>
      </c>
      <c r="C172" s="690" t="s">
        <v>459</v>
      </c>
      <c r="D172" s="628" t="s">
        <v>459</v>
      </c>
      <c r="E172" s="662" t="str">
        <f>VLOOKUP(D172,Poeng!$B$10:$R$252,Poeng!E$1,FALSE)</f>
        <v>LE 03 Managing impacts on ecology</v>
      </c>
      <c r="F172" s="667">
        <f>VLOOKUP(D172,Poeng!$B$10:$AB$252,Poeng!AB$1,FALSE)</f>
        <v>3</v>
      </c>
      <c r="G172" s="742"/>
      <c r="H172" s="668" t="str">
        <f>VLOOKUP(D172,Poeng!$B$10:$AI$252,Poeng!AI$1,FALSE)&amp;" c. "&amp;ROUND(VLOOKUP(D172,Poeng!$B$10:$AE$252,Poeng!AE$1,FALSE)*100,1)&amp;" %"</f>
        <v>0 c. 0 %</v>
      </c>
      <c r="I172" s="690" t="str">
        <f>VLOOKUP(D172,Poeng!$B$10:$BE$252,Poeng!BE$1,FALSE)</f>
        <v>N/A</v>
      </c>
      <c r="J172" s="74"/>
      <c r="K172" s="241"/>
      <c r="L172" s="608"/>
      <c r="M172" s="623"/>
      <c r="N172" s="742"/>
      <c r="O172" s="679" t="str">
        <f>VLOOKUP(D172,Poeng!$B$10:$BC$252,Poeng!AJ$1,FALSE)&amp;" c. "&amp;ROUND(VLOOKUP(D172,Poeng!$B$10:$BC$252,Poeng!AF$1,FALSE)*100,1)&amp;" %"</f>
        <v>0 c. 0 %</v>
      </c>
      <c r="P172" s="108" t="str">
        <f>VLOOKUP(D172,Poeng!$B$10:$BH$252,Poeng!BH$1,FALSE)</f>
        <v>N/A</v>
      </c>
      <c r="Q172" s="558"/>
      <c r="R172" s="559"/>
      <c r="S172" s="552"/>
      <c r="T172" s="276"/>
      <c r="U172" s="742"/>
      <c r="V172" s="679" t="str">
        <f>VLOOKUP(D172,Poeng!$B$10:$BC$252,Poeng!AK$1,FALSE)&amp;" c. "&amp;ROUND(VLOOKUP(D172,Poeng!$B$10:$BC$252,Poeng!AG$1,FALSE)*100,1)&amp;" %"</f>
        <v>0 c. 0 %</v>
      </c>
      <c r="W172" s="108" t="str">
        <f>VLOOKUP(D172,Poeng!$B$10:$BK$252,Poeng!BK$1,FALSE)</f>
        <v>N/A</v>
      </c>
      <c r="X172" s="75"/>
      <c r="Y172" s="74"/>
      <c r="Z172" s="552"/>
      <c r="AA172" s="117"/>
      <c r="AB172" s="481"/>
      <c r="AC172" s="20">
        <f t="shared" si="20"/>
        <v>1</v>
      </c>
      <c r="AD172" s="1" t="e">
        <f>VLOOKUP(K172,'Assessment Details'!$O$49:$P$52,2,FALSE)</f>
        <v>#N/A</v>
      </c>
      <c r="AE172" s="1" t="e">
        <f>VLOOKUP(R172,'Assessment Details'!$O$49:$P$52,2,FALSE)</f>
        <v>#N/A</v>
      </c>
      <c r="AF172" s="1" t="e">
        <f>VLOOKUP(Y172,'Assessment Details'!$O$49:$P$52,2,FALSE)</f>
        <v>#N/A</v>
      </c>
      <c r="AI172" s="64"/>
      <c r="AJ172" s="508"/>
      <c r="AK172" s="64"/>
      <c r="AL172" s="64"/>
      <c r="AM172" s="64"/>
      <c r="AN172" s="64"/>
      <c r="AO172" s="64"/>
      <c r="AP172" s="64"/>
      <c r="AS172" s="20"/>
      <c r="AT172" s="20"/>
      <c r="AU172" s="20"/>
      <c r="AV172" s="20"/>
      <c r="AW172" s="20"/>
      <c r="AX172" s="20"/>
      <c r="AZ172" s="481"/>
    </row>
    <row r="173" spans="1:52" x14ac:dyDescent="0.25">
      <c r="A173" s="1410">
        <v>164</v>
      </c>
      <c r="B173" s="1412" t="s">
        <v>65</v>
      </c>
      <c r="C173" s="109" t="s">
        <v>459</v>
      </c>
      <c r="D173" s="628" t="s">
        <v>781</v>
      </c>
      <c r="E173" s="663" t="str">
        <f>VLOOKUP(D173,Poeng!$B$10:$R$252,Poeng!E$1,FALSE)</f>
        <v>Pre-requisite: ecological risks and opportunities</v>
      </c>
      <c r="F173" s="107" t="str">
        <f>VLOOKUP(D173,Poeng!$B$10:$AB$252,Poeng!AB$1,FALSE)</f>
        <v>Yes/No</v>
      </c>
      <c r="G173" s="1430"/>
      <c r="H173" s="668" t="str">
        <f>Poeng!AI243</f>
        <v>No</v>
      </c>
      <c r="I173" s="109" t="str">
        <f>VLOOKUP(D173,Poeng!$B$10:$BE$252,Poeng!BE$1,FALSE)</f>
        <v>N/A</v>
      </c>
      <c r="J173" s="74"/>
      <c r="K173" s="241"/>
      <c r="L173" s="608"/>
      <c r="M173" s="623"/>
      <c r="N173" s="1431"/>
      <c r="O173" s="679"/>
      <c r="P173" s="108"/>
      <c r="Q173" s="558"/>
      <c r="R173" s="559"/>
      <c r="S173" s="552"/>
      <c r="T173" s="276"/>
      <c r="U173" s="1431"/>
      <c r="V173" s="679"/>
      <c r="W173" s="108"/>
      <c r="X173" s="75"/>
      <c r="Y173" s="74"/>
      <c r="Z173" s="552"/>
      <c r="AA173" s="117"/>
      <c r="AB173" s="481"/>
      <c r="AC173" s="20"/>
      <c r="AD173" s="1"/>
      <c r="AE173" s="1"/>
      <c r="AF173" s="1"/>
      <c r="AI173" s="64"/>
      <c r="AJ173" s="508"/>
      <c r="AK173" s="64"/>
      <c r="AL173" s="64"/>
      <c r="AM173" s="64"/>
      <c r="AN173" s="64"/>
      <c r="AO173" s="64"/>
      <c r="AP173" s="64"/>
      <c r="AS173" s="20"/>
      <c r="AT173" s="20"/>
      <c r="AU173" s="20"/>
      <c r="AV173" s="20"/>
      <c r="AW173" s="20"/>
      <c r="AX173" s="20"/>
      <c r="AZ173" s="481"/>
    </row>
    <row r="174" spans="1:52" x14ac:dyDescent="0.25">
      <c r="A174" s="1410">
        <v>165</v>
      </c>
      <c r="B174" s="1412" t="s">
        <v>65</v>
      </c>
      <c r="C174" s="109" t="s">
        <v>459</v>
      </c>
      <c r="D174" s="628" t="s">
        <v>782</v>
      </c>
      <c r="E174" s="663" t="str">
        <f>VLOOKUP(D174,Poeng!$B$10:$R$252,Poeng!E$1,FALSE)</f>
        <v>Planning and measures on site</v>
      </c>
      <c r="F174" s="107">
        <f>VLOOKUP(D174,Poeng!$B$10:$AB$252,Poeng!AB$1,FALSE)</f>
        <v>1</v>
      </c>
      <c r="G174" s="1166">
        <f>'Assessment Issue Scoring'!G1045</f>
        <v>0</v>
      </c>
      <c r="H174" s="108">
        <f>VLOOKUP(D174,Poeng!$B$10:$AE$252,Poeng!AE$1,FALSE)</f>
        <v>0</v>
      </c>
      <c r="I174" s="109" t="str">
        <f>VLOOKUP(D174,Poeng!$B$10:$BE$252,Poeng!BE$1,FALSE)</f>
        <v>N/A</v>
      </c>
      <c r="J174" s="74"/>
      <c r="K174" s="241"/>
      <c r="L174" s="608"/>
      <c r="M174" s="623"/>
      <c r="N174" s="77"/>
      <c r="O174" s="108">
        <f>VLOOKUP(D174,Poeng!$B$10:$BC$252,Poeng!AF$1,FALSE)</f>
        <v>0</v>
      </c>
      <c r="P174" s="108" t="str">
        <f>VLOOKUP(D174,Poeng!$B$10:$BH$252,Poeng!BH$1,FALSE)</f>
        <v>N/A</v>
      </c>
      <c r="Q174" s="558"/>
      <c r="R174" s="559"/>
      <c r="S174" s="608"/>
      <c r="T174" s="276"/>
      <c r="U174" s="77"/>
      <c r="V174" s="108">
        <f>VLOOKUP(D174,Poeng!$B$10:$BC$252,Poeng!AG$1,FALSE)</f>
        <v>0</v>
      </c>
      <c r="W174" s="108" t="str">
        <f>VLOOKUP(D174,Poeng!$B$10:$BK$252,Poeng!BK$1,FALSE)</f>
        <v>N/A</v>
      </c>
      <c r="X174" s="75"/>
      <c r="Y174" s="74"/>
      <c r="Z174" s="608"/>
      <c r="AA174" s="117"/>
      <c r="AB174" s="481"/>
      <c r="AC174" s="20">
        <f t="shared" si="20"/>
        <v>1</v>
      </c>
      <c r="AD174" s="1" t="e">
        <f>VLOOKUP(K174,'Assessment Details'!$O$49:$P$52,2,FALSE)</f>
        <v>#N/A</v>
      </c>
      <c r="AE174" s="1" t="e">
        <f>VLOOKUP(R174,'Assessment Details'!$O$49:$P$52,2,FALSE)</f>
        <v>#N/A</v>
      </c>
      <c r="AF174" s="1" t="e">
        <f>VLOOKUP(Y174,'Assessment Details'!$O$49:$P$52,2,FALSE)</f>
        <v>#N/A</v>
      </c>
      <c r="AI174" s="64"/>
      <c r="AJ174" s="508"/>
      <c r="AK174" s="64"/>
      <c r="AL174" s="64"/>
      <c r="AM174" s="64"/>
      <c r="AN174" s="64"/>
      <c r="AO174" s="64"/>
      <c r="AP174" s="64"/>
      <c r="AS174" s="20"/>
      <c r="AT174" s="20"/>
      <c r="AU174" s="20"/>
      <c r="AV174" s="20"/>
      <c r="AW174" s="20"/>
      <c r="AX174" s="20"/>
      <c r="AZ174" s="481"/>
    </row>
    <row r="175" spans="1:52" x14ac:dyDescent="0.25">
      <c r="A175" s="1410">
        <v>166</v>
      </c>
      <c r="B175" s="1412" t="s">
        <v>65</v>
      </c>
      <c r="C175" s="109" t="s">
        <v>459</v>
      </c>
      <c r="D175" s="628" t="s">
        <v>783</v>
      </c>
      <c r="E175" s="663" t="str">
        <f>VLOOKUP(D175,Poeng!$B$10:$R$252,Poeng!E$1,FALSE)</f>
        <v>Managing negative impacts</v>
      </c>
      <c r="F175" s="107">
        <f>VLOOKUP(D175,Poeng!$B$10:$AB$252,Poeng!AB$1,FALSE)</f>
        <v>2</v>
      </c>
      <c r="G175" s="1166">
        <f>'Assessment Issue Scoring'!G1046</f>
        <v>0</v>
      </c>
      <c r="H175" s="108">
        <f>VLOOKUP(D175,Poeng!$B$10:$AE$252,Poeng!AE$1,FALSE)</f>
        <v>0</v>
      </c>
      <c r="I175" s="109" t="str">
        <f>VLOOKUP(D175,Poeng!$B$10:$BE$252,Poeng!BE$1,FALSE)</f>
        <v>N/A</v>
      </c>
      <c r="J175" s="74"/>
      <c r="K175" s="241"/>
      <c r="L175" s="608"/>
      <c r="M175" s="623"/>
      <c r="N175" s="77"/>
      <c r="O175" s="108">
        <f>VLOOKUP(D175,Poeng!$B$10:$BC$252,Poeng!AF$1,FALSE)</f>
        <v>0</v>
      </c>
      <c r="P175" s="108" t="str">
        <f>VLOOKUP(D175,Poeng!$B$10:$BH$252,Poeng!BH$1,FALSE)</f>
        <v>N/A</v>
      </c>
      <c r="Q175" s="558"/>
      <c r="R175" s="559"/>
      <c r="S175" s="608"/>
      <c r="T175" s="276"/>
      <c r="U175" s="77"/>
      <c r="V175" s="108">
        <f>VLOOKUP(D175,Poeng!$B$10:$BC$252,Poeng!AG$1,FALSE)</f>
        <v>0</v>
      </c>
      <c r="W175" s="108" t="str">
        <f>VLOOKUP(D175,Poeng!$B$10:$BK$252,Poeng!BK$1,FALSE)</f>
        <v>N/A</v>
      </c>
      <c r="X175" s="75"/>
      <c r="Y175" s="74"/>
      <c r="Z175" s="608"/>
      <c r="AA175" s="117"/>
      <c r="AB175" s="481"/>
      <c r="AC175" s="20">
        <f t="shared" si="20"/>
        <v>1</v>
      </c>
      <c r="AD175" s="1" t="e">
        <f>VLOOKUP(K175,'Assessment Details'!$O$49:$P$52,2,FALSE)</f>
        <v>#N/A</v>
      </c>
      <c r="AE175" s="1" t="e">
        <f>VLOOKUP(R175,'Assessment Details'!$O$49:$P$52,2,FALSE)</f>
        <v>#N/A</v>
      </c>
      <c r="AF175" s="1" t="e">
        <f>VLOOKUP(Y175,'Assessment Details'!$O$49:$P$52,2,FALSE)</f>
        <v>#N/A</v>
      </c>
      <c r="AI175" s="64"/>
      <c r="AJ175" s="508"/>
      <c r="AK175" s="64"/>
      <c r="AL175" s="64"/>
      <c r="AM175" s="64"/>
      <c r="AN175" s="64"/>
      <c r="AO175" s="64"/>
      <c r="AP175" s="64"/>
      <c r="AS175" s="20"/>
      <c r="AT175" s="20"/>
      <c r="AU175" s="20"/>
      <c r="AV175" s="20"/>
      <c r="AW175" s="20"/>
      <c r="AX175" s="20"/>
      <c r="AZ175" s="481"/>
    </row>
    <row r="176" spans="1:52" x14ac:dyDescent="0.25">
      <c r="A176" s="1410">
        <v>167</v>
      </c>
      <c r="B176" s="1412" t="s">
        <v>65</v>
      </c>
      <c r="C176" s="690" t="s">
        <v>176</v>
      </c>
      <c r="D176" s="628" t="s">
        <v>176</v>
      </c>
      <c r="E176" s="662" t="str">
        <f>VLOOKUP(D176,Poeng!$B$10:$R$252,Poeng!E$1,FALSE)</f>
        <v>LE 04 Ecological change and enhancement</v>
      </c>
      <c r="F176" s="667">
        <f>VLOOKUP(D176,Poeng!$B$10:$AB$252,Poeng!AB$1,FALSE)</f>
        <v>4</v>
      </c>
      <c r="G176" s="742"/>
      <c r="H176" s="668" t="str">
        <f>VLOOKUP(D176,Poeng!$B$10:$AI$252,Poeng!AI$1,FALSE)&amp;" c. "&amp;ROUND(VLOOKUP(D176,Poeng!$B$10:$AE$252,Poeng!AE$1,FALSE)*100,1)&amp;" %"</f>
        <v>0 c. 0 %</v>
      </c>
      <c r="I176" s="690" t="str">
        <f>VLOOKUP(D176,Poeng!$B$10:$BE$252,Poeng!BE$1,FALSE)</f>
        <v>N/A</v>
      </c>
      <c r="J176" s="74"/>
      <c r="K176" s="241"/>
      <c r="L176" s="608"/>
      <c r="M176" s="623"/>
      <c r="N176" s="742"/>
      <c r="O176" s="679" t="str">
        <f>VLOOKUP(D176,Poeng!$B$10:$BC$252,Poeng!AJ$1,FALSE)&amp;" c. "&amp;ROUND(VLOOKUP(D176,Poeng!$B$10:$BC$252,Poeng!AF$1,FALSE)*100,1)&amp;" %"</f>
        <v>0 c. 0 %</v>
      </c>
      <c r="P176" s="108" t="str">
        <f>VLOOKUP(D176,Poeng!$B$10:$BH$252,Poeng!BH$1,FALSE)</f>
        <v>N/A</v>
      </c>
      <c r="Q176" s="558"/>
      <c r="R176" s="559"/>
      <c r="S176" s="608"/>
      <c r="T176" s="276"/>
      <c r="U176" s="742"/>
      <c r="V176" s="679" t="str">
        <f>VLOOKUP(D176,Poeng!$B$10:$BC$252,Poeng!AK$1,FALSE)&amp;" c. "&amp;ROUND(VLOOKUP(D176,Poeng!$B$10:$BC$252,Poeng!AG$1,FALSE)*100,1)&amp;" %"</f>
        <v>0 c. 0 %</v>
      </c>
      <c r="W176" s="108" t="str">
        <f>VLOOKUP(D176,Poeng!$B$10:$BK$252,Poeng!BK$1,FALSE)</f>
        <v>N/A</v>
      </c>
      <c r="X176" s="75"/>
      <c r="Y176" s="74"/>
      <c r="Z176" s="608"/>
      <c r="AA176" s="117"/>
      <c r="AB176" s="481" t="s">
        <v>14</v>
      </c>
      <c r="AC176" s="20">
        <f t="shared" si="20"/>
        <v>1</v>
      </c>
      <c r="AD176" s="1" t="e">
        <f>VLOOKUP(K176,'Assessment Details'!$O$49:$P$52,2,FALSE)</f>
        <v>#N/A</v>
      </c>
      <c r="AE176" s="1" t="e">
        <f>VLOOKUP(R176,'Assessment Details'!$O$49:$P$52,2,FALSE)</f>
        <v>#N/A</v>
      </c>
      <c r="AF176" s="1" t="e">
        <f>VLOOKUP(Y176,'Assessment Details'!$O$49:$P$52,2,FALSE)</f>
        <v>#N/A</v>
      </c>
      <c r="AI176" s="64"/>
      <c r="AJ176" s="508" t="s">
        <v>156</v>
      </c>
      <c r="AK176" s="64"/>
      <c r="AL176" s="64"/>
      <c r="AM176" s="64"/>
      <c r="AN176" s="64"/>
      <c r="AO176" s="64"/>
      <c r="AP176" s="64"/>
      <c r="AS176" s="20" t="str">
        <f t="shared" si="23"/>
        <v>N/A</v>
      </c>
      <c r="AT176" s="20" t="str">
        <f t="shared" si="24"/>
        <v>N/A</v>
      </c>
      <c r="AU176" s="20" t="str">
        <f t="shared" si="25"/>
        <v>N/A</v>
      </c>
      <c r="AV176" s="20"/>
      <c r="AW176" s="20"/>
      <c r="AX176" s="20"/>
      <c r="AZ176" s="481"/>
    </row>
    <row r="177" spans="1:52" x14ac:dyDescent="0.25">
      <c r="A177" s="1410">
        <v>168</v>
      </c>
      <c r="B177" s="1412" t="s">
        <v>65</v>
      </c>
      <c r="C177" s="109" t="str">
        <f t="shared" si="18"/>
        <v>LE 04</v>
      </c>
      <c r="D177" s="628" t="s">
        <v>784</v>
      </c>
      <c r="E177" s="663" t="str">
        <f>VLOOKUP(D177,Poeng!$B$10:$R$252,Poeng!E$1,FALSE)</f>
        <v>Pre-requisite: managing negative impacts on ecology</v>
      </c>
      <c r="F177" s="107" t="str">
        <f>VLOOKUP(D177,Poeng!$B$10:$AB$252,Poeng!AB$1,FALSE)</f>
        <v>Yes/No</v>
      </c>
      <c r="G177" s="1427" t="str">
        <f>'Assessment Issue Scoring'!E1067</f>
        <v>Please select</v>
      </c>
      <c r="H177" s="108" t="str">
        <f>VLOOKUP(D177,Poeng!$B$10:$AE$252,Poeng!AE$1,FALSE)</f>
        <v>-</v>
      </c>
      <c r="I177" s="109" t="str">
        <f>VLOOKUP(D177,Poeng!$B$10:$BE$252,Poeng!BE$1,FALSE)</f>
        <v>N/A</v>
      </c>
      <c r="J177" s="74"/>
      <c r="K177" s="241"/>
      <c r="L177" s="608"/>
      <c r="M177" s="623"/>
      <c r="N177" s="77"/>
      <c r="O177" s="108" t="str">
        <f>VLOOKUP(D177,Poeng!$B$10:$BC$252,Poeng!AF$1,FALSE)</f>
        <v>-</v>
      </c>
      <c r="P177" s="108" t="str">
        <f>VLOOKUP(D177,Poeng!$B$10:$BH$252,Poeng!BH$1,FALSE)</f>
        <v>N/A</v>
      </c>
      <c r="Q177" s="558"/>
      <c r="R177" s="559"/>
      <c r="S177" s="552"/>
      <c r="T177" s="276"/>
      <c r="U177" s="77"/>
      <c r="V177" s="108" t="str">
        <f>VLOOKUP(D177,Poeng!$B$10:$BC$252,Poeng!AG$1,FALSE)</f>
        <v>-</v>
      </c>
      <c r="W177" s="108" t="str">
        <f>VLOOKUP(D177,Poeng!$B$10:$BK$252,Poeng!BK$1,FALSE)</f>
        <v>N/A</v>
      </c>
      <c r="X177" s="75"/>
      <c r="Y177" s="74"/>
      <c r="Z177" s="552"/>
      <c r="AA177" s="117"/>
      <c r="AB177" s="481"/>
      <c r="AC177" s="20">
        <f t="shared" si="20"/>
        <v>1</v>
      </c>
      <c r="AD177" s="1" t="e">
        <f>VLOOKUP(K177,'Assessment Details'!$O$49:$P$52,2,FALSE)</f>
        <v>#N/A</v>
      </c>
      <c r="AE177" s="1" t="e">
        <f>VLOOKUP(R177,'Assessment Details'!$O$49:$P$52,2,FALSE)</f>
        <v>#N/A</v>
      </c>
      <c r="AF177" s="1" t="e">
        <f>VLOOKUP(Y177,'Assessment Details'!$O$49:$P$52,2,FALSE)</f>
        <v>#N/A</v>
      </c>
      <c r="AI177" s="64"/>
      <c r="AJ177" s="508"/>
      <c r="AK177" s="64"/>
      <c r="AL177" s="64"/>
      <c r="AM177" s="64"/>
      <c r="AN177" s="64"/>
      <c r="AO177" s="64"/>
      <c r="AP177" s="64"/>
      <c r="AS177" s="20"/>
      <c r="AT177" s="20"/>
      <c r="AU177" s="20"/>
      <c r="AV177" s="20"/>
      <c r="AW177" s="20"/>
      <c r="AX177" s="20"/>
      <c r="AZ177" s="481"/>
    </row>
    <row r="178" spans="1:52" x14ac:dyDescent="0.25">
      <c r="A178" s="1410">
        <v>169</v>
      </c>
      <c r="B178" s="1412" t="s">
        <v>65</v>
      </c>
      <c r="C178" s="109" t="str">
        <f t="shared" si="18"/>
        <v>LE 04</v>
      </c>
      <c r="D178" s="628" t="s">
        <v>785</v>
      </c>
      <c r="E178" s="663" t="str">
        <f>VLOOKUP(D178,Poeng!$B$10:$R$252,Poeng!E$1,FALSE)</f>
        <v>Ecological enhancement</v>
      </c>
      <c r="F178" s="107">
        <f>VLOOKUP(D178,Poeng!$B$10:$AB$252,Poeng!AB$1,FALSE)</f>
        <v>1</v>
      </c>
      <c r="G178" s="1166">
        <f>'Assessment Issue Scoring'!G1070</f>
        <v>0</v>
      </c>
      <c r="H178" s="108">
        <f>VLOOKUP(D178,Poeng!$B$10:$AE$252,Poeng!AE$1,FALSE)</f>
        <v>0</v>
      </c>
      <c r="I178" s="109" t="str">
        <f>VLOOKUP(D178,Poeng!$B$10:$BE$252,Poeng!BE$1,FALSE)</f>
        <v>Excellent</v>
      </c>
      <c r="J178" s="74"/>
      <c r="K178" s="241"/>
      <c r="L178" s="608"/>
      <c r="M178" s="623"/>
      <c r="N178" s="77"/>
      <c r="O178" s="108">
        <f>VLOOKUP(D178,Poeng!$B$10:$BC$252,Poeng!AF$1,FALSE)</f>
        <v>0</v>
      </c>
      <c r="P178" s="108" t="str">
        <f>VLOOKUP(D178,Poeng!$B$10:$BH$252,Poeng!BH$1,FALSE)</f>
        <v>Excellent</v>
      </c>
      <c r="Q178" s="558"/>
      <c r="R178" s="559"/>
      <c r="S178" s="552"/>
      <c r="T178" s="276"/>
      <c r="U178" s="77"/>
      <c r="V178" s="108">
        <f>VLOOKUP(D178,Poeng!$B$10:$BC$252,Poeng!AG$1,FALSE)</f>
        <v>0</v>
      </c>
      <c r="W178" s="108" t="str">
        <f>VLOOKUP(D178,Poeng!$B$10:$BK$252,Poeng!BK$1,FALSE)</f>
        <v>Excellent</v>
      </c>
      <c r="X178" s="75"/>
      <c r="Y178" s="74"/>
      <c r="Z178" s="552"/>
      <c r="AA178" s="117"/>
      <c r="AB178" s="481"/>
      <c r="AC178" s="20">
        <f t="shared" si="20"/>
        <v>1</v>
      </c>
      <c r="AD178" s="1" t="e">
        <f>VLOOKUP(K178,'Assessment Details'!$O$49:$P$52,2,FALSE)</f>
        <v>#N/A</v>
      </c>
      <c r="AE178" s="1" t="e">
        <f>VLOOKUP(R178,'Assessment Details'!$O$49:$P$52,2,FALSE)</f>
        <v>#N/A</v>
      </c>
      <c r="AF178" s="1" t="e">
        <f>VLOOKUP(Y178,'Assessment Details'!$O$49:$P$52,2,FALSE)</f>
        <v>#N/A</v>
      </c>
      <c r="AI178" s="64"/>
      <c r="AJ178" s="508"/>
      <c r="AK178" s="64"/>
      <c r="AL178" s="64"/>
      <c r="AM178" s="64"/>
      <c r="AN178" s="64"/>
      <c r="AO178" s="64"/>
      <c r="AP178" s="64"/>
      <c r="AS178" s="20"/>
      <c r="AT178" s="20"/>
      <c r="AU178" s="20"/>
      <c r="AV178" s="20"/>
      <c r="AW178" s="20"/>
      <c r="AX178" s="20"/>
      <c r="AZ178" s="481"/>
    </row>
    <row r="179" spans="1:52" x14ac:dyDescent="0.25">
      <c r="A179" s="1410">
        <v>170</v>
      </c>
      <c r="B179" s="1412" t="s">
        <v>65</v>
      </c>
      <c r="C179" s="109" t="str">
        <f t="shared" si="18"/>
        <v>LE 04</v>
      </c>
      <c r="D179" s="628" t="s">
        <v>786</v>
      </c>
      <c r="E179" s="663" t="str">
        <f>VLOOKUP(D179,Poeng!$B$10:$R$252,Poeng!E$1,FALSE)</f>
        <v>Calculation of change in biodiversity</v>
      </c>
      <c r="F179" s="107">
        <f>VLOOKUP(D179,Poeng!$B$10:$AB$252,Poeng!AB$1,FALSE)</f>
        <v>3</v>
      </c>
      <c r="G179" s="1166">
        <f>'Assessment Issue Scoring'!G1071</f>
        <v>0</v>
      </c>
      <c r="H179" s="108">
        <f>VLOOKUP(D179,Poeng!$B$10:$AE$252,Poeng!AE$1,FALSE)</f>
        <v>0</v>
      </c>
      <c r="I179" s="109" t="str">
        <f>VLOOKUP(D179,Poeng!$B$10:$BE$252,Poeng!BE$1,FALSE)</f>
        <v>N/A</v>
      </c>
      <c r="J179" s="74"/>
      <c r="K179" s="241"/>
      <c r="L179" s="608"/>
      <c r="M179" s="623"/>
      <c r="N179" s="77"/>
      <c r="O179" s="108">
        <f>VLOOKUP(D179,Poeng!$B$10:$BC$252,Poeng!AF$1,FALSE)</f>
        <v>0</v>
      </c>
      <c r="P179" s="108" t="str">
        <f>VLOOKUP(D179,Poeng!$B$10:$BH$252,Poeng!BH$1,FALSE)</f>
        <v>N/A</v>
      </c>
      <c r="Q179" s="558"/>
      <c r="R179" s="559"/>
      <c r="S179" s="552"/>
      <c r="T179" s="276"/>
      <c r="U179" s="77"/>
      <c r="V179" s="108">
        <f>VLOOKUP(D179,Poeng!$B$10:$BC$252,Poeng!AG$1,FALSE)</f>
        <v>0</v>
      </c>
      <c r="W179" s="108" t="str">
        <f>VLOOKUP(D179,Poeng!$B$10:$BK$252,Poeng!BK$1,FALSE)</f>
        <v>N/A</v>
      </c>
      <c r="X179" s="75"/>
      <c r="Y179" s="74"/>
      <c r="Z179" s="552"/>
      <c r="AA179" s="117"/>
      <c r="AB179" s="481"/>
      <c r="AC179" s="20">
        <f t="shared" si="20"/>
        <v>1</v>
      </c>
      <c r="AD179" s="1" t="e">
        <f>VLOOKUP(K179,'Assessment Details'!$O$49:$P$52,2,FALSE)</f>
        <v>#N/A</v>
      </c>
      <c r="AE179" s="1" t="e">
        <f>VLOOKUP(R179,'Assessment Details'!$O$49:$P$52,2,FALSE)</f>
        <v>#N/A</v>
      </c>
      <c r="AF179" s="1" t="e">
        <f>VLOOKUP(Y179,'Assessment Details'!$O$49:$P$52,2,FALSE)</f>
        <v>#N/A</v>
      </c>
      <c r="AI179" s="64"/>
      <c r="AJ179" s="508"/>
      <c r="AK179" s="64"/>
      <c r="AL179" s="64"/>
      <c r="AM179" s="64"/>
      <c r="AN179" s="64"/>
      <c r="AO179" s="64"/>
      <c r="AP179" s="64"/>
      <c r="AS179" s="20"/>
      <c r="AT179" s="20"/>
      <c r="AU179" s="20"/>
      <c r="AV179" s="20"/>
      <c r="AW179" s="20"/>
      <c r="AX179" s="20"/>
      <c r="AZ179" s="481"/>
    </row>
    <row r="180" spans="1:52" x14ac:dyDescent="0.25">
      <c r="A180" s="1410">
        <v>171</v>
      </c>
      <c r="B180" s="1412" t="s">
        <v>65</v>
      </c>
      <c r="C180" s="690" t="s">
        <v>177</v>
      </c>
      <c r="D180" s="628" t="s">
        <v>177</v>
      </c>
      <c r="E180" s="662" t="str">
        <f>VLOOKUP(D180,Poeng!$B$10:$R$252,Poeng!E$1,FALSE)</f>
        <v>LE 05 Long term ecology management and maintenance</v>
      </c>
      <c r="F180" s="667">
        <f>VLOOKUP(D180,Poeng!$B$10:$AB$252,Poeng!AB$1,FALSE)</f>
        <v>2</v>
      </c>
      <c r="G180" s="742"/>
      <c r="H180" s="668" t="str">
        <f>VLOOKUP(D180,Poeng!$B$10:$AI$252,Poeng!AI$1,FALSE)&amp;" c. "&amp;ROUND(VLOOKUP(D180,Poeng!$B$10:$AE$252,Poeng!AE$1,FALSE)*100,1)&amp;" %"</f>
        <v>0 c. 0 %</v>
      </c>
      <c r="I180" s="690" t="str">
        <f>VLOOKUP(D180,Poeng!$B$10:$BE$252,Poeng!BE$1,FALSE)</f>
        <v>N/A</v>
      </c>
      <c r="J180" s="74"/>
      <c r="K180" s="241"/>
      <c r="L180" s="608"/>
      <c r="M180" s="623"/>
      <c r="N180" s="742"/>
      <c r="O180" s="679" t="str">
        <f>VLOOKUP(D180,Poeng!$B$10:$BC$252,Poeng!AJ$1,FALSE)&amp;" c. "&amp;ROUND(VLOOKUP(D180,Poeng!$B$10:$BC$252,Poeng!AF$1,FALSE)*100,1)&amp;" %"</f>
        <v>0 c. 0 %</v>
      </c>
      <c r="P180" s="108" t="str">
        <f>VLOOKUP(D180,Poeng!$B$10:$BH$252,Poeng!BH$1,FALSE)</f>
        <v>N/A</v>
      </c>
      <c r="Q180" s="558"/>
      <c r="R180" s="559"/>
      <c r="S180" s="552"/>
      <c r="T180" s="276"/>
      <c r="U180" s="742"/>
      <c r="V180" s="679" t="str">
        <f>VLOOKUP(D180,Poeng!$B$10:$BC$252,Poeng!AK$1,FALSE)&amp;" c. "&amp;ROUND(VLOOKUP(D180,Poeng!$B$10:$BC$252,Poeng!AG$1,FALSE)*100,1)&amp;" %"</f>
        <v>0 c. 0 %</v>
      </c>
      <c r="W180" s="108" t="str">
        <f>VLOOKUP(D180,Poeng!$B$10:$BK$252,Poeng!BK$1,FALSE)</f>
        <v>N/A</v>
      </c>
      <c r="X180" s="75"/>
      <c r="Y180" s="74"/>
      <c r="Z180" s="552"/>
      <c r="AA180" s="117"/>
      <c r="AB180" s="481" t="s">
        <v>14</v>
      </c>
      <c r="AC180" s="20">
        <f t="shared" si="20"/>
        <v>1</v>
      </c>
      <c r="AD180" s="1" t="e">
        <f>VLOOKUP(K180,'Assessment Details'!$O$49:$P$52,2,FALSE)</f>
        <v>#N/A</v>
      </c>
      <c r="AE180" s="1" t="e">
        <f>VLOOKUP(R180,'Assessment Details'!$O$49:$P$52,2,FALSE)</f>
        <v>#N/A</v>
      </c>
      <c r="AF180" s="1" t="e">
        <f>VLOOKUP(Y180,'Assessment Details'!$O$49:$P$52,2,FALSE)</f>
        <v>#N/A</v>
      </c>
      <c r="AI180" s="64"/>
      <c r="AJ180" s="508" t="s">
        <v>157</v>
      </c>
      <c r="AK180" s="64"/>
      <c r="AL180" s="64"/>
      <c r="AM180" s="64"/>
      <c r="AN180" s="64"/>
      <c r="AO180" s="64"/>
      <c r="AP180" s="64"/>
      <c r="AS180" s="20" t="str">
        <f t="shared" si="23"/>
        <v>N/A</v>
      </c>
      <c r="AT180" s="20" t="str">
        <f t="shared" si="24"/>
        <v>N/A</v>
      </c>
      <c r="AU180" s="20" t="str">
        <f t="shared" si="25"/>
        <v>N/A</v>
      </c>
      <c r="AV180" s="20"/>
      <c r="AW180" s="20"/>
      <c r="AX180" s="20"/>
      <c r="AZ180" s="481"/>
    </row>
    <row r="181" spans="1:52" ht="30" x14ac:dyDescent="0.25">
      <c r="A181" s="1410">
        <v>172</v>
      </c>
      <c r="B181" s="1412" t="s">
        <v>65</v>
      </c>
      <c r="C181" s="809" t="str">
        <f t="shared" si="18"/>
        <v>LE 05</v>
      </c>
      <c r="D181" s="628" t="s">
        <v>787</v>
      </c>
      <c r="E181" s="798" t="str">
        <f>VLOOKUP(D181,Poeng!$B$10:$R$252,Poeng!E$1,FALSE)</f>
        <v>Pre-requisite: statutory obligations, planning and site implementation</v>
      </c>
      <c r="F181" s="107" t="str">
        <f>VLOOKUP(D181,Poeng!$B$10:$AB$252,Poeng!AB$1,FALSE)</f>
        <v>Yes/No</v>
      </c>
      <c r="G181" s="1427" t="str">
        <f>'Assessment Issue Scoring'!E1098</f>
        <v>Please select</v>
      </c>
      <c r="H181" s="108" t="str">
        <f>VLOOKUP(D181,Poeng!$B$10:$AE$252,Poeng!AE$1,FALSE)</f>
        <v>-</v>
      </c>
      <c r="I181" s="109" t="str">
        <f>VLOOKUP(D181,Poeng!$B$10:$BE$252,Poeng!BE$1,FALSE)</f>
        <v>N/A</v>
      </c>
      <c r="J181" s="74"/>
      <c r="K181" s="241"/>
      <c r="L181" s="608"/>
      <c r="M181" s="623"/>
      <c r="N181" s="77"/>
      <c r="O181" s="108" t="str">
        <f>VLOOKUP(D181,Poeng!$B$10:$BC$252,Poeng!AF$1,FALSE)</f>
        <v>-</v>
      </c>
      <c r="P181" s="108" t="str">
        <f>VLOOKUP(D181,Poeng!$B$10:$BH$252,Poeng!BH$1,FALSE)</f>
        <v>N/A</v>
      </c>
      <c r="Q181" s="558"/>
      <c r="R181" s="559"/>
      <c r="S181" s="552"/>
      <c r="T181" s="276"/>
      <c r="U181" s="77"/>
      <c r="V181" s="108" t="str">
        <f>VLOOKUP(D181,Poeng!$B$10:$BC$252,Poeng!AG$1,FALSE)</f>
        <v>-</v>
      </c>
      <c r="W181" s="108" t="str">
        <f>VLOOKUP(D181,Poeng!$B$10:$BK$252,Poeng!BK$1,FALSE)</f>
        <v>N/A</v>
      </c>
      <c r="X181" s="75"/>
      <c r="Y181" s="74"/>
      <c r="Z181" s="552"/>
      <c r="AA181" s="117"/>
      <c r="AB181" s="481"/>
      <c r="AC181" s="20">
        <f t="shared" si="20"/>
        <v>1</v>
      </c>
      <c r="AD181" s="1" t="e">
        <f>VLOOKUP(K181,'Assessment Details'!$O$49:$P$52,2,FALSE)</f>
        <v>#N/A</v>
      </c>
      <c r="AE181" s="1" t="e">
        <f>VLOOKUP(R181,'Assessment Details'!$O$49:$P$52,2,FALSE)</f>
        <v>#N/A</v>
      </c>
      <c r="AF181" s="1" t="e">
        <f>VLOOKUP(Y181,'Assessment Details'!$O$49:$P$52,2,FALSE)</f>
        <v>#N/A</v>
      </c>
      <c r="AI181" s="64"/>
      <c r="AJ181" s="508"/>
      <c r="AK181" s="64"/>
      <c r="AL181" s="64"/>
      <c r="AM181" s="64"/>
      <c r="AN181" s="64"/>
      <c r="AO181" s="64"/>
      <c r="AP181" s="64"/>
      <c r="AS181" s="20"/>
      <c r="AT181" s="20"/>
      <c r="AU181" s="20"/>
      <c r="AV181" s="20"/>
      <c r="AW181" s="20"/>
      <c r="AX181" s="20"/>
      <c r="AZ181" s="481"/>
    </row>
    <row r="182" spans="1:52" x14ac:dyDescent="0.25">
      <c r="A182" s="1410">
        <v>173</v>
      </c>
      <c r="B182" s="1412" t="s">
        <v>65</v>
      </c>
      <c r="C182" s="109" t="str">
        <f t="shared" si="18"/>
        <v>LE 05</v>
      </c>
      <c r="D182" s="628" t="s">
        <v>788</v>
      </c>
      <c r="E182" s="663" t="str">
        <f>VLOOKUP(D182,Poeng!$B$10:$R$252,Poeng!E$1,FALSE)</f>
        <v>Management and maintenance throughout the project</v>
      </c>
      <c r="F182" s="107">
        <f>VLOOKUP(D182,Poeng!$B$10:$AB$252,Poeng!AB$1,FALSE)</f>
        <v>1</v>
      </c>
      <c r="G182" s="1166">
        <f>'Assessment Issue Scoring'!G1101</f>
        <v>0</v>
      </c>
      <c r="H182" s="108">
        <f>VLOOKUP(D182,Poeng!$B$10:$AE$252,Poeng!AE$1,FALSE)</f>
        <v>0</v>
      </c>
      <c r="I182" s="109" t="str">
        <f>VLOOKUP(D182,Poeng!$B$10:$BE$252,Poeng!BE$1,FALSE)</f>
        <v>N/A</v>
      </c>
      <c r="J182" s="74"/>
      <c r="K182" s="241"/>
      <c r="L182" s="608"/>
      <c r="M182" s="623"/>
      <c r="N182" s="77"/>
      <c r="O182" s="108">
        <f>VLOOKUP(D182,Poeng!$B$10:$BC$252,Poeng!AF$1,FALSE)</f>
        <v>0</v>
      </c>
      <c r="P182" s="108" t="str">
        <f>VLOOKUP(D182,Poeng!$B$10:$BH$252,Poeng!BH$1,FALSE)</f>
        <v>N/A</v>
      </c>
      <c r="Q182" s="558"/>
      <c r="R182" s="559"/>
      <c r="S182" s="552"/>
      <c r="T182" s="276"/>
      <c r="U182" s="77"/>
      <c r="V182" s="108">
        <f>VLOOKUP(D182,Poeng!$B$10:$BC$252,Poeng!AG$1,FALSE)</f>
        <v>0</v>
      </c>
      <c r="W182" s="108" t="str">
        <f>VLOOKUP(D182,Poeng!$B$10:$BK$252,Poeng!BK$1,FALSE)</f>
        <v>N/A</v>
      </c>
      <c r="X182" s="75"/>
      <c r="Y182" s="74"/>
      <c r="Z182" s="552"/>
      <c r="AA182" s="117"/>
      <c r="AB182" s="481"/>
      <c r="AC182" s="20">
        <f t="shared" si="20"/>
        <v>1</v>
      </c>
      <c r="AD182" s="1" t="e">
        <f>VLOOKUP(K182,'Assessment Details'!$O$49:$P$52,2,FALSE)</f>
        <v>#N/A</v>
      </c>
      <c r="AE182" s="1" t="e">
        <f>VLOOKUP(R182,'Assessment Details'!$O$49:$P$52,2,FALSE)</f>
        <v>#N/A</v>
      </c>
      <c r="AF182" s="1" t="e">
        <f>VLOOKUP(Y182,'Assessment Details'!$O$49:$P$52,2,FALSE)</f>
        <v>#N/A</v>
      </c>
      <c r="AI182" s="64"/>
      <c r="AJ182" s="508"/>
      <c r="AK182" s="64"/>
      <c r="AL182" s="64"/>
      <c r="AM182" s="64"/>
      <c r="AN182" s="64"/>
      <c r="AO182" s="64"/>
      <c r="AP182" s="64"/>
      <c r="AS182" s="20"/>
      <c r="AT182" s="20"/>
      <c r="AU182" s="20"/>
      <c r="AV182" s="20"/>
      <c r="AW182" s="20"/>
      <c r="AX182" s="20"/>
      <c r="AZ182" s="481"/>
    </row>
    <row r="183" spans="1:52" x14ac:dyDescent="0.25">
      <c r="A183" s="1410">
        <v>174</v>
      </c>
      <c r="B183" s="1412" t="s">
        <v>65</v>
      </c>
      <c r="C183" s="109" t="str">
        <f t="shared" si="18"/>
        <v>LE 05</v>
      </c>
      <c r="D183" s="628" t="s">
        <v>789</v>
      </c>
      <c r="E183" s="663" t="str">
        <f>VLOOKUP(D183,Poeng!$B$10:$R$252,Poeng!E$1,FALSE)</f>
        <v>Landscape and ecology management plan</v>
      </c>
      <c r="F183" s="107">
        <f>VLOOKUP(D183,Poeng!$B$10:$AB$252,Poeng!AB$1,FALSE)</f>
        <v>1</v>
      </c>
      <c r="G183" s="1166">
        <f>'Assessment Issue Scoring'!G1105</f>
        <v>0</v>
      </c>
      <c r="H183" s="108">
        <f>VLOOKUP(D183,Poeng!$B$10:$AE$252,Poeng!AE$1,FALSE)</f>
        <v>0</v>
      </c>
      <c r="I183" s="109" t="str">
        <f>VLOOKUP(D183,Poeng!$B$10:$BE$252,Poeng!BE$1,FALSE)</f>
        <v>N/A</v>
      </c>
      <c r="J183" s="74"/>
      <c r="K183" s="241"/>
      <c r="L183" s="608"/>
      <c r="M183" s="623"/>
      <c r="N183" s="77"/>
      <c r="O183" s="108">
        <f>VLOOKUP(D183,Poeng!$B$10:$BC$252,Poeng!AF$1,FALSE)</f>
        <v>0</v>
      </c>
      <c r="P183" s="108" t="str">
        <f>VLOOKUP(D183,Poeng!$B$10:$BH$252,Poeng!BH$1,FALSE)</f>
        <v>N/A</v>
      </c>
      <c r="Q183" s="558"/>
      <c r="R183" s="559"/>
      <c r="S183" s="552"/>
      <c r="T183" s="276"/>
      <c r="U183" s="77"/>
      <c r="V183" s="108">
        <f>VLOOKUP(D183,Poeng!$B$10:$BC$252,Poeng!AG$1,FALSE)</f>
        <v>0</v>
      </c>
      <c r="W183" s="108" t="str">
        <f>VLOOKUP(D183,Poeng!$B$10:$BK$252,Poeng!BK$1,FALSE)</f>
        <v>N/A</v>
      </c>
      <c r="X183" s="75"/>
      <c r="Y183" s="74"/>
      <c r="Z183" s="552"/>
      <c r="AA183" s="117"/>
      <c r="AB183" s="481"/>
      <c r="AC183" s="20">
        <f t="shared" si="20"/>
        <v>1</v>
      </c>
      <c r="AD183" s="1" t="e">
        <f>VLOOKUP(K183,'Assessment Details'!$O$49:$P$52,2,FALSE)</f>
        <v>#N/A</v>
      </c>
      <c r="AE183" s="1" t="e">
        <f>VLOOKUP(R183,'Assessment Details'!$O$49:$P$52,2,FALSE)</f>
        <v>#N/A</v>
      </c>
      <c r="AF183" s="1" t="e">
        <f>VLOOKUP(Y183,'Assessment Details'!$O$49:$P$52,2,FALSE)</f>
        <v>#N/A</v>
      </c>
      <c r="AI183" s="64"/>
      <c r="AJ183" s="508"/>
      <c r="AK183" s="64"/>
      <c r="AL183" s="64"/>
      <c r="AM183" s="64"/>
      <c r="AN183" s="64"/>
      <c r="AO183" s="64"/>
      <c r="AP183" s="64"/>
      <c r="AS183" s="20"/>
      <c r="AT183" s="20"/>
      <c r="AU183" s="20"/>
      <c r="AV183" s="20"/>
      <c r="AW183" s="20"/>
      <c r="AX183" s="20"/>
      <c r="AZ183" s="481"/>
    </row>
    <row r="184" spans="1:52" x14ac:dyDescent="0.25">
      <c r="A184" s="1410">
        <v>175</v>
      </c>
      <c r="B184" s="1412" t="s">
        <v>65</v>
      </c>
      <c r="C184" s="690" t="s">
        <v>178</v>
      </c>
      <c r="D184" s="628" t="s">
        <v>178</v>
      </c>
      <c r="E184" s="662" t="str">
        <f>VLOOKUP(D184,Poeng!$B$10:$R$252,Poeng!E$1,FALSE)</f>
        <v>LE 06 Climate adaption</v>
      </c>
      <c r="F184" s="667">
        <f>VLOOKUP(D184,Poeng!$B$10:$AB$252,Poeng!AB$1,FALSE)</f>
        <v>1</v>
      </c>
      <c r="G184" s="742"/>
      <c r="H184" s="668" t="str">
        <f>VLOOKUP(D184,Poeng!$B$10:$AI$252,Poeng!AI$1,FALSE)&amp;" c. "&amp;ROUND(VLOOKUP(D184,Poeng!$B$10:$AE$252,Poeng!AE$1,FALSE)*100,1)&amp;" %"</f>
        <v>0 c. 0 %</v>
      </c>
      <c r="I184" s="690" t="str">
        <f>VLOOKUP(D184,Poeng!$B$10:$BE$252,Poeng!BE$1,FALSE)</f>
        <v>N/A</v>
      </c>
      <c r="J184" s="74"/>
      <c r="K184" s="241"/>
      <c r="L184" s="608"/>
      <c r="M184" s="623"/>
      <c r="N184" s="742"/>
      <c r="O184" s="679" t="str">
        <f>VLOOKUP(D184,Poeng!$B$10:$BC$252,Poeng!AJ$1,FALSE)&amp;" c. "&amp;ROUND(VLOOKUP(D184,Poeng!$B$10:$BC$252,Poeng!AF$1,FALSE)*100,1)&amp;" %"</f>
        <v>0 c. 0 %</v>
      </c>
      <c r="P184" s="108" t="str">
        <f>VLOOKUP(D184,Poeng!$B$10:$BH$252,Poeng!BH$1,FALSE)</f>
        <v>N/A</v>
      </c>
      <c r="Q184" s="558"/>
      <c r="R184" s="559"/>
      <c r="S184" s="552"/>
      <c r="T184" s="276"/>
      <c r="U184" s="742"/>
      <c r="V184" s="679" t="str">
        <f>VLOOKUP(D184,Poeng!$B$10:$BC$252,Poeng!AK$1,FALSE)&amp;" c. "&amp;ROUND(VLOOKUP(D184,Poeng!$B$10:$BC$252,Poeng!AG$1,FALSE)*100,1)&amp;" %"</f>
        <v>0 c. 0 %</v>
      </c>
      <c r="W184" s="108" t="str">
        <f>VLOOKUP(D184,Poeng!$B$10:$BK$252,Poeng!BK$1,FALSE)</f>
        <v>N/A</v>
      </c>
      <c r="X184" s="75"/>
      <c r="Y184" s="74"/>
      <c r="Z184" s="552"/>
      <c r="AA184" s="117"/>
      <c r="AB184" s="481" t="s">
        <v>14</v>
      </c>
      <c r="AC184" s="20">
        <f t="shared" si="20"/>
        <v>1</v>
      </c>
      <c r="AD184" s="1" t="e">
        <f>VLOOKUP(K184,'Assessment Details'!$O$49:$P$52,2,FALSE)</f>
        <v>#N/A</v>
      </c>
      <c r="AE184" s="1" t="e">
        <f>VLOOKUP(R184,'Assessment Details'!$O$49:$P$52,2,FALSE)</f>
        <v>#N/A</v>
      </c>
      <c r="AF184" s="1" t="e">
        <f>VLOOKUP(Y184,'Assessment Details'!$O$49:$P$52,2,FALSE)</f>
        <v>#N/A</v>
      </c>
      <c r="AI184" s="64"/>
      <c r="AJ184" s="508" t="s">
        <v>161</v>
      </c>
      <c r="AK184" s="64"/>
      <c r="AL184" s="64"/>
      <c r="AM184" s="64"/>
      <c r="AN184" s="64"/>
      <c r="AO184" s="64"/>
      <c r="AP184" s="64"/>
      <c r="AS184" s="20" t="str">
        <f t="shared" si="23"/>
        <v>N/A</v>
      </c>
      <c r="AT184" s="20" t="str">
        <f t="shared" si="24"/>
        <v>N/A</v>
      </c>
      <c r="AU184" s="20" t="str">
        <f t="shared" si="25"/>
        <v>N/A</v>
      </c>
      <c r="AV184" s="20"/>
      <c r="AW184" s="20"/>
      <c r="AX184" s="20"/>
      <c r="AZ184" s="481"/>
    </row>
    <row r="185" spans="1:52" x14ac:dyDescent="0.25">
      <c r="A185" s="1410">
        <v>176</v>
      </c>
      <c r="B185" s="1412" t="s">
        <v>65</v>
      </c>
      <c r="C185" s="109" t="str">
        <f t="shared" si="18"/>
        <v>LE 06</v>
      </c>
      <c r="D185" s="628" t="s">
        <v>790</v>
      </c>
      <c r="E185" s="663" t="str">
        <f>VLOOKUP(D185,Poeng!$B$10:$R$252,Poeng!E$1,FALSE)</f>
        <v>Risk assessment (EU taxonomy requirement: criterion 1-6)</v>
      </c>
      <c r="F185" s="107">
        <f>VLOOKUP(D185,Poeng!$B$10:$AB$252,Poeng!AB$1,FALSE)</f>
        <v>1</v>
      </c>
      <c r="G185" s="1166">
        <f>'Assessment Issue Scoring'!G1126</f>
        <v>0</v>
      </c>
      <c r="H185" s="108">
        <f>VLOOKUP(D185,Poeng!$B$10:$AE$252,Poeng!AE$1,FALSE)</f>
        <v>0</v>
      </c>
      <c r="I185" s="109" t="str">
        <f>VLOOKUP(D185,Poeng!$B$10:$BE$252,Poeng!BE$1,FALSE)</f>
        <v>Very Good</v>
      </c>
      <c r="J185" s="74"/>
      <c r="K185" s="241"/>
      <c r="L185" s="608"/>
      <c r="M185" s="623"/>
      <c r="N185" s="77"/>
      <c r="O185" s="108">
        <f>VLOOKUP(D185,Poeng!$B$10:$BC$252,Poeng!AF$1,FALSE)</f>
        <v>0</v>
      </c>
      <c r="P185" s="108" t="str">
        <f>VLOOKUP(D185,Poeng!$B$10:$BH$252,Poeng!BH$1,FALSE)</f>
        <v>Very Good</v>
      </c>
      <c r="Q185" s="558"/>
      <c r="R185" s="559"/>
      <c r="S185" s="552"/>
      <c r="T185" s="276"/>
      <c r="U185" s="77"/>
      <c r="V185" s="108">
        <f>VLOOKUP(D185,Poeng!$B$10:$BC$252,Poeng!AG$1,FALSE)</f>
        <v>0</v>
      </c>
      <c r="W185" s="108" t="str">
        <f>VLOOKUP(D185,Poeng!$B$10:$BK$252,Poeng!BK$1,FALSE)</f>
        <v>Very Good</v>
      </c>
      <c r="X185" s="75"/>
      <c r="Y185" s="74"/>
      <c r="Z185" s="552"/>
      <c r="AA185" s="117"/>
      <c r="AB185" s="534"/>
      <c r="AC185" s="20">
        <f t="shared" si="20"/>
        <v>1</v>
      </c>
      <c r="AD185" s="1" t="e">
        <f>VLOOKUP(K185,'Assessment Details'!$O$49:$P$52,2,FALSE)</f>
        <v>#N/A</v>
      </c>
      <c r="AE185" s="1" t="e">
        <f>VLOOKUP(R185,'Assessment Details'!$O$49:$P$52,2,FALSE)</f>
        <v>#N/A</v>
      </c>
      <c r="AF185" s="1" t="e">
        <f>VLOOKUP(Y185,'Assessment Details'!$O$49:$P$52,2,FALSE)</f>
        <v>#N/A</v>
      </c>
      <c r="AI185" s="64"/>
      <c r="AJ185" s="508"/>
      <c r="AK185" s="64"/>
      <c r="AL185" s="64"/>
      <c r="AM185" s="64"/>
      <c r="AN185" s="64"/>
      <c r="AO185" s="64"/>
      <c r="AP185" s="64"/>
      <c r="AS185" s="20"/>
      <c r="AT185" s="20"/>
      <c r="AU185" s="20"/>
      <c r="AV185" s="20"/>
      <c r="AW185" s="20"/>
      <c r="AX185" s="20"/>
      <c r="AZ185" s="534"/>
    </row>
    <row r="186" spans="1:52" x14ac:dyDescent="0.25">
      <c r="A186" s="1410">
        <v>177</v>
      </c>
      <c r="B186" s="1412" t="s">
        <v>65</v>
      </c>
      <c r="C186" s="690" t="s">
        <v>460</v>
      </c>
      <c r="D186" s="628" t="s">
        <v>460</v>
      </c>
      <c r="E186" s="662" t="str">
        <f>VLOOKUP(D186,Poeng!$B$10:$R$252,Poeng!E$1,FALSE)</f>
        <v>LE 07 Flooding and storm surge</v>
      </c>
      <c r="F186" s="667">
        <f>VLOOKUP(D186,Poeng!$B$10:$AB$252,Poeng!AB$1,FALSE)</f>
        <v>2</v>
      </c>
      <c r="G186" s="742"/>
      <c r="H186" s="668" t="str">
        <f>VLOOKUP(D186,Poeng!$B$10:$AI$252,Poeng!AI$1,FALSE)&amp;" c. "&amp;ROUND(VLOOKUP(D186,Poeng!$B$10:$AE$252,Poeng!AE$1,FALSE)*100,1)&amp;" %"</f>
        <v>0 c. 0 %</v>
      </c>
      <c r="I186" s="690" t="str">
        <f>VLOOKUP(D186,Poeng!$B$10:$BE$252,Poeng!BE$1,FALSE)</f>
        <v>N/A</v>
      </c>
      <c r="J186" s="74"/>
      <c r="K186" s="241"/>
      <c r="L186" s="608"/>
      <c r="M186" s="623"/>
      <c r="N186" s="742"/>
      <c r="O186" s="679" t="str">
        <f>VLOOKUP(D186,Poeng!$B$10:$BC$252,Poeng!AJ$1,FALSE)&amp;" c. "&amp;ROUND(VLOOKUP(D186,Poeng!$B$10:$BC$252,Poeng!AF$1,FALSE)*100,1)&amp;" %"</f>
        <v>0 c. 0 %</v>
      </c>
      <c r="P186" s="108" t="str">
        <f>VLOOKUP(D186,Poeng!$B$10:$BH$252,Poeng!BH$1,FALSE)</f>
        <v>N/A</v>
      </c>
      <c r="Q186" s="558"/>
      <c r="R186" s="559"/>
      <c r="S186" s="552"/>
      <c r="T186" s="276"/>
      <c r="U186" s="742"/>
      <c r="V186" s="679" t="str">
        <f>VLOOKUP(D186,Poeng!$B$10:$BC$252,Poeng!AK$1,FALSE)&amp;" c. "&amp;ROUND(VLOOKUP(D186,Poeng!$B$10:$BC$252,Poeng!AG$1,FALSE)*100,1)&amp;" %"</f>
        <v>0 c. 0 %</v>
      </c>
      <c r="W186" s="108" t="str">
        <f>VLOOKUP(D186,Poeng!$B$10:$BK$252,Poeng!BK$1,FALSE)</f>
        <v>N/A</v>
      </c>
      <c r="X186" s="75"/>
      <c r="Y186" s="74"/>
      <c r="Z186" s="552"/>
      <c r="AA186" s="117"/>
      <c r="AB186" s="534"/>
      <c r="AC186" s="20">
        <f t="shared" si="20"/>
        <v>1</v>
      </c>
      <c r="AD186" s="1" t="e">
        <f>VLOOKUP(K186,'Assessment Details'!$O$49:$P$52,2,FALSE)</f>
        <v>#N/A</v>
      </c>
      <c r="AE186" s="1" t="e">
        <f>VLOOKUP(R186,'Assessment Details'!$O$49:$P$52,2,FALSE)</f>
        <v>#N/A</v>
      </c>
      <c r="AF186" s="1" t="e">
        <f>VLOOKUP(Y186,'Assessment Details'!$O$49:$P$52,2,FALSE)</f>
        <v>#N/A</v>
      </c>
      <c r="AI186" s="64"/>
      <c r="AJ186" s="508"/>
      <c r="AK186" s="64"/>
      <c r="AL186" s="64"/>
      <c r="AM186" s="64"/>
      <c r="AN186" s="64"/>
      <c r="AO186" s="64"/>
      <c r="AP186" s="64"/>
      <c r="AS186" s="20"/>
      <c r="AT186" s="20"/>
      <c r="AU186" s="20"/>
      <c r="AV186" s="20"/>
      <c r="AW186" s="20"/>
      <c r="AX186" s="20"/>
      <c r="AZ186" s="534"/>
    </row>
    <row r="187" spans="1:52" x14ac:dyDescent="0.25">
      <c r="A187" s="1410">
        <v>178</v>
      </c>
      <c r="B187" s="1412" t="s">
        <v>65</v>
      </c>
      <c r="C187" s="109" t="str">
        <f t="shared" si="18"/>
        <v>LE 07</v>
      </c>
      <c r="D187" s="628" t="s">
        <v>791</v>
      </c>
      <c r="E187" s="663" t="str">
        <f>VLOOKUP(D187,Poeng!$B$10:$R$252,Poeng!E$1,FALSE)</f>
        <v>Pre-requisite: flood risk assessment</v>
      </c>
      <c r="F187" s="107" t="str">
        <f>VLOOKUP(D187,Poeng!$B$10:$AB$252,Poeng!AB$1,FALSE)</f>
        <v>Yes/No</v>
      </c>
      <c r="G187" s="1261" t="str">
        <f>'Assessment Issue Scoring'!E1150</f>
        <v>Please select</v>
      </c>
      <c r="H187" s="108" t="str">
        <f>VLOOKUP(D187,Poeng!$B$10:$AE$252,Poeng!AE$1,FALSE)</f>
        <v>-</v>
      </c>
      <c r="I187" s="109" t="str">
        <f>VLOOKUP(D187,Poeng!$B$10:$BE$252,Poeng!BE$1,FALSE)</f>
        <v>N/A</v>
      </c>
      <c r="J187" s="74"/>
      <c r="K187" s="241"/>
      <c r="L187" s="608"/>
      <c r="M187" s="623"/>
      <c r="N187" s="77"/>
      <c r="O187" s="108" t="str">
        <f>VLOOKUP(D187,Poeng!$B$10:$BC$252,Poeng!AF$1,FALSE)</f>
        <v>-</v>
      </c>
      <c r="P187" s="108" t="str">
        <f>VLOOKUP(D187,Poeng!$B$10:$BH$252,Poeng!BH$1,FALSE)</f>
        <v>N/A</v>
      </c>
      <c r="Q187" s="558"/>
      <c r="R187" s="559"/>
      <c r="S187" s="552"/>
      <c r="T187" s="276"/>
      <c r="U187" s="77"/>
      <c r="V187" s="108" t="str">
        <f>VLOOKUP(D187,Poeng!$B$10:$BC$252,Poeng!AG$1,FALSE)</f>
        <v>-</v>
      </c>
      <c r="W187" s="108" t="str">
        <f>VLOOKUP(D187,Poeng!$B$10:$BK$252,Poeng!BK$1,FALSE)</f>
        <v>N/A</v>
      </c>
      <c r="X187" s="75"/>
      <c r="Y187" s="74"/>
      <c r="Z187" s="552"/>
      <c r="AA187" s="117"/>
      <c r="AB187" s="534"/>
      <c r="AC187" s="20">
        <f t="shared" si="20"/>
        <v>1</v>
      </c>
      <c r="AD187" s="1" t="e">
        <f>VLOOKUP(K187,'Assessment Details'!$O$49:$P$52,2,FALSE)</f>
        <v>#N/A</v>
      </c>
      <c r="AE187" s="1" t="e">
        <f>VLOOKUP(R187,'Assessment Details'!$O$49:$P$52,2,FALSE)</f>
        <v>#N/A</v>
      </c>
      <c r="AF187" s="1" t="e">
        <f>VLOOKUP(Y187,'Assessment Details'!$O$49:$P$52,2,FALSE)</f>
        <v>#N/A</v>
      </c>
      <c r="AI187" s="64"/>
      <c r="AJ187" s="508"/>
      <c r="AK187" s="64"/>
      <c r="AL187" s="64"/>
      <c r="AM187" s="64"/>
      <c r="AN187" s="64"/>
      <c r="AO187" s="64"/>
      <c r="AP187" s="64"/>
      <c r="AS187" s="20"/>
      <c r="AT187" s="20"/>
      <c r="AU187" s="20"/>
      <c r="AV187" s="20"/>
      <c r="AW187" s="20"/>
      <c r="AX187" s="20"/>
      <c r="AZ187" s="534"/>
    </row>
    <row r="188" spans="1:52" x14ac:dyDescent="0.25">
      <c r="A188" s="1410">
        <v>179</v>
      </c>
      <c r="B188" s="1412" t="s">
        <v>65</v>
      </c>
      <c r="C188" s="109" t="str">
        <f t="shared" si="18"/>
        <v>LE 07</v>
      </c>
      <c r="D188" s="628" t="s">
        <v>792</v>
      </c>
      <c r="E188" s="663" t="str">
        <f>VLOOKUP(D188,Poeng!$B$10:$R$252,Poeng!E$1,FALSE)</f>
        <v>Resilience against flood and storm surge</v>
      </c>
      <c r="F188" s="107">
        <f>VLOOKUP(D188,Poeng!$B$10:$AB$252,Poeng!AB$1,FALSE)</f>
        <v>2</v>
      </c>
      <c r="G188" s="1166">
        <f>'Assessment Issue Scoring'!G1153</f>
        <v>0</v>
      </c>
      <c r="H188" s="108">
        <f>VLOOKUP(D188,Poeng!$B$10:$AE$252,Poeng!AE$1,FALSE)</f>
        <v>0</v>
      </c>
      <c r="I188" s="109" t="str">
        <f>VLOOKUP(D188,Poeng!$B$10:$BE$252,Poeng!BE$1,FALSE)</f>
        <v>N/A</v>
      </c>
      <c r="J188" s="74"/>
      <c r="K188" s="241"/>
      <c r="L188" s="608"/>
      <c r="M188" s="623"/>
      <c r="N188" s="77"/>
      <c r="O188" s="108">
        <f>VLOOKUP(D188,Poeng!$B$10:$BC$252,Poeng!AF$1,FALSE)</f>
        <v>0</v>
      </c>
      <c r="P188" s="108" t="str">
        <f>VLOOKUP(D188,Poeng!$B$10:$BH$252,Poeng!BH$1,FALSE)</f>
        <v>N/A</v>
      </c>
      <c r="Q188" s="558"/>
      <c r="R188" s="559"/>
      <c r="S188" s="552"/>
      <c r="T188" s="276"/>
      <c r="U188" s="77"/>
      <c r="V188" s="108">
        <f>VLOOKUP(D188,Poeng!$B$10:$BC$252,Poeng!AG$1,FALSE)</f>
        <v>0</v>
      </c>
      <c r="W188" s="108" t="str">
        <f>VLOOKUP(D188,Poeng!$B$10:$BK$252,Poeng!BK$1,FALSE)</f>
        <v>N/A</v>
      </c>
      <c r="X188" s="75"/>
      <c r="Y188" s="74"/>
      <c r="Z188" s="552"/>
      <c r="AA188" s="117"/>
      <c r="AB188" s="534"/>
      <c r="AC188" s="20">
        <f t="shared" si="20"/>
        <v>1</v>
      </c>
      <c r="AD188" s="1" t="e">
        <f>VLOOKUP(K188,'Assessment Details'!$O$49:$P$52,2,FALSE)</f>
        <v>#N/A</v>
      </c>
      <c r="AE188" s="1" t="e">
        <f>VLOOKUP(R188,'Assessment Details'!$O$49:$P$52,2,FALSE)</f>
        <v>#N/A</v>
      </c>
      <c r="AF188" s="1" t="e">
        <f>VLOOKUP(Y188,'Assessment Details'!$O$49:$P$52,2,FALSE)</f>
        <v>#N/A</v>
      </c>
      <c r="AI188" s="64"/>
      <c r="AJ188" s="508"/>
      <c r="AK188" s="64"/>
      <c r="AL188" s="64"/>
      <c r="AM188" s="64"/>
      <c r="AN188" s="64"/>
      <c r="AO188" s="64"/>
      <c r="AP188" s="64"/>
      <c r="AS188" s="20"/>
      <c r="AT188" s="20"/>
      <c r="AU188" s="20"/>
      <c r="AV188" s="20"/>
      <c r="AW188" s="20"/>
      <c r="AX188" s="20"/>
      <c r="AZ188" s="534"/>
    </row>
    <row r="189" spans="1:52" x14ac:dyDescent="0.25">
      <c r="A189" s="1410">
        <v>180</v>
      </c>
      <c r="B189" s="1412" t="s">
        <v>65</v>
      </c>
      <c r="C189" s="690" t="s">
        <v>461</v>
      </c>
      <c r="D189" s="628" t="s">
        <v>461</v>
      </c>
      <c r="E189" s="662" t="str">
        <f>VLOOKUP(D189,Poeng!$B$10:$R$252,Poeng!E$1,FALSE)</f>
        <v>LE 08 Local surface water handling</v>
      </c>
      <c r="F189" s="667">
        <f>VLOOKUP(D189,Poeng!$B$10:$AB$252,Poeng!AB$1,FALSE)</f>
        <v>3</v>
      </c>
      <c r="G189" s="742"/>
      <c r="H189" s="668" t="str">
        <f>VLOOKUP(D189,Poeng!$B$10:$AI$252,Poeng!AI$1,FALSE)&amp;" c. "&amp;ROUND(VLOOKUP(D189,Poeng!$B$10:$AE$252,Poeng!AE$1,FALSE)*100,1)&amp;" %"</f>
        <v>0 c. 0 %</v>
      </c>
      <c r="I189" s="690" t="str">
        <f>VLOOKUP(D189,Poeng!$B$10:$BE$252,Poeng!BE$1,FALSE)</f>
        <v>N/A</v>
      </c>
      <c r="J189" s="74"/>
      <c r="K189" s="241"/>
      <c r="L189" s="608"/>
      <c r="M189" s="623"/>
      <c r="N189" s="742"/>
      <c r="O189" s="679" t="str">
        <f>VLOOKUP(D189,Poeng!$B$10:$BC$252,Poeng!AJ$1,FALSE)&amp;" c. "&amp;ROUND(VLOOKUP(D189,Poeng!$B$10:$BC$252,Poeng!AF$1,FALSE)*100,1)&amp;" %"</f>
        <v>0 c. 0 %</v>
      </c>
      <c r="P189" s="108" t="str">
        <f>VLOOKUP(D189,Poeng!$B$10:$BH$252,Poeng!BH$1,FALSE)</f>
        <v>N/A</v>
      </c>
      <c r="Q189" s="558"/>
      <c r="R189" s="559"/>
      <c r="S189" s="552"/>
      <c r="T189" s="276"/>
      <c r="U189" s="742"/>
      <c r="V189" s="679" t="str">
        <f>VLOOKUP(D189,Poeng!$B$10:$BC$252,Poeng!AK$1,FALSE)&amp;" c. "&amp;ROUND(VLOOKUP(D189,Poeng!$B$10:$BC$252,Poeng!AG$1,FALSE)*100,1)&amp;" %"</f>
        <v>0 c. 0 %</v>
      </c>
      <c r="W189" s="108" t="str">
        <f>VLOOKUP(D189,Poeng!$B$10:$BK$252,Poeng!BK$1,FALSE)</f>
        <v>N/A</v>
      </c>
      <c r="X189" s="75"/>
      <c r="Y189" s="74"/>
      <c r="Z189" s="552"/>
      <c r="AA189" s="117"/>
      <c r="AB189" s="534"/>
      <c r="AC189" s="20">
        <f t="shared" si="20"/>
        <v>1</v>
      </c>
      <c r="AD189" s="1" t="e">
        <f>VLOOKUP(K189,'Assessment Details'!$O$49:$P$52,2,FALSE)</f>
        <v>#N/A</v>
      </c>
      <c r="AE189" s="1" t="e">
        <f>VLOOKUP(R189,'Assessment Details'!$O$49:$P$52,2,FALSE)</f>
        <v>#N/A</v>
      </c>
      <c r="AF189" s="1" t="e">
        <f>VLOOKUP(Y189,'Assessment Details'!$O$49:$P$52,2,FALSE)</f>
        <v>#N/A</v>
      </c>
      <c r="AI189" s="64"/>
      <c r="AJ189" s="508"/>
      <c r="AK189" s="64"/>
      <c r="AL189" s="64"/>
      <c r="AM189" s="64"/>
      <c r="AN189" s="64"/>
      <c r="AO189" s="64"/>
      <c r="AP189" s="64"/>
      <c r="AS189" s="20"/>
      <c r="AT189" s="20"/>
      <c r="AU189" s="20"/>
      <c r="AV189" s="20"/>
      <c r="AW189" s="20"/>
      <c r="AX189" s="20"/>
      <c r="AZ189" s="534"/>
    </row>
    <row r="190" spans="1:52" x14ac:dyDescent="0.25">
      <c r="A190" s="1410">
        <v>181</v>
      </c>
      <c r="B190" s="1412" t="s">
        <v>65</v>
      </c>
      <c r="C190" s="109" t="str">
        <f t="shared" si="18"/>
        <v>LE 08</v>
      </c>
      <c r="D190" s="628" t="s">
        <v>793</v>
      </c>
      <c r="E190" s="663" t="str">
        <f>VLOOKUP(D190,Poeng!$B$10:$R$252,Poeng!E$1,FALSE)</f>
        <v>Pre-requisite: risk assessment and the "three- step strategy"</v>
      </c>
      <c r="F190" s="107" t="str">
        <f>VLOOKUP(D190,Poeng!$B$10:$AB$252,Poeng!AB$1,FALSE)</f>
        <v>Yes/No</v>
      </c>
      <c r="G190" s="1261" t="str">
        <f>'Assessment Issue Scoring'!K1176</f>
        <v>No</v>
      </c>
      <c r="H190" s="108" t="str">
        <f>VLOOKUP(D190,Poeng!$B$10:$AE$252,Poeng!AE$1,FALSE)</f>
        <v>-</v>
      </c>
      <c r="I190" s="109" t="str">
        <f>VLOOKUP(D190,Poeng!$B$10:$BE$252,Poeng!BE$1,FALSE)</f>
        <v>N/A</v>
      </c>
      <c r="J190" s="74"/>
      <c r="K190" s="241"/>
      <c r="L190" s="608"/>
      <c r="M190" s="623"/>
      <c r="N190" s="77"/>
      <c r="O190" s="108" t="str">
        <f>VLOOKUP(D190,Poeng!$B$10:$BC$252,Poeng!AF$1,FALSE)</f>
        <v>-</v>
      </c>
      <c r="P190" s="108" t="str">
        <f>VLOOKUP(D190,Poeng!$B$10:$BH$252,Poeng!BH$1,FALSE)</f>
        <v>N/A</v>
      </c>
      <c r="Q190" s="558"/>
      <c r="R190" s="559"/>
      <c r="S190" s="552"/>
      <c r="T190" s="276"/>
      <c r="U190" s="77"/>
      <c r="V190" s="108" t="str">
        <f>VLOOKUP(D190,Poeng!$B$10:$BC$252,Poeng!AG$1,FALSE)</f>
        <v>-</v>
      </c>
      <c r="W190" s="108" t="str">
        <f>VLOOKUP(D190,Poeng!$B$10:$BK$252,Poeng!BK$1,FALSE)</f>
        <v>N/A</v>
      </c>
      <c r="X190" s="75"/>
      <c r="Y190" s="74"/>
      <c r="Z190" s="552"/>
      <c r="AA190" s="117"/>
      <c r="AB190" s="534"/>
      <c r="AC190" s="20">
        <f t="shared" si="20"/>
        <v>1</v>
      </c>
      <c r="AD190" s="1" t="e">
        <f>VLOOKUP(K190,'Assessment Details'!$O$49:$P$52,2,FALSE)</f>
        <v>#N/A</v>
      </c>
      <c r="AE190" s="1" t="e">
        <f>VLOOKUP(R190,'Assessment Details'!$O$49:$P$52,2,FALSE)</f>
        <v>#N/A</v>
      </c>
      <c r="AF190" s="1" t="e">
        <f>VLOOKUP(Y190,'Assessment Details'!$O$49:$P$52,2,FALSE)</f>
        <v>#N/A</v>
      </c>
      <c r="AI190" s="64"/>
      <c r="AJ190" s="508"/>
      <c r="AK190" s="64"/>
      <c r="AL190" s="64"/>
      <c r="AM190" s="64"/>
      <c r="AN190" s="64"/>
      <c r="AO190" s="64"/>
      <c r="AP190" s="64"/>
      <c r="AS190" s="20"/>
      <c r="AT190" s="20"/>
      <c r="AU190" s="20"/>
      <c r="AV190" s="20"/>
      <c r="AW190" s="20"/>
      <c r="AX190" s="20"/>
      <c r="AZ190" s="534"/>
    </row>
    <row r="191" spans="1:52" x14ac:dyDescent="0.25">
      <c r="A191" s="1410">
        <v>182</v>
      </c>
      <c r="B191" s="1412" t="s">
        <v>65</v>
      </c>
      <c r="C191" s="109" t="str">
        <f>C190</f>
        <v>LE 08</v>
      </c>
      <c r="D191" s="628" t="s">
        <v>794</v>
      </c>
      <c r="E191" s="663" t="str">
        <f>VLOOKUP(D191,Poeng!$B$10:$R$252,Poeng!E$1,FALSE)</f>
        <v>5 mm precipitation</v>
      </c>
      <c r="F191" s="107">
        <f>VLOOKUP(D191,Poeng!$B$10:$AB$252,Poeng!AB$1,FALSE)</f>
        <v>1</v>
      </c>
      <c r="G191" s="1166">
        <f>'Assessment Issue Scoring'!G1179</f>
        <v>0</v>
      </c>
      <c r="H191" s="108">
        <f>VLOOKUP(D191,Poeng!$B$10:$AE$252,Poeng!AE$1,FALSE)</f>
        <v>0</v>
      </c>
      <c r="I191" s="109" t="str">
        <f>VLOOKUP(D191,Poeng!$B$10:$BE$252,Poeng!BE$1,FALSE)</f>
        <v>N/A</v>
      </c>
      <c r="J191" s="74"/>
      <c r="K191" s="241"/>
      <c r="L191" s="608"/>
      <c r="M191" s="623"/>
      <c r="N191" s="77"/>
      <c r="O191" s="108">
        <f>VLOOKUP(D191,Poeng!$B$10:$BC$252,Poeng!AF$1,FALSE)</f>
        <v>0</v>
      </c>
      <c r="P191" s="108" t="str">
        <f>VLOOKUP(D191,Poeng!$B$10:$BH$252,Poeng!BH$1,FALSE)</f>
        <v>N/A</v>
      </c>
      <c r="Q191" s="558"/>
      <c r="R191" s="559"/>
      <c r="S191" s="552"/>
      <c r="T191" s="276"/>
      <c r="U191" s="77"/>
      <c r="V191" s="108">
        <f>VLOOKUP(D191,Poeng!$B$10:$BC$252,Poeng!AG$1,FALSE)</f>
        <v>0</v>
      </c>
      <c r="W191" s="108" t="str">
        <f>VLOOKUP(D191,Poeng!$B$10:$BK$252,Poeng!BK$1,FALSE)</f>
        <v>N/A</v>
      </c>
      <c r="X191" s="75"/>
      <c r="Y191" s="74"/>
      <c r="Z191" s="552"/>
      <c r="AA191" s="117"/>
      <c r="AB191" s="534"/>
      <c r="AC191" s="20">
        <f t="shared" si="20"/>
        <v>1</v>
      </c>
      <c r="AD191" s="1" t="e">
        <f>VLOOKUP(K191,'Assessment Details'!$O$49:$P$52,2,FALSE)</f>
        <v>#N/A</v>
      </c>
      <c r="AE191" s="1" t="e">
        <f>VLOOKUP(R191,'Assessment Details'!$O$49:$P$52,2,FALSE)</f>
        <v>#N/A</v>
      </c>
      <c r="AF191" s="1" t="e">
        <f>VLOOKUP(Y191,'Assessment Details'!$O$49:$P$52,2,FALSE)</f>
        <v>#N/A</v>
      </c>
      <c r="AI191" s="64"/>
      <c r="AJ191" s="508"/>
      <c r="AK191" s="64"/>
      <c r="AL191" s="64"/>
      <c r="AM191" s="64"/>
      <c r="AN191" s="64"/>
      <c r="AO191" s="64"/>
      <c r="AP191" s="64"/>
      <c r="AS191" s="20"/>
      <c r="AT191" s="20"/>
      <c r="AU191" s="20"/>
      <c r="AV191" s="20"/>
      <c r="AW191" s="20"/>
      <c r="AX191" s="20"/>
      <c r="AZ191" s="534"/>
    </row>
    <row r="192" spans="1:52" x14ac:dyDescent="0.25">
      <c r="A192" s="1410">
        <v>183</v>
      </c>
      <c r="B192" s="1412" t="s">
        <v>65</v>
      </c>
      <c r="C192" s="109" t="str">
        <f>C190</f>
        <v>LE 08</v>
      </c>
      <c r="D192" s="628" t="s">
        <v>795</v>
      </c>
      <c r="E192" s="663" t="str">
        <f>VLOOKUP(D192,Poeng!$B$10:$R$252,Poeng!E$1,FALSE)</f>
        <v>Maximum run-off</v>
      </c>
      <c r="F192" s="107">
        <f>VLOOKUP(D192,Poeng!$B$10:$AB$252,Poeng!AB$1,FALSE)</f>
        <v>1</v>
      </c>
      <c r="G192" s="1261">
        <f>'Assessment Issue Scoring'!G1180</f>
        <v>0</v>
      </c>
      <c r="H192" s="108">
        <f>VLOOKUP(D192,Poeng!$B$10:$AE$252,Poeng!AE$1,FALSE)</f>
        <v>0</v>
      </c>
      <c r="I192" s="109" t="str">
        <f>VLOOKUP(D192,Poeng!$B$10:$BE$252,Poeng!BE$1,FALSE)</f>
        <v>N/A</v>
      </c>
      <c r="J192" s="74"/>
      <c r="K192" s="241"/>
      <c r="L192" s="608"/>
      <c r="M192" s="623"/>
      <c r="N192" s="77"/>
      <c r="O192" s="108">
        <f>VLOOKUP(D192,Poeng!$B$10:$BC$252,Poeng!AF$1,FALSE)</f>
        <v>0</v>
      </c>
      <c r="P192" s="108" t="str">
        <f>VLOOKUP(D192,Poeng!$B$10:$BH$252,Poeng!BH$1,FALSE)</f>
        <v>N/A</v>
      </c>
      <c r="Q192" s="558"/>
      <c r="R192" s="559"/>
      <c r="S192" s="552"/>
      <c r="T192" s="276"/>
      <c r="U192" s="77"/>
      <c r="V192" s="108">
        <f>VLOOKUP(D192,Poeng!$B$10:$BC$252,Poeng!AG$1,FALSE)</f>
        <v>0</v>
      </c>
      <c r="W192" s="108" t="str">
        <f>VLOOKUP(D192,Poeng!$B$10:$BK$252,Poeng!BK$1,FALSE)</f>
        <v>N/A</v>
      </c>
      <c r="X192" s="75"/>
      <c r="Y192" s="74"/>
      <c r="Z192" s="552"/>
      <c r="AA192" s="117"/>
      <c r="AB192" s="534"/>
      <c r="AC192" s="20">
        <f t="shared" ref="AC192" si="27">IF(F192="",1,IF(F192=0,2,1))</f>
        <v>1</v>
      </c>
      <c r="AD192" s="1" t="e">
        <f>VLOOKUP(K192,'Assessment Details'!$O$49:$P$52,2,FALSE)</f>
        <v>#N/A</v>
      </c>
      <c r="AE192" s="1" t="e">
        <f>VLOOKUP(R192,'Assessment Details'!$O$49:$P$52,2,FALSE)</f>
        <v>#N/A</v>
      </c>
      <c r="AF192" s="1" t="e">
        <f>VLOOKUP(Y192,'Assessment Details'!$O$49:$P$52,2,FALSE)</f>
        <v>#N/A</v>
      </c>
      <c r="AI192" s="64"/>
      <c r="AJ192" s="508"/>
      <c r="AK192" s="64"/>
      <c r="AL192" s="64"/>
      <c r="AM192" s="64"/>
      <c r="AN192" s="64"/>
      <c r="AO192" s="64"/>
      <c r="AP192" s="64"/>
      <c r="AS192" s="20"/>
      <c r="AT192" s="20"/>
      <c r="AU192" s="20"/>
      <c r="AV192" s="20"/>
      <c r="AW192" s="20"/>
      <c r="AX192" s="20"/>
      <c r="AZ192" s="534"/>
    </row>
    <row r="193" spans="1:52" x14ac:dyDescent="0.25">
      <c r="A193" s="1410">
        <v>184</v>
      </c>
      <c r="B193" s="1412" t="s">
        <v>65</v>
      </c>
      <c r="C193" s="109" t="str">
        <f>C191</f>
        <v>LE 08</v>
      </c>
      <c r="D193" s="628" t="s">
        <v>937</v>
      </c>
      <c r="E193" s="663" t="str">
        <f>VLOOKUP(D193,Poeng!$B$10:$R$252,Poeng!E$1,FALSE)</f>
        <v>Measures for surface-based water management</v>
      </c>
      <c r="F193" s="107">
        <f>VLOOKUP(D193,Poeng!$B$10:$AB$252,Poeng!AB$1,FALSE)</f>
        <v>1</v>
      </c>
      <c r="G193" s="1166">
        <f>'Assessment Issue Scoring'!G1181</f>
        <v>0</v>
      </c>
      <c r="H193" s="108">
        <f>VLOOKUP(D193,Poeng!$B$10:$AE$252,Poeng!AE$1,FALSE)</f>
        <v>0</v>
      </c>
      <c r="I193" s="109" t="str">
        <f>VLOOKUP(D193,Poeng!$B$10:$BE$252,Poeng!BE$1,FALSE)</f>
        <v>N/A</v>
      </c>
      <c r="J193" s="74"/>
      <c r="K193" s="241"/>
      <c r="L193" s="608"/>
      <c r="M193" s="623"/>
      <c r="N193" s="77"/>
      <c r="O193" s="108">
        <f>VLOOKUP(D193,Poeng!$B$10:$BC$252,Poeng!AF$1,FALSE)</f>
        <v>0</v>
      </c>
      <c r="P193" s="108" t="str">
        <f>VLOOKUP(D193,Poeng!$B$10:$BH$252,Poeng!BH$1,FALSE)</f>
        <v>N/A</v>
      </c>
      <c r="Q193" s="558"/>
      <c r="R193" s="559"/>
      <c r="S193" s="552"/>
      <c r="T193" s="276"/>
      <c r="U193" s="77"/>
      <c r="V193" s="108">
        <f>VLOOKUP(D193,Poeng!$B$10:$BC$252,Poeng!AG$1,FALSE)</f>
        <v>0</v>
      </c>
      <c r="W193" s="108" t="str">
        <f>VLOOKUP(D193,Poeng!$B$10:$BK$252,Poeng!BK$1,FALSE)</f>
        <v>N/A</v>
      </c>
      <c r="X193" s="75"/>
      <c r="Y193" s="74"/>
      <c r="Z193" s="552"/>
      <c r="AA193" s="117"/>
      <c r="AB193" s="534"/>
      <c r="AC193" s="20">
        <f t="shared" si="20"/>
        <v>1</v>
      </c>
      <c r="AD193" s="1" t="e">
        <f>VLOOKUP(K193,'Assessment Details'!$O$49:$P$52,2,FALSE)</f>
        <v>#N/A</v>
      </c>
      <c r="AE193" s="1" t="e">
        <f>VLOOKUP(R193,'Assessment Details'!$O$49:$P$52,2,FALSE)</f>
        <v>#N/A</v>
      </c>
      <c r="AF193" s="1" t="e">
        <f>VLOOKUP(Y193,'Assessment Details'!$O$49:$P$52,2,FALSE)</f>
        <v>#N/A</v>
      </c>
      <c r="AI193" s="64"/>
      <c r="AJ193" s="508"/>
      <c r="AK193" s="64"/>
      <c r="AL193" s="64"/>
      <c r="AM193" s="64"/>
      <c r="AN193" s="64"/>
      <c r="AO193" s="64"/>
      <c r="AP193" s="64"/>
      <c r="AS193" s="20"/>
      <c r="AT193" s="20"/>
      <c r="AU193" s="20"/>
      <c r="AV193" s="20"/>
      <c r="AW193" s="20"/>
      <c r="AX193" s="20"/>
      <c r="AZ193" s="534"/>
    </row>
    <row r="194" spans="1:52" ht="15.75" thickBot="1" x14ac:dyDescent="0.3">
      <c r="A194" s="1410">
        <v>185</v>
      </c>
      <c r="B194" s="1412" t="s">
        <v>65</v>
      </c>
      <c r="C194" s="811"/>
      <c r="D194" s="628" t="s">
        <v>867</v>
      </c>
      <c r="E194" s="297" t="s">
        <v>104</v>
      </c>
      <c r="F194" s="110">
        <f>LE_Credits</f>
        <v>19</v>
      </c>
      <c r="G194" s="115"/>
      <c r="H194" s="111">
        <f>LE_cont_tot</f>
        <v>0</v>
      </c>
      <c r="I194" s="669" t="str">
        <f>"Credits achieved: "&amp;Lue_tot_user</f>
        <v>Credits achieved: 0</v>
      </c>
      <c r="J194" s="118"/>
      <c r="K194" s="242"/>
      <c r="L194" s="560"/>
      <c r="M194" s="623"/>
      <c r="N194" s="320"/>
      <c r="O194" s="111">
        <f>VLOOKUP(D194,Poeng!$B$10:$BC$252,Poeng!AF$1,FALSE)</f>
        <v>0</v>
      </c>
      <c r="P194" s="669" t="str">
        <f>"Credits achieved: "&amp;Lue_d_user</f>
        <v>Credits achieved: 0</v>
      </c>
      <c r="Q194" s="561"/>
      <c r="R194" s="562"/>
      <c r="S194" s="560"/>
      <c r="T194" s="276"/>
      <c r="U194" s="320"/>
      <c r="V194" s="111">
        <f>VLOOKUP(D194,Poeng!$B$10:$BC$252,Poeng!AG$1,FALSE)</f>
        <v>0</v>
      </c>
      <c r="W194" s="669" t="str">
        <f>"Credits achieved: "&amp;Lue_c_user</f>
        <v>Credits achieved: 0</v>
      </c>
      <c r="X194" s="319"/>
      <c r="Y194" s="120"/>
      <c r="Z194" s="560"/>
      <c r="AA194" s="117"/>
      <c r="AB194" s="482"/>
      <c r="AC194" s="20">
        <f t="shared" si="20"/>
        <v>1</v>
      </c>
      <c r="AD194" s="238">
        <v>0</v>
      </c>
      <c r="AE194" s="238">
        <v>0</v>
      </c>
      <c r="AF194" s="238">
        <v>0</v>
      </c>
      <c r="AI194" s="64"/>
      <c r="AJ194" s="508" t="s">
        <v>104</v>
      </c>
      <c r="AK194" s="64"/>
      <c r="AL194" s="64"/>
      <c r="AM194" s="64"/>
      <c r="AN194" s="64"/>
      <c r="AO194" s="64"/>
      <c r="AP194" s="64"/>
      <c r="AS194" s="20" t="str">
        <f t="shared" si="23"/>
        <v>N/A</v>
      </c>
      <c r="AT194" s="20" t="str">
        <f t="shared" si="24"/>
        <v>N/A</v>
      </c>
      <c r="AU194" s="20" t="str">
        <f t="shared" si="25"/>
        <v>N/A</v>
      </c>
      <c r="AV194" s="20"/>
      <c r="AW194" s="20"/>
      <c r="AX194" s="20"/>
      <c r="AZ194" s="482"/>
    </row>
    <row r="195" spans="1:52" x14ac:dyDescent="0.25">
      <c r="A195" s="1410">
        <v>186</v>
      </c>
      <c r="B195" s="1412" t="s">
        <v>65</v>
      </c>
      <c r="C195" s="279"/>
      <c r="D195" s="628"/>
      <c r="E195" s="278"/>
      <c r="F195" s="279"/>
      <c r="G195" s="280"/>
      <c r="H195" s="279"/>
      <c r="I195" s="279"/>
      <c r="J195" s="281"/>
      <c r="K195" s="280"/>
      <c r="L195" s="563"/>
      <c r="M195" s="623"/>
      <c r="N195" s="282"/>
      <c r="O195" s="282"/>
      <c r="P195" s="563"/>
      <c r="Q195" s="563"/>
      <c r="R195" s="564"/>
      <c r="S195" s="563"/>
      <c r="T195" s="276"/>
      <c r="U195" s="282"/>
      <c r="V195" s="282"/>
      <c r="W195" s="563"/>
      <c r="X195" s="281"/>
      <c r="Y195" s="282"/>
      <c r="Z195" s="563"/>
      <c r="AA195" s="117"/>
      <c r="AB195" s="281"/>
      <c r="AC195" s="20">
        <f t="shared" si="20"/>
        <v>1</v>
      </c>
      <c r="AD195" s="239">
        <v>0</v>
      </c>
      <c r="AE195" s="239">
        <v>0</v>
      </c>
      <c r="AF195" s="239">
        <v>0</v>
      </c>
      <c r="AI195" s="64"/>
      <c r="AJ195" s="508"/>
      <c r="AK195" s="64"/>
      <c r="AL195" s="64"/>
      <c r="AM195" s="64"/>
      <c r="AN195" s="64"/>
      <c r="AO195" s="64"/>
      <c r="AP195" s="64"/>
      <c r="AS195" s="20" t="str">
        <f t="shared" si="23"/>
        <v>N/A</v>
      </c>
      <c r="AT195" s="20" t="str">
        <f t="shared" si="24"/>
        <v>N/A</v>
      </c>
      <c r="AU195" s="20" t="str">
        <f t="shared" si="25"/>
        <v>N/A</v>
      </c>
      <c r="AV195" s="20"/>
      <c r="AW195" s="20"/>
      <c r="AX195" s="20"/>
      <c r="AZ195" s="281"/>
    </row>
    <row r="196" spans="1:52" ht="18.75" x14ac:dyDescent="0.25">
      <c r="A196" s="1410">
        <v>187</v>
      </c>
      <c r="B196" s="1412" t="s">
        <v>66</v>
      </c>
      <c r="C196" s="806"/>
      <c r="D196" s="628"/>
      <c r="E196" s="283" t="s">
        <v>53</v>
      </c>
      <c r="F196" s="272"/>
      <c r="G196" s="273"/>
      <c r="H196" s="292"/>
      <c r="I196" s="272"/>
      <c r="J196" s="284"/>
      <c r="K196" s="285"/>
      <c r="L196" s="566"/>
      <c r="M196" s="623"/>
      <c r="N196" s="295"/>
      <c r="O196" s="288"/>
      <c r="P196" s="556"/>
      <c r="Q196" s="567"/>
      <c r="R196" s="568"/>
      <c r="S196" s="569"/>
      <c r="T196" s="276"/>
      <c r="U196" s="295"/>
      <c r="V196" s="294"/>
      <c r="W196" s="556"/>
      <c r="X196" s="284"/>
      <c r="Y196" s="294"/>
      <c r="Z196" s="566"/>
      <c r="AA196" s="117"/>
      <c r="AB196" s="293"/>
      <c r="AC196" s="20">
        <f t="shared" si="20"/>
        <v>1</v>
      </c>
      <c r="AD196" s="237">
        <v>0</v>
      </c>
      <c r="AE196" s="237">
        <v>0</v>
      </c>
      <c r="AF196" s="237">
        <v>0</v>
      </c>
      <c r="AI196" s="64"/>
      <c r="AJ196" s="508" t="s">
        <v>53</v>
      </c>
      <c r="AK196" s="64"/>
      <c r="AL196" s="64"/>
      <c r="AM196" s="64"/>
      <c r="AN196" s="64"/>
      <c r="AO196" s="64"/>
      <c r="AP196" s="64"/>
      <c r="AS196" s="20" t="str">
        <f t="shared" si="23"/>
        <v>N/A</v>
      </c>
      <c r="AT196" s="20" t="str">
        <f t="shared" si="24"/>
        <v>N/A</v>
      </c>
      <c r="AU196" s="20" t="str">
        <f t="shared" si="25"/>
        <v>N/A</v>
      </c>
      <c r="AV196" s="20"/>
      <c r="AW196" s="20"/>
      <c r="AX196" s="20"/>
      <c r="AZ196" s="293"/>
    </row>
    <row r="197" spans="1:52" ht="14.25" customHeight="1" x14ac:dyDescent="0.25">
      <c r="A197" s="1410">
        <v>188</v>
      </c>
      <c r="B197" s="1412" t="s">
        <v>66</v>
      </c>
      <c r="C197" s="690" t="s">
        <v>179</v>
      </c>
      <c r="D197" s="628" t="s">
        <v>179</v>
      </c>
      <c r="E197" s="662" t="str">
        <f>VLOOKUP(D197,Poeng!$B$10:$R$252,Poeng!E$1,FALSE)</f>
        <v>POL 01 Impacts of refrigerants</v>
      </c>
      <c r="F197" s="667">
        <f>VLOOKUP(D197,Poeng!$B$10:$AB$252,Poeng!AB$1,FALSE)</f>
        <v>3</v>
      </c>
      <c r="G197" s="741"/>
      <c r="H197" s="668" t="str">
        <f>VLOOKUP(D197,Poeng!$B$10:$AI$252,Poeng!AI$1,FALSE)&amp;" c. "&amp;ROUND(VLOOKUP(D197,Poeng!$B$10:$AE$252,Poeng!AE$1,FALSE)*100,1)&amp;" %"</f>
        <v>0 c. 0 %</v>
      </c>
      <c r="I197" s="689" t="str">
        <f>VLOOKUP(D197,Poeng!$B$10:$BE$252,Poeng!BE$1,FALSE)</f>
        <v>N/A</v>
      </c>
      <c r="J197" s="676"/>
      <c r="K197" s="677"/>
      <c r="L197" s="678"/>
      <c r="M197" s="623"/>
      <c r="N197" s="742"/>
      <c r="O197" s="815" t="str">
        <f>VLOOKUP(D197,Poeng!$B$10:$BC$252,Poeng!AJ$1,FALSE)&amp;" c. "&amp;ROUND(VLOOKUP(D197,Poeng!$B$10:$BC$252,Poeng!AF$1,FALSE)*100,1)&amp;" %"</f>
        <v>0 c. 0 %</v>
      </c>
      <c r="P197" s="108" t="str">
        <f>VLOOKUP(D197,Poeng!$B$10:$BH$252,Poeng!BH$1,FALSE)</f>
        <v>N/A</v>
      </c>
      <c r="Q197" s="558"/>
      <c r="R197" s="559"/>
      <c r="S197" s="552"/>
      <c r="T197" s="276"/>
      <c r="U197" s="742"/>
      <c r="V197" s="679" t="str">
        <f>VLOOKUP(D197,Poeng!$B$10:$BC$252,Poeng!AK$1,FALSE)&amp;" c. "&amp;ROUND(VLOOKUP(D197,Poeng!$B$10:$BC$252,Poeng!AG$1,FALSE)*100,1)&amp;" %"</f>
        <v>0 c. 0 %</v>
      </c>
      <c r="W197" s="108" t="str">
        <f>VLOOKUP(D197,Poeng!$B$10:$BK$252,Poeng!BK$1,FALSE)</f>
        <v>N/A</v>
      </c>
      <c r="X197" s="75"/>
      <c r="Y197" s="74"/>
      <c r="Z197" s="552"/>
      <c r="AA197" s="117"/>
      <c r="AB197" s="481" t="s">
        <v>13</v>
      </c>
      <c r="AC197" s="20">
        <f t="shared" si="20"/>
        <v>1</v>
      </c>
      <c r="AD197" s="1" t="e">
        <f>VLOOKUP(K197,'Assessment Details'!$O$49:$P$52,2,FALSE)</f>
        <v>#N/A</v>
      </c>
      <c r="AE197" s="1" t="e">
        <f>VLOOKUP(R197,'Assessment Details'!$O$49:$P$52,2,FALSE)</f>
        <v>#N/A</v>
      </c>
      <c r="AF197" s="1" t="e">
        <f>VLOOKUP(Y197,'Assessment Details'!$O$49:$P$52,2,FALSE)</f>
        <v>#N/A</v>
      </c>
      <c r="AI197" s="64" t="str">
        <f>ais_ja</f>
        <v>Ja</v>
      </c>
      <c r="AJ197" s="508" t="s">
        <v>158</v>
      </c>
      <c r="AK197" s="487" t="s">
        <v>385</v>
      </c>
      <c r="AL197" s="487" t="s">
        <v>389</v>
      </c>
      <c r="AM197" s="487" t="s">
        <v>387</v>
      </c>
      <c r="AN197" s="491" t="s">
        <v>390</v>
      </c>
      <c r="AO197" s="64"/>
      <c r="AP197" s="64"/>
      <c r="AR197" s="1" t="s">
        <v>13</v>
      </c>
      <c r="AS197" s="20" t="str">
        <f t="shared" si="23"/>
        <v>N/A</v>
      </c>
      <c r="AT197" s="20" t="str">
        <f t="shared" si="24"/>
        <v>N/A</v>
      </c>
      <c r="AU197" s="20" t="str">
        <f t="shared" si="25"/>
        <v>N/A</v>
      </c>
      <c r="AV197" s="20" t="str">
        <f t="shared" si="25"/>
        <v>N/A</v>
      </c>
      <c r="AW197" s="20"/>
      <c r="AX197" s="20"/>
      <c r="AZ197" s="481"/>
    </row>
    <row r="198" spans="1:52" x14ac:dyDescent="0.25">
      <c r="A198" s="1410">
        <v>189</v>
      </c>
      <c r="B198" s="1412" t="s">
        <v>66</v>
      </c>
      <c r="C198" s="109" t="str">
        <f t="shared" si="18"/>
        <v>POL 01</v>
      </c>
      <c r="D198" s="628" t="s">
        <v>796</v>
      </c>
      <c r="E198" s="663" t="str">
        <f>VLOOKUP(D198,Poeng!$B$10:$R$252,Poeng!E$1,FALSE)</f>
        <v>No refrigerants in the building</v>
      </c>
      <c r="F198" s="107">
        <f>VLOOKUP(D198,Poeng!$B$10:$AB$252,Poeng!AB$1,FALSE)</f>
        <v>3</v>
      </c>
      <c r="G198" s="1261">
        <f>'Assessment Issue Scoring'!G1214</f>
        <v>0</v>
      </c>
      <c r="H198" s="108">
        <f>VLOOKUP(D198,Poeng!$B$10:$AE$252,Poeng!AE$1,FALSE)</f>
        <v>0</v>
      </c>
      <c r="I198" s="109" t="str">
        <f>VLOOKUP(D198,Poeng!$B$10:$BE$252,Poeng!BE$1,FALSE)</f>
        <v>N/A</v>
      </c>
      <c r="J198" s="74"/>
      <c r="K198" s="241"/>
      <c r="L198" s="608"/>
      <c r="M198" s="623"/>
      <c r="N198" s="77"/>
      <c r="O198" s="108">
        <f>VLOOKUP(D198,Poeng!$B$10:$BC$252,Poeng!AF$1,FALSE)</f>
        <v>0</v>
      </c>
      <c r="P198" s="108" t="str">
        <f>VLOOKUP(D198,Poeng!$B$10:$BH$252,Poeng!BH$1,FALSE)</f>
        <v>N/A</v>
      </c>
      <c r="Q198" s="558"/>
      <c r="R198" s="559"/>
      <c r="S198" s="552"/>
      <c r="T198" s="276"/>
      <c r="U198" s="77"/>
      <c r="V198" s="108">
        <f>VLOOKUP(D198,Poeng!$B$10:$BC$252,Poeng!AG$1,FALSE)</f>
        <v>0</v>
      </c>
      <c r="W198" s="108" t="str">
        <f>VLOOKUP(D198,Poeng!$B$10:$BK$252,Poeng!BK$1,FALSE)</f>
        <v>N/A</v>
      </c>
      <c r="X198" s="75"/>
      <c r="Y198" s="74"/>
      <c r="Z198" s="552"/>
      <c r="AA198" s="117"/>
      <c r="AB198" s="481"/>
      <c r="AC198" s="20">
        <f t="shared" si="20"/>
        <v>1</v>
      </c>
      <c r="AD198" s="1" t="e">
        <f>VLOOKUP(K198,'Assessment Details'!$O$49:$P$52,2,FALSE)</f>
        <v>#N/A</v>
      </c>
      <c r="AE198" s="1" t="e">
        <f>VLOOKUP(R198,'Assessment Details'!$O$49:$P$52,2,FALSE)</f>
        <v>#N/A</v>
      </c>
      <c r="AF198" s="1" t="e">
        <f>VLOOKUP(Y198,'Assessment Details'!$O$49:$P$52,2,FALSE)</f>
        <v>#N/A</v>
      </c>
      <c r="AI198" s="64"/>
      <c r="AJ198" s="508"/>
      <c r="AK198" s="487"/>
      <c r="AL198" s="487"/>
      <c r="AM198" s="487"/>
      <c r="AN198" s="491"/>
      <c r="AO198" s="64"/>
      <c r="AP198" s="64"/>
      <c r="AS198" s="20"/>
      <c r="AT198" s="20"/>
      <c r="AU198" s="20"/>
      <c r="AV198" s="20"/>
      <c r="AW198" s="20"/>
      <c r="AX198" s="20"/>
      <c r="AZ198" s="481"/>
    </row>
    <row r="199" spans="1:52" x14ac:dyDescent="0.25">
      <c r="A199" s="1410">
        <v>190</v>
      </c>
      <c r="B199" s="1412" t="s">
        <v>66</v>
      </c>
      <c r="C199" s="109" t="str">
        <f t="shared" si="18"/>
        <v>POL 01</v>
      </c>
      <c r="D199" s="628" t="s">
        <v>797</v>
      </c>
      <c r="E199" s="663" t="str">
        <f>VLOOKUP(D199,Poeng!$B$10:$R$252,Poeng!E$1,FALSE)</f>
        <v>Pre-requisite: impact of refrigerants</v>
      </c>
      <c r="F199" s="107">
        <f>VLOOKUP(D199,Poeng!$B$10:$AB$252,Poeng!AB$1,FALSE)</f>
        <v>0</v>
      </c>
      <c r="G199" s="1261" t="str">
        <f>'Assessment Issue Scoring'!E1217</f>
        <v>Please select</v>
      </c>
      <c r="H199" s="108" t="str">
        <f>VLOOKUP(D199,Poeng!$B$10:$AE$252,Poeng!AE$1,FALSE)</f>
        <v>-</v>
      </c>
      <c r="I199" s="109" t="str">
        <f>VLOOKUP(D199,Poeng!$B$10:$BE$252,Poeng!BE$1,FALSE)</f>
        <v>N/A</v>
      </c>
      <c r="J199" s="74"/>
      <c r="K199" s="241"/>
      <c r="L199" s="608"/>
      <c r="M199" s="623"/>
      <c r="N199" s="77"/>
      <c r="O199" s="108" t="str">
        <f>VLOOKUP(D199,Poeng!$B$10:$BC$252,Poeng!AF$1,FALSE)</f>
        <v>-</v>
      </c>
      <c r="P199" s="108" t="str">
        <f>VLOOKUP(D199,Poeng!$B$10:$BH$252,Poeng!BH$1,FALSE)</f>
        <v>N/A</v>
      </c>
      <c r="Q199" s="558"/>
      <c r="R199" s="559"/>
      <c r="S199" s="552"/>
      <c r="T199" s="276"/>
      <c r="U199" s="77"/>
      <c r="V199" s="108" t="str">
        <f>VLOOKUP(D199,Poeng!$B$10:$BC$252,Poeng!AG$1,FALSE)</f>
        <v>-</v>
      </c>
      <c r="W199" s="108" t="str">
        <f>VLOOKUP(D199,Poeng!$B$10:$BK$252,Poeng!BK$1,FALSE)</f>
        <v>N/A</v>
      </c>
      <c r="X199" s="75"/>
      <c r="Y199" s="74"/>
      <c r="Z199" s="552"/>
      <c r="AA199" s="117"/>
      <c r="AB199" s="481"/>
      <c r="AC199" s="20">
        <f t="shared" si="20"/>
        <v>2</v>
      </c>
      <c r="AD199" s="1" t="e">
        <f>VLOOKUP(K199,'Assessment Details'!$O$49:$P$52,2,FALSE)</f>
        <v>#N/A</v>
      </c>
      <c r="AE199" s="1" t="e">
        <f>VLOOKUP(R199,'Assessment Details'!$O$49:$P$52,2,FALSE)</f>
        <v>#N/A</v>
      </c>
      <c r="AF199" s="1" t="e">
        <f>VLOOKUP(Y199,'Assessment Details'!$O$49:$P$52,2,FALSE)</f>
        <v>#N/A</v>
      </c>
      <c r="AI199" s="64"/>
      <c r="AJ199" s="508"/>
      <c r="AK199" s="487"/>
      <c r="AL199" s="487"/>
      <c r="AM199" s="487"/>
      <c r="AN199" s="491"/>
      <c r="AO199" s="64"/>
      <c r="AP199" s="64"/>
      <c r="AS199" s="20"/>
      <c r="AT199" s="20"/>
      <c r="AU199" s="20"/>
      <c r="AV199" s="20"/>
      <c r="AW199" s="20"/>
      <c r="AX199" s="20"/>
      <c r="AZ199" s="481"/>
    </row>
    <row r="200" spans="1:52" x14ac:dyDescent="0.25">
      <c r="A200" s="1410">
        <v>191</v>
      </c>
      <c r="B200" s="1412" t="s">
        <v>66</v>
      </c>
      <c r="C200" s="109" t="str">
        <f t="shared" si="18"/>
        <v>POL 01</v>
      </c>
      <c r="D200" s="628" t="s">
        <v>798</v>
      </c>
      <c r="E200" s="663" t="str">
        <f>VLOOKUP(D200,Poeng!$B$10:$R$252,Poeng!E$1,FALSE)</f>
        <v>Impact of refrigerants</v>
      </c>
      <c r="F200" s="107">
        <f>VLOOKUP(D200,Poeng!$B$10:$AB$252,Poeng!AB$1,FALSE)</f>
        <v>0</v>
      </c>
      <c r="G200" s="1261">
        <f>'Assessment Issue Scoring'!K1221</f>
        <v>0</v>
      </c>
      <c r="H200" s="108">
        <f>VLOOKUP(D200,Poeng!$B$10:$AE$252,Poeng!AE$1,FALSE)</f>
        <v>0</v>
      </c>
      <c r="I200" s="109" t="str">
        <f>VLOOKUP(D200,Poeng!$B$10:$BE$252,Poeng!BE$1,FALSE)</f>
        <v>N/A</v>
      </c>
      <c r="J200" s="74"/>
      <c r="K200" s="241"/>
      <c r="L200" s="608"/>
      <c r="M200" s="623"/>
      <c r="N200" s="77"/>
      <c r="O200" s="108">
        <f>VLOOKUP(D200,Poeng!$B$10:$BC$252,Poeng!AF$1,FALSE)</f>
        <v>0</v>
      </c>
      <c r="P200" s="108" t="str">
        <f>VLOOKUP(D200,Poeng!$B$10:$BH$252,Poeng!BH$1,FALSE)</f>
        <v>N/A</v>
      </c>
      <c r="Q200" s="558"/>
      <c r="R200" s="559"/>
      <c r="S200" s="552"/>
      <c r="T200" s="276"/>
      <c r="U200" s="77"/>
      <c r="V200" s="108">
        <f>VLOOKUP(D200,Poeng!$B$10:$BC$252,Poeng!AG$1,FALSE)</f>
        <v>0</v>
      </c>
      <c r="W200" s="108" t="str">
        <f>VLOOKUP(D200,Poeng!$B$10:$BK$252,Poeng!BK$1,FALSE)</f>
        <v>N/A</v>
      </c>
      <c r="X200" s="75"/>
      <c r="Y200" s="74"/>
      <c r="Z200" s="552"/>
      <c r="AA200" s="117"/>
      <c r="AB200" s="481"/>
      <c r="AC200" s="20">
        <f t="shared" si="20"/>
        <v>2</v>
      </c>
      <c r="AD200" s="1" t="e">
        <f>VLOOKUP(K200,'Assessment Details'!$O$49:$P$52,2,FALSE)</f>
        <v>#N/A</v>
      </c>
      <c r="AE200" s="1" t="e">
        <f>VLOOKUP(R200,'Assessment Details'!$O$49:$P$52,2,FALSE)</f>
        <v>#N/A</v>
      </c>
      <c r="AF200" s="1" t="e">
        <f>VLOOKUP(Y200,'Assessment Details'!$O$49:$P$52,2,FALSE)</f>
        <v>#N/A</v>
      </c>
      <c r="AI200" s="64"/>
      <c r="AJ200" s="508"/>
      <c r="AK200" s="487"/>
      <c r="AL200" s="487"/>
      <c r="AM200" s="487"/>
      <c r="AN200" s="491"/>
      <c r="AO200" s="64"/>
      <c r="AP200" s="64"/>
      <c r="AS200" s="20"/>
      <c r="AT200" s="20"/>
      <c r="AU200" s="20"/>
      <c r="AV200" s="20"/>
      <c r="AW200" s="20"/>
      <c r="AX200" s="20"/>
      <c r="AZ200" s="481"/>
    </row>
    <row r="201" spans="1:52" x14ac:dyDescent="0.25">
      <c r="A201" s="1410">
        <v>192</v>
      </c>
      <c r="B201" s="1412" t="s">
        <v>66</v>
      </c>
      <c r="C201" s="109" t="str">
        <f>C199</f>
        <v>POL 01</v>
      </c>
      <c r="D201" s="628" t="s">
        <v>875</v>
      </c>
      <c r="E201" s="663" t="str">
        <f>VLOOKUP(D201,Poeng!$B$10:$R$252,Poeng!E$1,FALSE)</f>
        <v>Leak detection</v>
      </c>
      <c r="F201" s="107">
        <f>VLOOKUP(D201,Poeng!$B$10:$AB$252,Poeng!AB$1,FALSE)</f>
        <v>0</v>
      </c>
      <c r="G201" s="1261">
        <f>'Assessment Issue Scoring'!G1225</f>
        <v>0</v>
      </c>
      <c r="H201" s="108">
        <f>VLOOKUP(D201,Poeng!$B$10:$AE$252,Poeng!AE$1,FALSE)</f>
        <v>0</v>
      </c>
      <c r="I201" s="109" t="str">
        <f>VLOOKUP(D201,Poeng!$B$10:$BE$252,Poeng!BE$1,FALSE)</f>
        <v>N/A</v>
      </c>
      <c r="J201" s="74"/>
      <c r="K201" s="241"/>
      <c r="L201" s="608"/>
      <c r="M201" s="623"/>
      <c r="N201" s="77"/>
      <c r="O201" s="108">
        <f>VLOOKUP(D201,Poeng!$B$10:$BC$252,Poeng!AF$1,FALSE)</f>
        <v>0</v>
      </c>
      <c r="P201" s="108" t="str">
        <f>VLOOKUP(D201,Poeng!$B$10:$BH$252,Poeng!BH$1,FALSE)</f>
        <v>N/A</v>
      </c>
      <c r="Q201" s="558"/>
      <c r="R201" s="559"/>
      <c r="S201" s="552"/>
      <c r="T201" s="276"/>
      <c r="U201" s="77"/>
      <c r="V201" s="108">
        <f>VLOOKUP(D201,Poeng!$B$10:$BC$252,Poeng!AG$1,FALSE)</f>
        <v>0</v>
      </c>
      <c r="W201" s="108" t="str">
        <f>VLOOKUP(D201,Poeng!$B$10:$BK$252,Poeng!BK$1,FALSE)</f>
        <v>N/A</v>
      </c>
      <c r="X201" s="75"/>
      <c r="Y201" s="74"/>
      <c r="Z201" s="552"/>
      <c r="AA201" s="117"/>
      <c r="AB201" s="481"/>
      <c r="AC201" s="20">
        <f t="shared" si="20"/>
        <v>2</v>
      </c>
      <c r="AD201" s="1" t="e">
        <f>VLOOKUP(K201,'Assessment Details'!$O$49:$P$52,2,FALSE)</f>
        <v>#N/A</v>
      </c>
      <c r="AE201" s="1" t="e">
        <f>VLOOKUP(R201,'Assessment Details'!$O$49:$P$52,2,FALSE)</f>
        <v>#N/A</v>
      </c>
      <c r="AF201" s="1" t="e">
        <f>VLOOKUP(Y201,'Assessment Details'!$O$49:$P$52,2,FALSE)</f>
        <v>#N/A</v>
      </c>
      <c r="AI201" s="64"/>
      <c r="AJ201" s="508"/>
      <c r="AK201" s="487"/>
      <c r="AL201" s="487"/>
      <c r="AM201" s="487"/>
      <c r="AN201" s="491"/>
      <c r="AO201" s="64"/>
      <c r="AP201" s="64"/>
      <c r="AS201" s="20"/>
      <c r="AT201" s="20"/>
      <c r="AU201" s="20"/>
      <c r="AV201" s="20"/>
      <c r="AW201" s="20"/>
      <c r="AX201" s="20"/>
      <c r="AZ201" s="481"/>
    </row>
    <row r="202" spans="1:52" x14ac:dyDescent="0.25">
      <c r="A202" s="1410">
        <v>193</v>
      </c>
      <c r="B202" s="1412" t="s">
        <v>66</v>
      </c>
      <c r="C202" s="690" t="s">
        <v>180</v>
      </c>
      <c r="D202" s="628" t="s">
        <v>180</v>
      </c>
      <c r="E202" s="662" t="str">
        <f>VLOOKUP(D202,Poeng!$B$10:$R$252,Poeng!E$1,FALSE)</f>
        <v>POL 02 Local air quality</v>
      </c>
      <c r="F202" s="667">
        <f>VLOOKUP(D202,Poeng!$B$10:$AB$252,Poeng!AB$1,FALSE)</f>
        <v>2</v>
      </c>
      <c r="G202" s="742"/>
      <c r="H202" s="668" t="str">
        <f>VLOOKUP(D202,Poeng!$B$10:$AI$252,Poeng!AI$1,FALSE)&amp;" c. "&amp;ROUND(VLOOKUP(D202,Poeng!$B$10:$AE$252,Poeng!AE$1,FALSE)*100,1)&amp;" %"</f>
        <v>0 c. 0 %</v>
      </c>
      <c r="I202" s="690" t="str">
        <f>VLOOKUP(D202,Poeng!$B$10:$BE$252,Poeng!BE$1,FALSE)</f>
        <v>N/A</v>
      </c>
      <c r="J202" s="74"/>
      <c r="K202" s="241"/>
      <c r="L202" s="608"/>
      <c r="M202" s="623"/>
      <c r="N202" s="742"/>
      <c r="O202" s="679" t="str">
        <f>VLOOKUP(D202,Poeng!$B$10:$BC$252,Poeng!AJ$1,FALSE)&amp;" c. "&amp;ROUND(VLOOKUP(D202,Poeng!$B$10:$BC$252,Poeng!AF$1,FALSE)*100,1)&amp;" %"</f>
        <v>0 c. 0 %</v>
      </c>
      <c r="P202" s="108" t="str">
        <f>VLOOKUP(D202,Poeng!$B$10:$BH$252,Poeng!BH$1,FALSE)</f>
        <v>N/A</v>
      </c>
      <c r="Q202" s="558"/>
      <c r="R202" s="559"/>
      <c r="S202" s="552"/>
      <c r="T202" s="276"/>
      <c r="U202" s="742"/>
      <c r="V202" s="679" t="str">
        <f>VLOOKUP(D202,Poeng!$B$10:$BC$252,Poeng!AK$1,FALSE)&amp;" c. "&amp;ROUND(VLOOKUP(D202,Poeng!$B$10:$BC$252,Poeng!AG$1,FALSE)*100,1)&amp;" %"</f>
        <v>0 c. 0 %</v>
      </c>
      <c r="W202" s="108" t="str">
        <f>VLOOKUP(D202,Poeng!$B$10:$BK$252,Poeng!BK$1,FALSE)</f>
        <v>N/A</v>
      </c>
      <c r="X202" s="75"/>
      <c r="Y202" s="74"/>
      <c r="Z202" s="552"/>
      <c r="AA202" s="117"/>
      <c r="AB202" s="481" t="s">
        <v>13</v>
      </c>
      <c r="AC202" s="20">
        <f t="shared" si="20"/>
        <v>1</v>
      </c>
      <c r="AD202" s="1" t="e">
        <f>VLOOKUP(K202,'Assessment Details'!$O$49:$P$52,2,FALSE)</f>
        <v>#N/A</v>
      </c>
      <c r="AE202" s="1" t="e">
        <f>VLOOKUP(R202,'Assessment Details'!$O$49:$P$52,2,FALSE)</f>
        <v>#N/A</v>
      </c>
      <c r="AF202" s="1" t="e">
        <f>VLOOKUP(Y202,'Assessment Details'!$O$49:$P$52,2,FALSE)</f>
        <v>#N/A</v>
      </c>
      <c r="AI202" s="64" t="str">
        <f>ais_ja</f>
        <v>Ja</v>
      </c>
      <c r="AJ202" s="508" t="s">
        <v>376</v>
      </c>
      <c r="AK202" s="487" t="s">
        <v>385</v>
      </c>
      <c r="AL202" s="487" t="s">
        <v>389</v>
      </c>
      <c r="AM202" s="487" t="s">
        <v>387</v>
      </c>
      <c r="AN202" s="64"/>
      <c r="AO202" s="64"/>
      <c r="AP202" s="64"/>
      <c r="AR202" s="1" t="s">
        <v>13</v>
      </c>
      <c r="AS202" s="20" t="str">
        <f t="shared" si="23"/>
        <v>N/A</v>
      </c>
      <c r="AT202" s="20" t="str">
        <f t="shared" si="24"/>
        <v>N/A</v>
      </c>
      <c r="AU202" s="20" t="str">
        <f t="shared" si="25"/>
        <v>N/A</v>
      </c>
      <c r="AV202" s="20"/>
      <c r="AW202" s="20"/>
      <c r="AX202" s="20"/>
      <c r="AZ202" s="481"/>
    </row>
    <row r="203" spans="1:52" x14ac:dyDescent="0.25">
      <c r="A203" s="1410">
        <v>194</v>
      </c>
      <c r="B203" s="1412" t="s">
        <v>66</v>
      </c>
      <c r="C203" s="109" t="str">
        <f t="shared" si="18"/>
        <v>POL 02</v>
      </c>
      <c r="D203" s="628" t="s">
        <v>799</v>
      </c>
      <c r="E203" s="663" t="str">
        <f>VLOOKUP(D203,Poeng!$B$10:$R$252,Poeng!E$1,FALSE)</f>
        <v>Non-combustion heating and hot water system</v>
      </c>
      <c r="F203" s="107">
        <f>VLOOKUP(D203,Poeng!$B$10:$AB$252,Poeng!AB$1,FALSE)</f>
        <v>2</v>
      </c>
      <c r="G203" s="1260">
        <f>'Assessment Issue Scoring'!G1249</f>
        <v>0</v>
      </c>
      <c r="H203" s="108">
        <f>VLOOKUP(D203,Poeng!$B$10:$AE$252,Poeng!AE$1,FALSE)</f>
        <v>0</v>
      </c>
      <c r="I203" s="109" t="str">
        <f>VLOOKUP(D203,Poeng!$B$10:$BE$252,Poeng!BE$1,FALSE)</f>
        <v>N/A</v>
      </c>
      <c r="J203" s="74"/>
      <c r="K203" s="241"/>
      <c r="L203" s="608"/>
      <c r="M203" s="623"/>
      <c r="N203" s="77"/>
      <c r="O203" s="108">
        <f>VLOOKUP(D203,Poeng!$B$10:$BC$252,Poeng!AF$1,FALSE)</f>
        <v>0</v>
      </c>
      <c r="P203" s="108" t="str">
        <f>VLOOKUP(D203,Poeng!$B$10:$BH$252,Poeng!BH$1,FALSE)</f>
        <v>N/A</v>
      </c>
      <c r="Q203" s="558"/>
      <c r="R203" s="559"/>
      <c r="S203" s="552"/>
      <c r="T203" s="276"/>
      <c r="U203" s="77"/>
      <c r="V203" s="108">
        <f>VLOOKUP(D203,Poeng!$B$10:$BC$252,Poeng!AG$1,FALSE)</f>
        <v>0</v>
      </c>
      <c r="W203" s="108" t="str">
        <f>VLOOKUP(D203,Poeng!$B$10:$BK$252,Poeng!BK$1,FALSE)</f>
        <v>N/A</v>
      </c>
      <c r="X203" s="75"/>
      <c r="Y203" s="74"/>
      <c r="Z203" s="552"/>
      <c r="AA203" s="117"/>
      <c r="AB203" s="481"/>
      <c r="AC203" s="20">
        <f t="shared" si="20"/>
        <v>1</v>
      </c>
      <c r="AD203" s="1" t="e">
        <f>VLOOKUP(K203,'Assessment Details'!$O$49:$P$52,2,FALSE)</f>
        <v>#N/A</v>
      </c>
      <c r="AE203" s="1" t="e">
        <f>VLOOKUP(R203,'Assessment Details'!$O$49:$P$52,2,FALSE)</f>
        <v>#N/A</v>
      </c>
      <c r="AF203" s="1" t="e">
        <f>VLOOKUP(Y203,'Assessment Details'!$O$49:$P$52,2,FALSE)</f>
        <v>#N/A</v>
      </c>
      <c r="AI203" s="64"/>
      <c r="AJ203" s="508"/>
      <c r="AK203" s="487"/>
      <c r="AL203" s="487"/>
      <c r="AM203" s="487"/>
      <c r="AN203" s="64"/>
      <c r="AO203" s="64"/>
      <c r="AP203" s="64"/>
      <c r="AS203" s="20"/>
      <c r="AT203" s="20"/>
      <c r="AU203" s="20"/>
      <c r="AV203" s="20"/>
      <c r="AW203" s="20"/>
      <c r="AX203" s="20"/>
      <c r="AZ203" s="481"/>
    </row>
    <row r="204" spans="1:52" x14ac:dyDescent="0.25">
      <c r="A204" s="1410">
        <v>195</v>
      </c>
      <c r="B204" s="1412" t="s">
        <v>66</v>
      </c>
      <c r="C204" s="109" t="str">
        <f t="shared" si="18"/>
        <v>POL 02</v>
      </c>
      <c r="D204" s="628" t="s">
        <v>800</v>
      </c>
      <c r="E204" s="663" t="str">
        <f>VLOOKUP(D204,Poeng!$B$10:$R$252,Poeng!E$1,FALSE)</f>
        <v>Combustion-powered heating and hot water</v>
      </c>
      <c r="F204" s="107">
        <f>VLOOKUP(D204,Poeng!$B$10:$AB$252,Poeng!AB$1,FALSE)</f>
        <v>0</v>
      </c>
      <c r="G204" s="1166">
        <f>'Assessment Issue Scoring'!G1250</f>
        <v>0</v>
      </c>
      <c r="H204" s="108">
        <f>VLOOKUP(D204,Poeng!$B$10:$AE$252,Poeng!AE$1,FALSE)</f>
        <v>0</v>
      </c>
      <c r="I204" s="109" t="str">
        <f>VLOOKUP(D204,Poeng!$B$10:$BE$252,Poeng!BE$1,FALSE)</f>
        <v>N/A</v>
      </c>
      <c r="J204" s="74"/>
      <c r="K204" s="241"/>
      <c r="L204" s="608"/>
      <c r="M204" s="623"/>
      <c r="N204" s="77"/>
      <c r="O204" s="108">
        <f>VLOOKUP(D204,Poeng!$B$10:$BC$252,Poeng!AF$1,FALSE)</f>
        <v>0</v>
      </c>
      <c r="P204" s="108" t="str">
        <f>VLOOKUP(D204,Poeng!$B$10:$BH$252,Poeng!BH$1,FALSE)</f>
        <v>N/A</v>
      </c>
      <c r="Q204" s="558"/>
      <c r="R204" s="559"/>
      <c r="S204" s="552"/>
      <c r="T204" s="276"/>
      <c r="U204" s="77"/>
      <c r="V204" s="108">
        <f>VLOOKUP(D204,Poeng!$B$10:$BC$252,Poeng!AG$1,FALSE)</f>
        <v>0</v>
      </c>
      <c r="W204" s="108" t="str">
        <f>VLOOKUP(D204,Poeng!$B$10:$BK$252,Poeng!BK$1,FALSE)</f>
        <v>N/A</v>
      </c>
      <c r="X204" s="75"/>
      <c r="Y204" s="74"/>
      <c r="Z204" s="552"/>
      <c r="AA204" s="117"/>
      <c r="AB204" s="481"/>
      <c r="AC204" s="20">
        <f t="shared" si="20"/>
        <v>2</v>
      </c>
      <c r="AD204" s="1" t="e">
        <f>VLOOKUP(K204,'Assessment Details'!$O$49:$P$52,2,FALSE)</f>
        <v>#N/A</v>
      </c>
      <c r="AE204" s="1" t="e">
        <f>VLOOKUP(R204,'Assessment Details'!$O$49:$P$52,2,FALSE)</f>
        <v>#N/A</v>
      </c>
      <c r="AF204" s="1" t="e">
        <f>VLOOKUP(Y204,'Assessment Details'!$O$49:$P$52,2,FALSE)</f>
        <v>#N/A</v>
      </c>
      <c r="AI204" s="64"/>
      <c r="AJ204" s="508"/>
      <c r="AK204" s="487"/>
      <c r="AL204" s="487"/>
      <c r="AM204" s="487"/>
      <c r="AN204" s="64"/>
      <c r="AO204" s="64"/>
      <c r="AP204" s="64"/>
      <c r="AS204" s="20"/>
      <c r="AT204" s="20"/>
      <c r="AU204" s="20"/>
      <c r="AV204" s="20"/>
      <c r="AW204" s="20"/>
      <c r="AX204" s="20"/>
      <c r="AZ204" s="481"/>
    </row>
    <row r="205" spans="1:52" x14ac:dyDescent="0.25">
      <c r="A205" s="1410">
        <v>196</v>
      </c>
      <c r="B205" s="1412" t="s">
        <v>66</v>
      </c>
      <c r="C205" s="690" t="s">
        <v>182</v>
      </c>
      <c r="D205" s="628" t="s">
        <v>182</v>
      </c>
      <c r="E205" s="662" t="str">
        <f>VLOOKUP(D205,Poeng!$B$10:$R$252,Poeng!E$1,FALSE)</f>
        <v>POL 04 Reduction of night time light pollution</v>
      </c>
      <c r="F205" s="667">
        <f>VLOOKUP(D205,Poeng!$B$10:$AB$252,Poeng!AB$1,FALSE)</f>
        <v>1</v>
      </c>
      <c r="G205" s="742"/>
      <c r="H205" s="668" t="str">
        <f>VLOOKUP(D205,Poeng!$B$10:$AI$252,Poeng!AI$1,FALSE)&amp;" c. "&amp;ROUND(VLOOKUP(D205,Poeng!$B$10:$AE$252,Poeng!AE$1,FALSE)*100,1)&amp;" %"</f>
        <v>0 c. 0 %</v>
      </c>
      <c r="I205" s="690" t="str">
        <f>VLOOKUP(D205,Poeng!$B$10:$BE$252,Poeng!BE$1,FALSE)</f>
        <v>N/A</v>
      </c>
      <c r="J205" s="74"/>
      <c r="K205" s="241"/>
      <c r="L205" s="608"/>
      <c r="M205" s="623"/>
      <c r="N205" s="742"/>
      <c r="O205" s="679" t="str">
        <f>VLOOKUP(D205,Poeng!$B$10:$BC$252,Poeng!AJ$1,FALSE)&amp;" c. "&amp;ROUND(VLOOKUP(D205,Poeng!$B$10:$BC$252,Poeng!AF$1,FALSE)*100,1)&amp;" %"</f>
        <v>0 c. 0 %</v>
      </c>
      <c r="P205" s="108" t="str">
        <f>VLOOKUP(D205,Poeng!$B$10:$BH$252,Poeng!BH$1,FALSE)</f>
        <v>N/A</v>
      </c>
      <c r="Q205" s="558"/>
      <c r="R205" s="559"/>
      <c r="S205" s="552"/>
      <c r="T205" s="276"/>
      <c r="U205" s="742"/>
      <c r="V205" s="679" t="str">
        <f>VLOOKUP(D205,Poeng!$B$10:$BC$252,Poeng!AK$1,FALSE)&amp;" c. "&amp;ROUND(VLOOKUP(D205,Poeng!$B$10:$BC$252,Poeng!AG$1,FALSE)*100,1)&amp;" %"</f>
        <v>0 c. 0 %</v>
      </c>
      <c r="W205" s="108" t="str">
        <f>VLOOKUP(D205,Poeng!$B$10:$BK$252,Poeng!BK$1,FALSE)</f>
        <v>N/A</v>
      </c>
      <c r="X205" s="75"/>
      <c r="Y205" s="74"/>
      <c r="Z205" s="552"/>
      <c r="AA205" s="117"/>
      <c r="AB205" s="481" t="s">
        <v>13</v>
      </c>
      <c r="AC205" s="20">
        <f t="shared" si="20"/>
        <v>1</v>
      </c>
      <c r="AD205" s="1" t="e">
        <f>VLOOKUP(K205,'Assessment Details'!$O$49:$P$52,2,FALSE)</f>
        <v>#N/A</v>
      </c>
      <c r="AE205" s="1" t="e">
        <f>VLOOKUP(R205,'Assessment Details'!$O$49:$P$52,2,FALSE)</f>
        <v>#N/A</v>
      </c>
      <c r="AF205" s="1" t="e">
        <f>VLOOKUP(Y205,'Assessment Details'!$O$49:$P$52,2,FALSE)</f>
        <v>#N/A</v>
      </c>
      <c r="AI205" s="64" t="str">
        <f>ais_ja</f>
        <v>Ja</v>
      </c>
      <c r="AJ205" s="508" t="s">
        <v>159</v>
      </c>
      <c r="AK205" s="487" t="s">
        <v>385</v>
      </c>
      <c r="AL205" s="487" t="s">
        <v>389</v>
      </c>
      <c r="AM205" s="487" t="s">
        <v>387</v>
      </c>
      <c r="AN205" s="64"/>
      <c r="AO205" s="64"/>
      <c r="AP205" s="64"/>
      <c r="AR205" s="1" t="s">
        <v>13</v>
      </c>
      <c r="AS205" s="20" t="str">
        <f t="shared" si="23"/>
        <v>N/A</v>
      </c>
      <c r="AT205" s="20" t="str">
        <f t="shared" si="24"/>
        <v>N/A</v>
      </c>
      <c r="AU205" s="20" t="str">
        <f t="shared" si="25"/>
        <v>N/A</v>
      </c>
      <c r="AV205" s="20"/>
      <c r="AW205" s="20"/>
      <c r="AX205" s="20"/>
      <c r="AZ205" s="481"/>
    </row>
    <row r="206" spans="1:52" x14ac:dyDescent="0.25">
      <c r="A206" s="1410">
        <v>197</v>
      </c>
      <c r="B206" s="1412" t="s">
        <v>66</v>
      </c>
      <c r="C206" s="109" t="str">
        <f t="shared" si="18"/>
        <v>POL 04</v>
      </c>
      <c r="D206" s="628" t="s">
        <v>801</v>
      </c>
      <c r="E206" s="663" t="str">
        <f>VLOOKUP(D206,Poeng!$B$10:$R$252,Poeng!E$1,FALSE)</f>
        <v xml:space="preserve">No external lighting pollution </v>
      </c>
      <c r="F206" s="107">
        <f>VLOOKUP(D206,Poeng!$B$10:$AB$252,Poeng!AB$1,FALSE)</f>
        <v>1</v>
      </c>
      <c r="G206" s="1166">
        <f>'Assessment Issue Scoring'!G1280</f>
        <v>0</v>
      </c>
      <c r="H206" s="108">
        <f>VLOOKUP(D206,Poeng!$B$10:$AE$252,Poeng!AE$1,FALSE)</f>
        <v>0</v>
      </c>
      <c r="I206" s="109" t="str">
        <f>VLOOKUP(D206,Poeng!$B$10:$BE$252,Poeng!BE$1,FALSE)</f>
        <v>N/A</v>
      </c>
      <c r="J206" s="74"/>
      <c r="K206" s="241"/>
      <c r="L206" s="608"/>
      <c r="M206" s="623"/>
      <c r="N206" s="77"/>
      <c r="O206" s="108">
        <f>VLOOKUP(D206,Poeng!$B$10:$BC$252,Poeng!AF$1,FALSE)</f>
        <v>0</v>
      </c>
      <c r="P206" s="108" t="str">
        <f>VLOOKUP(D206,Poeng!$B$10:$BH$252,Poeng!BH$1,FALSE)</f>
        <v>N/A</v>
      </c>
      <c r="Q206" s="558"/>
      <c r="R206" s="559"/>
      <c r="S206" s="552"/>
      <c r="T206" s="276"/>
      <c r="U206" s="77"/>
      <c r="V206" s="108">
        <f>VLOOKUP(D206,Poeng!$B$10:$BC$252,Poeng!AG$1,FALSE)</f>
        <v>0</v>
      </c>
      <c r="W206" s="108" t="str">
        <f>VLOOKUP(D206,Poeng!$B$10:$BK$252,Poeng!BK$1,FALSE)</f>
        <v>N/A</v>
      </c>
      <c r="X206" s="75"/>
      <c r="Y206" s="74"/>
      <c r="Z206" s="552"/>
      <c r="AA206" s="117"/>
      <c r="AB206" s="481"/>
      <c r="AC206" s="20">
        <f t="shared" si="20"/>
        <v>1</v>
      </c>
      <c r="AD206" s="1" t="e">
        <f>VLOOKUP(K206,'Assessment Details'!$O$49:$P$52,2,FALSE)</f>
        <v>#N/A</v>
      </c>
      <c r="AE206" s="1" t="e">
        <f>VLOOKUP(R206,'Assessment Details'!$O$49:$P$52,2,FALSE)</f>
        <v>#N/A</v>
      </c>
      <c r="AF206" s="1" t="e">
        <f>VLOOKUP(Y206,'Assessment Details'!$O$49:$P$52,2,FALSE)</f>
        <v>#N/A</v>
      </c>
      <c r="AI206" s="64"/>
      <c r="AJ206" s="508"/>
      <c r="AK206" s="487"/>
      <c r="AL206" s="487"/>
      <c r="AM206" s="487"/>
      <c r="AN206" s="64"/>
      <c r="AO206" s="64"/>
      <c r="AP206" s="64"/>
      <c r="AS206" s="20"/>
      <c r="AT206" s="20"/>
      <c r="AU206" s="20"/>
      <c r="AV206" s="20"/>
      <c r="AW206" s="20"/>
      <c r="AX206" s="20"/>
      <c r="AZ206" s="481"/>
    </row>
    <row r="207" spans="1:52" x14ac:dyDescent="0.25">
      <c r="A207" s="1410">
        <v>198</v>
      </c>
      <c r="B207" s="1412" t="s">
        <v>66</v>
      </c>
      <c r="C207" s="109" t="str">
        <f t="shared" si="18"/>
        <v>POL 04</v>
      </c>
      <c r="D207" s="628" t="s">
        <v>802</v>
      </c>
      <c r="E207" s="663" t="str">
        <f>VLOOKUP(D207,Poeng!$B$10:$R$252,Poeng!E$1,FALSE)</f>
        <v>Minimizing external light pollution</v>
      </c>
      <c r="F207" s="107">
        <f>VLOOKUP(D207,Poeng!$B$10:$AB$252,Poeng!AB$1,FALSE)</f>
        <v>0</v>
      </c>
      <c r="G207" s="1166">
        <f>'Assessment Issue Scoring'!G1281</f>
        <v>0</v>
      </c>
      <c r="H207" s="108">
        <f>VLOOKUP(D207,Poeng!$B$10:$AE$252,Poeng!AE$1,FALSE)</f>
        <v>0</v>
      </c>
      <c r="I207" s="109" t="str">
        <f>VLOOKUP(D207,Poeng!$B$10:$BE$252,Poeng!BE$1,FALSE)</f>
        <v>N/A</v>
      </c>
      <c r="J207" s="74"/>
      <c r="K207" s="241"/>
      <c r="L207" s="608"/>
      <c r="M207" s="623"/>
      <c r="N207" s="77"/>
      <c r="O207" s="108">
        <f>VLOOKUP(D207,Poeng!$B$10:$BC$252,Poeng!AF$1,FALSE)</f>
        <v>0</v>
      </c>
      <c r="P207" s="108" t="str">
        <f>VLOOKUP(D207,Poeng!$B$10:$BH$252,Poeng!BH$1,FALSE)</f>
        <v>N/A</v>
      </c>
      <c r="Q207" s="558"/>
      <c r="R207" s="559"/>
      <c r="S207" s="552"/>
      <c r="T207" s="276"/>
      <c r="U207" s="77"/>
      <c r="V207" s="108">
        <f>VLOOKUP(D207,Poeng!$B$10:$BC$252,Poeng!AG$1,FALSE)</f>
        <v>0</v>
      </c>
      <c r="W207" s="108" t="str">
        <f>VLOOKUP(D207,Poeng!$B$10:$BK$252,Poeng!BK$1,FALSE)</f>
        <v>N/A</v>
      </c>
      <c r="X207" s="75"/>
      <c r="Y207" s="74"/>
      <c r="Z207" s="552"/>
      <c r="AA207" s="117"/>
      <c r="AB207" s="481"/>
      <c r="AC207" s="20">
        <f t="shared" si="20"/>
        <v>2</v>
      </c>
      <c r="AD207" s="1" t="e">
        <f>VLOOKUP(K207,'Assessment Details'!$O$49:$P$52,2,FALSE)</f>
        <v>#N/A</v>
      </c>
      <c r="AE207" s="1" t="e">
        <f>VLOOKUP(R207,'Assessment Details'!$O$49:$P$52,2,FALSE)</f>
        <v>#N/A</v>
      </c>
      <c r="AF207" s="1" t="e">
        <f>VLOOKUP(Y207,'Assessment Details'!$O$49:$P$52,2,FALSE)</f>
        <v>#N/A</v>
      </c>
      <c r="AI207" s="64"/>
      <c r="AJ207" s="508"/>
      <c r="AK207" s="487"/>
      <c r="AL207" s="487"/>
      <c r="AM207" s="487"/>
      <c r="AN207" s="64"/>
      <c r="AO207" s="64"/>
      <c r="AP207" s="64"/>
      <c r="AS207" s="20"/>
      <c r="AT207" s="20"/>
      <c r="AU207" s="20"/>
      <c r="AV207" s="20"/>
      <c r="AW207" s="20"/>
      <c r="AX207" s="20"/>
      <c r="AZ207" s="481"/>
    </row>
    <row r="208" spans="1:52" x14ac:dyDescent="0.25">
      <c r="A208" s="1410">
        <v>199</v>
      </c>
      <c r="B208" s="1412" t="s">
        <v>66</v>
      </c>
      <c r="C208" s="690" t="s">
        <v>183</v>
      </c>
      <c r="D208" s="628" t="s">
        <v>183</v>
      </c>
      <c r="E208" s="662" t="str">
        <f>VLOOKUP(D208,Poeng!$B$10:$R$252,Poeng!E$1,FALSE)</f>
        <v>POL 05 Reduction of noise pollution</v>
      </c>
      <c r="F208" s="667">
        <f>VLOOKUP(D208,Poeng!$B$10:$AB$252,Poeng!AB$1,FALSE)</f>
        <v>1</v>
      </c>
      <c r="G208" s="742"/>
      <c r="H208" s="668" t="str">
        <f>VLOOKUP(D208,Poeng!$B$10:$AI$252,Poeng!AI$1,FALSE)&amp;" c. "&amp;ROUND(VLOOKUP(D208,Poeng!$B$10:$AE$252,Poeng!AE$1,FALSE)*100,1)&amp;" %"</f>
        <v>0 c. 0 %</v>
      </c>
      <c r="I208" s="690" t="str">
        <f>VLOOKUP(D208,Poeng!$B$10:$BE$252,Poeng!BE$1,FALSE)</f>
        <v>N/A</v>
      </c>
      <c r="J208" s="74"/>
      <c r="K208" s="241"/>
      <c r="L208" s="608"/>
      <c r="M208" s="623"/>
      <c r="N208" s="742"/>
      <c r="O208" s="679" t="str">
        <f>VLOOKUP(D208,Poeng!$B$10:$BC$252,Poeng!AJ$1,FALSE)&amp;" c. "&amp;ROUND(VLOOKUP(D208,Poeng!$B$10:$BC$252,Poeng!AF$1,FALSE)*100,1)&amp;" %"</f>
        <v>0 c. 0 %</v>
      </c>
      <c r="P208" s="108" t="str">
        <f>VLOOKUP(D208,Poeng!$B$10:$BH$252,Poeng!BH$1,FALSE)</f>
        <v>N/A</v>
      </c>
      <c r="Q208" s="558"/>
      <c r="R208" s="559"/>
      <c r="S208" s="552"/>
      <c r="T208" s="276"/>
      <c r="U208" s="742"/>
      <c r="V208" s="679" t="str">
        <f>VLOOKUP(D208,Poeng!$B$10:$BC$252,Poeng!AK$1,FALSE)&amp;" c. "&amp;ROUND(VLOOKUP(D208,Poeng!$B$10:$BC$252,Poeng!AG$1,FALSE)*100,1)&amp;" %"</f>
        <v>0 c. 0 %</v>
      </c>
      <c r="W208" s="108" t="str">
        <f>VLOOKUP(D208,Poeng!$B$10:$BK$252,Poeng!BK$1,FALSE)</f>
        <v>N/A</v>
      </c>
      <c r="X208" s="75"/>
      <c r="Y208" s="74"/>
      <c r="Z208" s="552"/>
      <c r="AA208" s="117"/>
      <c r="AB208" s="481" t="s">
        <v>13</v>
      </c>
      <c r="AC208" s="20">
        <f t="shared" si="20"/>
        <v>1</v>
      </c>
      <c r="AD208" s="1" t="e">
        <f>VLOOKUP(K208,'Assessment Details'!$O$49:$P$52,2,FALSE)</f>
        <v>#N/A</v>
      </c>
      <c r="AE208" s="1" t="e">
        <f>VLOOKUP(R208,'Assessment Details'!$O$49:$P$52,2,FALSE)</f>
        <v>#N/A</v>
      </c>
      <c r="AF208" s="1" t="e">
        <f>VLOOKUP(Y208,'Assessment Details'!$O$49:$P$52,2,FALSE)</f>
        <v>#N/A</v>
      </c>
      <c r="AI208" s="64" t="str">
        <f>ais_ja</f>
        <v>Ja</v>
      </c>
      <c r="AJ208" s="508" t="s">
        <v>162</v>
      </c>
      <c r="AK208" s="487" t="s">
        <v>385</v>
      </c>
      <c r="AL208" s="487" t="s">
        <v>389</v>
      </c>
      <c r="AM208" s="487" t="s">
        <v>387</v>
      </c>
      <c r="AN208" s="64"/>
      <c r="AO208" s="64"/>
      <c r="AP208" s="64"/>
      <c r="AR208" s="1" t="s">
        <v>13</v>
      </c>
      <c r="AS208" s="20" t="str">
        <f t="shared" si="23"/>
        <v>N/A</v>
      </c>
      <c r="AT208" s="20" t="str">
        <f t="shared" si="24"/>
        <v>N/A</v>
      </c>
      <c r="AU208" s="20" t="str">
        <f t="shared" si="25"/>
        <v>N/A</v>
      </c>
      <c r="AV208" s="20"/>
      <c r="AW208" s="20"/>
      <c r="AX208" s="20"/>
      <c r="AZ208" s="481"/>
    </row>
    <row r="209" spans="1:52" x14ac:dyDescent="0.25">
      <c r="A209" s="1410">
        <v>200</v>
      </c>
      <c r="B209" s="1412" t="s">
        <v>66</v>
      </c>
      <c r="C209" s="109" t="str">
        <f t="shared" si="18"/>
        <v>POL 05</v>
      </c>
      <c r="D209" s="628" t="s">
        <v>803</v>
      </c>
      <c r="E209" s="663" t="str">
        <f>VLOOKUP(D209,Poeng!$B$10:$R$252,Poeng!E$1,FALSE)</f>
        <v>No noise-sensitive areas</v>
      </c>
      <c r="F209" s="107">
        <f>VLOOKUP(D209,Poeng!$B$10:$AB$252,Poeng!AB$1,FALSE)</f>
        <v>1</v>
      </c>
      <c r="G209" s="1166">
        <f>'Assessment Issue Scoring'!G1301</f>
        <v>0</v>
      </c>
      <c r="H209" s="108">
        <f>VLOOKUP(D209,Poeng!$B$10:$AE$252,Poeng!AE$1,FALSE)</f>
        <v>0</v>
      </c>
      <c r="I209" s="109" t="str">
        <f>VLOOKUP(D209,Poeng!$B$10:$BE$252,Poeng!BE$1,FALSE)</f>
        <v>N/A</v>
      </c>
      <c r="J209" s="74"/>
      <c r="K209" s="241"/>
      <c r="L209" s="608"/>
      <c r="M209" s="623"/>
      <c r="N209" s="77"/>
      <c r="O209" s="108">
        <f>VLOOKUP(D209,Poeng!$B$10:$BC$252,Poeng!AF$1,FALSE)</f>
        <v>0</v>
      </c>
      <c r="P209" s="108" t="str">
        <f>VLOOKUP(D209,Poeng!$B$10:$BH$252,Poeng!BH$1,FALSE)</f>
        <v>N/A</v>
      </c>
      <c r="Q209" s="558"/>
      <c r="R209" s="559"/>
      <c r="S209" s="552"/>
      <c r="T209" s="276"/>
      <c r="U209" s="77"/>
      <c r="V209" s="108">
        <f>VLOOKUP(D209,Poeng!$B$10:$BC$252,Poeng!AG$1,FALSE)</f>
        <v>0</v>
      </c>
      <c r="W209" s="108" t="str">
        <f>VLOOKUP(D209,Poeng!$B$10:$BK$252,Poeng!BK$1,FALSE)</f>
        <v>N/A</v>
      </c>
      <c r="X209" s="75"/>
      <c r="Y209" s="74"/>
      <c r="Z209" s="552"/>
      <c r="AA209" s="117"/>
      <c r="AB209" s="534"/>
      <c r="AC209" s="20">
        <f t="shared" si="20"/>
        <v>1</v>
      </c>
      <c r="AD209" s="1" t="e">
        <f>VLOOKUP(K209,'Assessment Details'!$O$49:$P$52,2,FALSE)</f>
        <v>#N/A</v>
      </c>
      <c r="AE209" s="1" t="e">
        <f>VLOOKUP(R209,'Assessment Details'!$O$49:$P$52,2,FALSE)</f>
        <v>#N/A</v>
      </c>
      <c r="AF209" s="1" t="e">
        <f>VLOOKUP(Y209,'Assessment Details'!$O$49:$P$52,2,FALSE)</f>
        <v>#N/A</v>
      </c>
      <c r="AI209" s="64"/>
      <c r="AJ209" s="508"/>
      <c r="AK209" s="487"/>
      <c r="AL209" s="487"/>
      <c r="AM209" s="487"/>
      <c r="AN209" s="64"/>
      <c r="AO209" s="64"/>
      <c r="AP209" s="64"/>
      <c r="AS209" s="20"/>
      <c r="AT209" s="20"/>
      <c r="AU209" s="20"/>
      <c r="AV209" s="20"/>
      <c r="AW209" s="20"/>
      <c r="AX209" s="20"/>
      <c r="AZ209" s="534"/>
    </row>
    <row r="210" spans="1:52" x14ac:dyDescent="0.25">
      <c r="A210" s="1410">
        <v>201</v>
      </c>
      <c r="B210" s="1412" t="s">
        <v>66</v>
      </c>
      <c r="C210" s="109" t="str">
        <f t="shared" si="18"/>
        <v>POL 05</v>
      </c>
      <c r="D210" s="628" t="s">
        <v>804</v>
      </c>
      <c r="E210" s="663" t="str">
        <f>VLOOKUP(D210,Poeng!$B$10:$R$252,Poeng!E$1,FALSE)</f>
        <v>Minimizing noise pollution in noise-sensitive areas</v>
      </c>
      <c r="F210" s="107">
        <f>VLOOKUP(D210,Poeng!$B$10:$AB$252,Poeng!AB$1,FALSE)</f>
        <v>0</v>
      </c>
      <c r="G210" s="1166">
        <f>'Assessment Issue Scoring'!G1302</f>
        <v>0</v>
      </c>
      <c r="H210" s="108">
        <f>VLOOKUP(D210,Poeng!$B$10:$AE$252,Poeng!AE$1,FALSE)</f>
        <v>0</v>
      </c>
      <c r="I210" s="109" t="str">
        <f>VLOOKUP(D210,Poeng!$B$10:$BE$252,Poeng!BE$1,FALSE)</f>
        <v>N/A</v>
      </c>
      <c r="J210" s="74"/>
      <c r="K210" s="241"/>
      <c r="L210" s="608"/>
      <c r="M210" s="623"/>
      <c r="N210" s="77"/>
      <c r="O210" s="108">
        <f>VLOOKUP(D210,Poeng!$B$10:$BC$252,Poeng!AF$1,FALSE)</f>
        <v>0</v>
      </c>
      <c r="P210" s="108" t="str">
        <f>VLOOKUP(D210,Poeng!$B$10:$BH$252,Poeng!BH$1,FALSE)</f>
        <v>N/A</v>
      </c>
      <c r="Q210" s="558"/>
      <c r="R210" s="559"/>
      <c r="S210" s="552"/>
      <c r="T210" s="276"/>
      <c r="U210" s="77"/>
      <c r="V210" s="108">
        <f>VLOOKUP(D210,Poeng!$B$10:$BC$252,Poeng!AG$1,FALSE)</f>
        <v>0</v>
      </c>
      <c r="W210" s="108" t="str">
        <f>VLOOKUP(D210,Poeng!$B$10:$BK$252,Poeng!BK$1,FALSE)</f>
        <v>N/A</v>
      </c>
      <c r="X210" s="75"/>
      <c r="Y210" s="74"/>
      <c r="Z210" s="552"/>
      <c r="AA210" s="117"/>
      <c r="AB210" s="534"/>
      <c r="AC210" s="20">
        <f t="shared" si="20"/>
        <v>2</v>
      </c>
      <c r="AD210" s="1" t="e">
        <f>VLOOKUP(K210,'Assessment Details'!$O$49:$P$52,2,FALSE)</f>
        <v>#N/A</v>
      </c>
      <c r="AE210" s="1" t="e">
        <f>VLOOKUP(R210,'Assessment Details'!$O$49:$P$52,2,FALSE)</f>
        <v>#N/A</v>
      </c>
      <c r="AF210" s="1" t="e">
        <f>VLOOKUP(Y210,'Assessment Details'!$O$49:$P$52,2,FALSE)</f>
        <v>#N/A</v>
      </c>
      <c r="AI210" s="64"/>
      <c r="AJ210" s="508"/>
      <c r="AK210" s="487"/>
      <c r="AL210" s="487"/>
      <c r="AM210" s="487"/>
      <c r="AN210" s="64"/>
      <c r="AO210" s="64"/>
      <c r="AP210" s="64"/>
      <c r="AS210" s="20"/>
      <c r="AT210" s="20"/>
      <c r="AU210" s="20"/>
      <c r="AV210" s="20"/>
      <c r="AW210" s="20"/>
      <c r="AX210" s="20"/>
      <c r="AZ210" s="534"/>
    </row>
    <row r="211" spans="1:52" ht="15.75" thickBot="1" x14ac:dyDescent="0.3">
      <c r="A211" s="1410">
        <v>202</v>
      </c>
      <c r="B211" s="1412" t="s">
        <v>66</v>
      </c>
      <c r="C211" s="805"/>
      <c r="D211" s="628" t="s">
        <v>868</v>
      </c>
      <c r="E211" s="277" t="s">
        <v>105</v>
      </c>
      <c r="F211" s="110">
        <f>Pol_Credits</f>
        <v>7</v>
      </c>
      <c r="G211" s="115"/>
      <c r="H211" s="111">
        <f>Pol_cont_tot</f>
        <v>0</v>
      </c>
      <c r="I211" s="669" t="str">
        <f>"Credits achieved: "&amp;Pol_tot_user</f>
        <v>Credits achieved: 0</v>
      </c>
      <c r="J211" s="118"/>
      <c r="K211" s="242"/>
      <c r="L211" s="560"/>
      <c r="M211" s="623"/>
      <c r="N211" s="320"/>
      <c r="O211" s="111">
        <f>VLOOKUP(D211,Poeng!$B$10:$BC$252,Poeng!AF$1,FALSE)</f>
        <v>0</v>
      </c>
      <c r="P211" s="669" t="str">
        <f>"Credits achieved: "&amp;Pol_d_user</f>
        <v>Credits achieved: 0</v>
      </c>
      <c r="Q211" s="561"/>
      <c r="R211" s="562"/>
      <c r="S211" s="560"/>
      <c r="T211" s="276"/>
      <c r="U211" s="320"/>
      <c r="V211" s="111">
        <f>VLOOKUP(D211,Poeng!$B$10:$BC$252,Poeng!AG$1,FALSE)</f>
        <v>0</v>
      </c>
      <c r="W211" s="669" t="str">
        <f>"Credits achieved: "&amp;Pol_c_user</f>
        <v>Credits achieved: 0</v>
      </c>
      <c r="X211" s="319"/>
      <c r="Y211" s="120"/>
      <c r="Z211" s="560"/>
      <c r="AA211" s="117"/>
      <c r="AB211" s="482"/>
      <c r="AC211" s="20">
        <f t="shared" si="20"/>
        <v>1</v>
      </c>
      <c r="AD211" s="238">
        <v>0</v>
      </c>
      <c r="AE211" s="238">
        <v>0</v>
      </c>
      <c r="AF211" s="238">
        <v>0</v>
      </c>
      <c r="AI211" s="64"/>
      <c r="AJ211" s="508" t="s">
        <v>105</v>
      </c>
      <c r="AK211" s="64"/>
      <c r="AL211" s="64"/>
      <c r="AM211" s="64"/>
      <c r="AN211" s="64"/>
      <c r="AO211" s="64"/>
      <c r="AP211" s="64"/>
      <c r="AS211" s="20" t="str">
        <f t="shared" si="23"/>
        <v>N/A</v>
      </c>
      <c r="AT211" s="20" t="str">
        <f t="shared" si="24"/>
        <v>N/A</v>
      </c>
      <c r="AU211" s="20" t="str">
        <f t="shared" si="25"/>
        <v>N/A</v>
      </c>
      <c r="AV211" s="20"/>
      <c r="AW211" s="20"/>
      <c r="AX211" s="20"/>
      <c r="AZ211" s="482"/>
    </row>
    <row r="212" spans="1:52" x14ac:dyDescent="0.25">
      <c r="A212" s="1410">
        <v>203</v>
      </c>
      <c r="B212" s="1412" t="s">
        <v>66</v>
      </c>
      <c r="C212" s="279"/>
      <c r="D212" s="628"/>
      <c r="E212" s="278"/>
      <c r="F212" s="279"/>
      <c r="G212" s="280"/>
      <c r="H212" s="279"/>
      <c r="I212" s="279"/>
      <c r="J212" s="281"/>
      <c r="K212" s="280"/>
      <c r="L212" s="563"/>
      <c r="M212" s="623"/>
      <c r="N212" s="282"/>
      <c r="O212" s="282"/>
      <c r="P212" s="563"/>
      <c r="Q212" s="563"/>
      <c r="R212" s="564"/>
      <c r="S212" s="563"/>
      <c r="T212" s="276"/>
      <c r="U212" s="282"/>
      <c r="V212" s="282"/>
      <c r="W212" s="563"/>
      <c r="X212" s="281"/>
      <c r="Y212" s="282"/>
      <c r="Z212" s="563"/>
      <c r="AA212" s="117"/>
      <c r="AB212" s="281"/>
      <c r="AC212" s="20">
        <f t="shared" si="20"/>
        <v>1</v>
      </c>
      <c r="AD212" s="239">
        <v>0</v>
      </c>
      <c r="AE212" s="239">
        <v>0</v>
      </c>
      <c r="AF212" s="239">
        <v>0</v>
      </c>
      <c r="AI212" s="64"/>
      <c r="AJ212" s="508"/>
      <c r="AK212" s="64"/>
      <c r="AL212" s="64"/>
      <c r="AM212" s="64"/>
      <c r="AN212" s="64"/>
      <c r="AO212" s="64"/>
      <c r="AP212" s="64"/>
      <c r="AS212" s="20" t="str">
        <f t="shared" si="23"/>
        <v>N/A</v>
      </c>
      <c r="AT212" s="20" t="str">
        <f t="shared" si="24"/>
        <v>N/A</v>
      </c>
      <c r="AU212" s="20" t="str">
        <f t="shared" si="25"/>
        <v>N/A</v>
      </c>
      <c r="AV212" s="20"/>
      <c r="AW212" s="20"/>
      <c r="AX212" s="20"/>
      <c r="AZ212" s="281"/>
    </row>
    <row r="213" spans="1:52" ht="18.75" x14ac:dyDescent="0.25">
      <c r="A213" s="1410">
        <v>204</v>
      </c>
      <c r="B213" s="1412" t="s">
        <v>805</v>
      </c>
      <c r="C213" s="806"/>
      <c r="D213" s="628"/>
      <c r="E213" s="283" t="s">
        <v>243</v>
      </c>
      <c r="F213" s="272"/>
      <c r="G213" s="273"/>
      <c r="H213" s="292"/>
      <c r="I213" s="272"/>
      <c r="J213" s="284"/>
      <c r="K213" s="285"/>
      <c r="L213" s="566"/>
      <c r="M213" s="623"/>
      <c r="N213" s="295"/>
      <c r="O213" s="288"/>
      <c r="P213" s="556"/>
      <c r="Q213" s="567"/>
      <c r="R213" s="568"/>
      <c r="S213" s="569"/>
      <c r="T213" s="276"/>
      <c r="U213" s="295"/>
      <c r="V213" s="294"/>
      <c r="W213" s="556"/>
      <c r="X213" s="284"/>
      <c r="Y213" s="294"/>
      <c r="Z213" s="566"/>
      <c r="AA213" s="117"/>
      <c r="AB213" s="293"/>
      <c r="AC213" s="20">
        <f t="shared" si="20"/>
        <v>1</v>
      </c>
      <c r="AD213" s="237">
        <v>0</v>
      </c>
      <c r="AE213" s="237">
        <v>0</v>
      </c>
      <c r="AF213" s="237">
        <v>0</v>
      </c>
      <c r="AI213" s="64"/>
      <c r="AJ213" s="508" t="s">
        <v>243</v>
      </c>
      <c r="AK213" s="64"/>
      <c r="AL213" s="64"/>
      <c r="AM213" s="64"/>
      <c r="AN213" s="64"/>
      <c r="AO213" s="64"/>
      <c r="AP213" s="64"/>
      <c r="AS213" s="20" t="str">
        <f t="shared" si="23"/>
        <v>N/A</v>
      </c>
      <c r="AT213" s="20" t="str">
        <f t="shared" si="24"/>
        <v>N/A</v>
      </c>
      <c r="AU213" s="20" t="str">
        <f t="shared" si="25"/>
        <v>N/A</v>
      </c>
      <c r="AV213" s="20"/>
      <c r="AW213" s="20"/>
      <c r="AX213" s="20"/>
      <c r="AZ213" s="293"/>
    </row>
    <row r="214" spans="1:52" x14ac:dyDescent="0.25">
      <c r="A214" s="1410">
        <v>205</v>
      </c>
      <c r="B214" s="1412" t="s">
        <v>805</v>
      </c>
      <c r="C214" s="812" t="s">
        <v>805</v>
      </c>
      <c r="D214" s="628" t="s">
        <v>184</v>
      </c>
      <c r="E214" s="275" t="str">
        <f>VLOOKUP(D214,Poeng!$B$10:$R$252,Poeng!E$1,FALSE)</f>
        <v xml:space="preserve">Inn 01 - Man 03: Reduction of direct emissions from construction sites </v>
      </c>
      <c r="F214" s="107">
        <f>Inn01_credits</f>
        <v>1</v>
      </c>
      <c r="G214" s="1166">
        <f>'Assessment Issue Scoring'!E124</f>
        <v>0</v>
      </c>
      <c r="H214" s="108">
        <f>Inn01_cont</f>
        <v>0</v>
      </c>
      <c r="I214" s="114" t="str">
        <f>Inn01_minstd</f>
        <v>N/A</v>
      </c>
      <c r="J214" s="74"/>
      <c r="K214" s="241"/>
      <c r="L214" s="552"/>
      <c r="M214" s="623"/>
      <c r="N214" s="77"/>
      <c r="O214" s="814">
        <f>VLOOKUP(D214,Poeng!$B$10:$BC$252,Poeng!AF$1,FALSE)</f>
        <v>0</v>
      </c>
      <c r="P214" s="108" t="str">
        <f>VLOOKUP(D214,Poeng!$B$10:$BH$252,Poeng!BH$1,FALSE)</f>
        <v>N/A</v>
      </c>
      <c r="Q214" s="558"/>
      <c r="R214" s="559"/>
      <c r="S214" s="552"/>
      <c r="T214" s="276"/>
      <c r="U214" s="77"/>
      <c r="V214" s="108">
        <f>VLOOKUP(D214,Poeng!$B$10:$BC$252,Poeng!AG$1,FALSE)</f>
        <v>0</v>
      </c>
      <c r="W214" s="108" t="str">
        <f>VLOOKUP(D214,Poeng!$B$10:$BK$252,Poeng!BK$1,FALSE)</f>
        <v>N/A</v>
      </c>
      <c r="X214" s="75"/>
      <c r="Y214" s="74"/>
      <c r="Z214" s="552"/>
      <c r="AA214" s="117"/>
      <c r="AB214" s="481" t="s">
        <v>14</v>
      </c>
      <c r="AC214" s="20">
        <f t="shared" ref="AC214:AC228" si="28">IF(F214="",1,IF(F214=0,2,1))</f>
        <v>1</v>
      </c>
      <c r="AD214" s="1" t="e">
        <f>VLOOKUP(K214,'Assessment Details'!$O$49:$P$52,2,FALSE)</f>
        <v>#N/A</v>
      </c>
      <c r="AE214" s="1" t="e">
        <f>VLOOKUP(R214,'Assessment Details'!$O$49:$P$52,2,FALSE)</f>
        <v>#N/A</v>
      </c>
      <c r="AF214" s="1" t="e">
        <f>VLOOKUP(Y214,'Assessment Details'!$O$49:$P$52,2,FALSE)</f>
        <v>#N/A</v>
      </c>
      <c r="AI214" s="64"/>
      <c r="AJ214" s="508" t="s">
        <v>318</v>
      </c>
      <c r="AK214" s="64"/>
      <c r="AL214" s="64"/>
      <c r="AM214" s="64"/>
      <c r="AN214" s="64"/>
      <c r="AO214" s="64"/>
      <c r="AP214" s="64"/>
      <c r="AS214" s="20" t="str">
        <f t="shared" si="23"/>
        <v>N/A</v>
      </c>
      <c r="AT214" s="20" t="str">
        <f t="shared" si="24"/>
        <v>N/A</v>
      </c>
      <c r="AU214" s="20" t="str">
        <f t="shared" si="25"/>
        <v>N/A</v>
      </c>
      <c r="AV214" s="20"/>
      <c r="AW214" s="20"/>
      <c r="AX214" s="20"/>
      <c r="AZ214" s="481"/>
    </row>
    <row r="215" spans="1:52" x14ac:dyDescent="0.25">
      <c r="A215" s="1410">
        <v>206</v>
      </c>
      <c r="B215" s="1412" t="s">
        <v>805</v>
      </c>
      <c r="C215" s="812" t="s">
        <v>805</v>
      </c>
      <c r="D215" s="628" t="s">
        <v>185</v>
      </c>
      <c r="E215" s="275" t="str">
        <f>VLOOKUP(D215,Poeng!$B$10:$R$252,Poeng!E$1,FALSE)</f>
        <v xml:space="preserve">Inn 02 - Hea 01: View out, high level </v>
      </c>
      <c r="F215" s="107">
        <f>Inn02_credits</f>
        <v>1</v>
      </c>
      <c r="G215" s="1166">
        <f>'Assessment Issue Scoring'!G198</f>
        <v>0</v>
      </c>
      <c r="H215" s="108">
        <f>Inn02_cont</f>
        <v>0</v>
      </c>
      <c r="I215" s="114" t="str">
        <f>Inn02_minstd</f>
        <v>N/A</v>
      </c>
      <c r="J215" s="74"/>
      <c r="K215" s="241"/>
      <c r="L215" s="552"/>
      <c r="M215" s="623"/>
      <c r="N215" s="77"/>
      <c r="O215" s="108">
        <f>VLOOKUP(D215,Poeng!$B$10:$BC$252,Poeng!AF$1,FALSE)</f>
        <v>0</v>
      </c>
      <c r="P215" s="108" t="str">
        <f>VLOOKUP(D215,Poeng!$B$10:$BH$252,Poeng!BH$1,FALSE)</f>
        <v>N/A</v>
      </c>
      <c r="Q215" s="558"/>
      <c r="R215" s="559"/>
      <c r="S215" s="552"/>
      <c r="T215" s="276"/>
      <c r="U215" s="77"/>
      <c r="V215" s="108">
        <f>VLOOKUP(D215,Poeng!$B$10:$BC$252,Poeng!AG$1,FALSE)</f>
        <v>0</v>
      </c>
      <c r="W215" s="108" t="str">
        <f>VLOOKUP(D215,Poeng!$B$10:$BK$252,Poeng!BK$1,FALSE)</f>
        <v>N/A</v>
      </c>
      <c r="X215" s="75"/>
      <c r="Y215" s="74"/>
      <c r="Z215" s="552"/>
      <c r="AA215" s="117"/>
      <c r="AB215" s="481" t="s">
        <v>14</v>
      </c>
      <c r="AC215" s="20">
        <f t="shared" si="28"/>
        <v>1</v>
      </c>
      <c r="AD215" s="1" t="e">
        <f>VLOOKUP(K215,'Assessment Details'!$O$49:$P$52,2,FALSE)</f>
        <v>#N/A</v>
      </c>
      <c r="AE215" s="1" t="e">
        <f>VLOOKUP(R215,'Assessment Details'!$O$49:$P$52,2,FALSE)</f>
        <v>#N/A</v>
      </c>
      <c r="AF215" s="1" t="e">
        <f>VLOOKUP(Y215,'Assessment Details'!$O$49:$P$52,2,FALSE)</f>
        <v>#N/A</v>
      </c>
      <c r="AI215" s="64"/>
      <c r="AJ215" s="508" t="s">
        <v>319</v>
      </c>
      <c r="AK215" s="64"/>
      <c r="AL215" s="64"/>
      <c r="AM215" s="64"/>
      <c r="AN215" s="64"/>
      <c r="AO215" s="64"/>
      <c r="AP215" s="64"/>
      <c r="AS215" s="20" t="str">
        <f t="shared" si="23"/>
        <v>N/A</v>
      </c>
      <c r="AT215" s="20" t="str">
        <f t="shared" si="24"/>
        <v>N/A</v>
      </c>
      <c r="AU215" s="20" t="str">
        <f t="shared" si="25"/>
        <v>N/A</v>
      </c>
      <c r="AV215" s="20"/>
      <c r="AW215" s="20"/>
      <c r="AX215" s="20"/>
      <c r="AZ215" s="481"/>
    </row>
    <row r="216" spans="1:52" x14ac:dyDescent="0.25">
      <c r="A216" s="1410">
        <v>207</v>
      </c>
      <c r="B216" s="1412" t="s">
        <v>805</v>
      </c>
      <c r="C216" s="812" t="s">
        <v>805</v>
      </c>
      <c r="D216" s="628" t="s">
        <v>186</v>
      </c>
      <c r="E216" s="275" t="str">
        <f>VLOOKUP(D216,Poeng!$B$10:$R$252,Poeng!E$1,FALSE)</f>
        <v>Inn 03 - Hea 02: Emissions from construction products</v>
      </c>
      <c r="F216" s="107">
        <f>Inn03_credits</f>
        <v>1</v>
      </c>
      <c r="G216" s="1166">
        <f>'Assessment Issue Scoring'!G224</f>
        <v>0</v>
      </c>
      <c r="H216" s="108">
        <f>Inn03_cont</f>
        <v>0</v>
      </c>
      <c r="I216" s="114" t="str">
        <f>Inn03_minstd</f>
        <v>N/A</v>
      </c>
      <c r="J216" s="74"/>
      <c r="K216" s="241"/>
      <c r="L216" s="552"/>
      <c r="M216" s="623"/>
      <c r="N216" s="77"/>
      <c r="O216" s="108">
        <f>VLOOKUP(D216,Poeng!$B$10:$BC$252,Poeng!AF$1,FALSE)</f>
        <v>0</v>
      </c>
      <c r="P216" s="108" t="str">
        <f>VLOOKUP(D216,Poeng!$B$10:$BH$252,Poeng!BH$1,FALSE)</f>
        <v>N/A</v>
      </c>
      <c r="Q216" s="558"/>
      <c r="R216" s="559"/>
      <c r="S216" s="552"/>
      <c r="T216" s="276"/>
      <c r="U216" s="77"/>
      <c r="V216" s="108">
        <f>VLOOKUP(D216,Poeng!$B$10:$BC$252,Poeng!AG$1,FALSE)</f>
        <v>0</v>
      </c>
      <c r="W216" s="108" t="str">
        <f>VLOOKUP(D216,Poeng!$B$10:$BK$252,Poeng!BK$1,FALSE)</f>
        <v>N/A</v>
      </c>
      <c r="X216" s="75"/>
      <c r="Y216" s="74"/>
      <c r="Z216" s="552"/>
      <c r="AA216" s="117"/>
      <c r="AB216" s="481" t="s">
        <v>14</v>
      </c>
      <c r="AC216" s="20">
        <f t="shared" si="28"/>
        <v>1</v>
      </c>
      <c r="AD216" s="1" t="e">
        <f>VLOOKUP(K216,'Assessment Details'!$O$49:$P$52,2,FALSE)</f>
        <v>#N/A</v>
      </c>
      <c r="AE216" s="1" t="e">
        <f>VLOOKUP(R216,'Assessment Details'!$O$49:$P$52,2,FALSE)</f>
        <v>#N/A</v>
      </c>
      <c r="AF216" s="1" t="e">
        <f>VLOOKUP(Y216,'Assessment Details'!$O$49:$P$52,2,FALSE)</f>
        <v>#N/A</v>
      </c>
      <c r="AI216" s="64"/>
      <c r="AJ216" s="508" t="s">
        <v>320</v>
      </c>
      <c r="AK216" s="64"/>
      <c r="AL216" s="64"/>
      <c r="AM216" s="64"/>
      <c r="AN216" s="64"/>
      <c r="AO216" s="64"/>
      <c r="AP216" s="64"/>
      <c r="AS216" s="20" t="str">
        <f t="shared" si="23"/>
        <v>N/A</v>
      </c>
      <c r="AT216" s="20" t="str">
        <f t="shared" si="24"/>
        <v>N/A</v>
      </c>
      <c r="AU216" s="20" t="str">
        <f t="shared" si="25"/>
        <v>N/A</v>
      </c>
      <c r="AV216" s="20"/>
      <c r="AW216" s="20"/>
      <c r="AX216" s="20"/>
      <c r="AZ216" s="481"/>
    </row>
    <row r="217" spans="1:52" x14ac:dyDescent="0.25">
      <c r="A217" s="1410">
        <v>208</v>
      </c>
      <c r="B217" s="1412" t="s">
        <v>805</v>
      </c>
      <c r="C217" s="812" t="s">
        <v>805</v>
      </c>
      <c r="D217" s="628" t="s">
        <v>187</v>
      </c>
      <c r="E217" s="275" t="str">
        <f>VLOOKUP(D217,Poeng!$B$10:$R$252,Poeng!E$1,FALSE)</f>
        <v xml:space="preserve">Inn 04 - Hea 06: Biofilik design </v>
      </c>
      <c r="F217" s="107">
        <f>Inn04_credits</f>
        <v>1</v>
      </c>
      <c r="G217" s="1166">
        <f>'Assessment Issue Scoring'!G303</f>
        <v>0</v>
      </c>
      <c r="H217" s="108">
        <f>Inn04_cont</f>
        <v>0</v>
      </c>
      <c r="I217" s="114" t="str">
        <f>Inn04_minstd</f>
        <v>N/A</v>
      </c>
      <c r="J217" s="74"/>
      <c r="K217" s="241"/>
      <c r="L217" s="552"/>
      <c r="M217" s="623"/>
      <c r="N217" s="77"/>
      <c r="O217" s="108">
        <f>VLOOKUP(D217,Poeng!$B$10:$BC$252,Poeng!AF$1,FALSE)</f>
        <v>0</v>
      </c>
      <c r="P217" s="108" t="str">
        <f>VLOOKUP(D217,Poeng!$B$10:$BH$252,Poeng!BH$1,FALSE)</f>
        <v>N/A</v>
      </c>
      <c r="Q217" s="558"/>
      <c r="R217" s="559"/>
      <c r="S217" s="552"/>
      <c r="T217" s="276"/>
      <c r="U217" s="77"/>
      <c r="V217" s="108">
        <f>VLOOKUP(D217,Poeng!$B$10:$BC$252,Poeng!AG$1,FALSE)</f>
        <v>0</v>
      </c>
      <c r="W217" s="108" t="str">
        <f>VLOOKUP(D217,Poeng!$B$10:$BK$252,Poeng!BK$1,FALSE)</f>
        <v>N/A</v>
      </c>
      <c r="X217" s="75"/>
      <c r="Y217" s="74"/>
      <c r="Z217" s="552"/>
      <c r="AA217" s="117"/>
      <c r="AB217" s="481" t="s">
        <v>14</v>
      </c>
      <c r="AC217" s="20">
        <f t="shared" si="28"/>
        <v>1</v>
      </c>
      <c r="AD217" s="1" t="e">
        <f>VLOOKUP(K217,'Assessment Details'!$O$49:$P$52,2,FALSE)</f>
        <v>#N/A</v>
      </c>
      <c r="AE217" s="1" t="e">
        <f>VLOOKUP(R217,'Assessment Details'!$O$49:$P$52,2,FALSE)</f>
        <v>#N/A</v>
      </c>
      <c r="AF217" s="1" t="e">
        <f>VLOOKUP(Y217,'Assessment Details'!$O$49:$P$52,2,FALSE)</f>
        <v>#N/A</v>
      </c>
      <c r="AI217" s="64"/>
      <c r="AJ217" s="508" t="s">
        <v>321</v>
      </c>
      <c r="AK217" s="64"/>
      <c r="AL217" s="64"/>
      <c r="AM217" s="64"/>
      <c r="AN217" s="64"/>
      <c r="AO217" s="64"/>
      <c r="AP217" s="64"/>
      <c r="AS217" s="20" t="str">
        <f t="shared" si="23"/>
        <v>N/A</v>
      </c>
      <c r="AT217" s="20" t="str">
        <f t="shared" si="24"/>
        <v>N/A</v>
      </c>
      <c r="AU217" s="20" t="str">
        <f t="shared" si="25"/>
        <v>N/A</v>
      </c>
      <c r="AV217" s="20"/>
      <c r="AW217" s="20"/>
      <c r="AX217" s="20"/>
      <c r="AZ217" s="481"/>
    </row>
    <row r="218" spans="1:52" x14ac:dyDescent="0.25">
      <c r="A218" s="1410">
        <v>209</v>
      </c>
      <c r="B218" s="1412" t="s">
        <v>805</v>
      </c>
      <c r="C218" s="812" t="s">
        <v>805</v>
      </c>
      <c r="D218" s="628" t="s">
        <v>188</v>
      </c>
      <c r="E218" s="275" t="str">
        <f>VLOOKUP(D218,Poeng!$B$10:$R$252,Poeng!E$1,FALSE)</f>
        <v xml:space="preserve">Inn 05 - Ene 01: Post-occupancy stage </v>
      </c>
      <c r="F218" s="107">
        <f>Inn05_credits</f>
        <v>2</v>
      </c>
      <c r="G218" s="1166">
        <f>'Assessment Issue Scoring'!G354</f>
        <v>0</v>
      </c>
      <c r="H218" s="108">
        <f>Inn05_cont</f>
        <v>0</v>
      </c>
      <c r="I218" s="114" t="str">
        <f>Inn05_minstd</f>
        <v>N/A</v>
      </c>
      <c r="J218" s="74"/>
      <c r="K218" s="241"/>
      <c r="L218" s="552"/>
      <c r="M218" s="623"/>
      <c r="N218" s="77"/>
      <c r="O218" s="108">
        <f>VLOOKUP(D218,Poeng!$B$10:$BC$252,Poeng!AF$1,FALSE)</f>
        <v>0</v>
      </c>
      <c r="P218" s="108" t="str">
        <f>VLOOKUP(D218,Poeng!$B$10:$BH$252,Poeng!BH$1,FALSE)</f>
        <v>N/A</v>
      </c>
      <c r="Q218" s="558"/>
      <c r="R218" s="559"/>
      <c r="S218" s="552"/>
      <c r="T218" s="276"/>
      <c r="U218" s="77"/>
      <c r="V218" s="108">
        <f>VLOOKUP(D218,Poeng!$B$10:$BC$252,Poeng!AG$1,FALSE)</f>
        <v>0</v>
      </c>
      <c r="W218" s="108" t="str">
        <f>VLOOKUP(D218,Poeng!$B$10:$BK$252,Poeng!BK$1,FALSE)</f>
        <v>N/A</v>
      </c>
      <c r="X218" s="75"/>
      <c r="Y218" s="74"/>
      <c r="Z218" s="552"/>
      <c r="AA218" s="117"/>
      <c r="AB218" s="481" t="s">
        <v>14</v>
      </c>
      <c r="AC218" s="20">
        <f t="shared" si="28"/>
        <v>1</v>
      </c>
      <c r="AD218" s="1" t="e">
        <f>VLOOKUP(K218,'Assessment Details'!$O$49:$P$52,2,FALSE)</f>
        <v>#N/A</v>
      </c>
      <c r="AE218" s="1" t="e">
        <f>VLOOKUP(R218,'Assessment Details'!$O$49:$P$52,2,FALSE)</f>
        <v>#N/A</v>
      </c>
      <c r="AF218" s="1" t="e">
        <f>VLOOKUP(Y218,'Assessment Details'!$O$49:$P$52,2,FALSE)</f>
        <v>#N/A</v>
      </c>
      <c r="AI218" s="64"/>
      <c r="AJ218" s="508" t="s">
        <v>237</v>
      </c>
      <c r="AK218" s="64"/>
      <c r="AL218" s="64"/>
      <c r="AM218" s="64"/>
      <c r="AN218" s="64"/>
      <c r="AO218" s="64"/>
      <c r="AP218" s="64"/>
      <c r="AS218" s="20" t="str">
        <f t="shared" si="23"/>
        <v>N/A</v>
      </c>
      <c r="AT218" s="20" t="str">
        <f t="shared" si="24"/>
        <v>N/A</v>
      </c>
      <c r="AU218" s="20" t="str">
        <f t="shared" si="25"/>
        <v>N/A</v>
      </c>
      <c r="AV218" s="20"/>
      <c r="AW218" s="20"/>
      <c r="AX218" s="20"/>
      <c r="AZ218" s="481"/>
    </row>
    <row r="219" spans="1:52" x14ac:dyDescent="0.25">
      <c r="A219" s="1410">
        <v>210</v>
      </c>
      <c r="B219" s="1412" t="s">
        <v>805</v>
      </c>
      <c r="C219" s="812" t="s">
        <v>805</v>
      </c>
      <c r="D219" s="628" t="s">
        <v>189</v>
      </c>
      <c r="E219" s="275" t="str">
        <f>VLOOKUP(D219,Poeng!$B$10:$R$252,Poeng!E$1,FALSE)</f>
        <v xml:space="preserve">Inn 06 - Ene 01: Plus house </v>
      </c>
      <c r="F219" s="107">
        <f>Inn06_credits</f>
        <v>1</v>
      </c>
      <c r="G219" s="1166">
        <f>'Assessment Issue Scoring'!G355</f>
        <v>0</v>
      </c>
      <c r="H219" s="108">
        <f>Inn06_cont</f>
        <v>0</v>
      </c>
      <c r="I219" s="114" t="str">
        <f>Inn06_minstd</f>
        <v>N/A</v>
      </c>
      <c r="J219" s="74"/>
      <c r="K219" s="241"/>
      <c r="L219" s="552"/>
      <c r="M219" s="623"/>
      <c r="N219" s="77"/>
      <c r="O219" s="108">
        <f>VLOOKUP(D219,Poeng!$B$10:$BC$252,Poeng!AF$1,FALSE)</f>
        <v>0</v>
      </c>
      <c r="P219" s="108" t="str">
        <f>VLOOKUP(D219,Poeng!$B$10:$BH$252,Poeng!BH$1,FALSE)</f>
        <v>N/A</v>
      </c>
      <c r="Q219" s="558"/>
      <c r="R219" s="559"/>
      <c r="S219" s="552"/>
      <c r="T219" s="276"/>
      <c r="U219" s="77"/>
      <c r="V219" s="108">
        <f>VLOOKUP(D219,Poeng!$B$10:$BC$252,Poeng!AG$1,FALSE)</f>
        <v>0</v>
      </c>
      <c r="W219" s="108" t="str">
        <f>VLOOKUP(D219,Poeng!$B$10:$BK$252,Poeng!BK$1,FALSE)</f>
        <v>N/A</v>
      </c>
      <c r="X219" s="75"/>
      <c r="Y219" s="74"/>
      <c r="Z219" s="552"/>
      <c r="AA219" s="117"/>
      <c r="AB219" s="481" t="s">
        <v>14</v>
      </c>
      <c r="AC219" s="20">
        <f t="shared" si="28"/>
        <v>1</v>
      </c>
      <c r="AD219" s="1" t="e">
        <f>VLOOKUP(K219,'Assessment Details'!$O$49:$P$52,2,FALSE)</f>
        <v>#N/A</v>
      </c>
      <c r="AE219" s="1" t="e">
        <f>VLOOKUP(R219,'Assessment Details'!$O$49:$P$52,2,FALSE)</f>
        <v>#N/A</v>
      </c>
      <c r="AF219" s="1" t="e">
        <f>VLOOKUP(Y219,'Assessment Details'!$O$49:$P$52,2,FALSE)</f>
        <v>#N/A</v>
      </c>
      <c r="AI219" s="64"/>
      <c r="AJ219" s="508" t="s">
        <v>238</v>
      </c>
      <c r="AK219" s="64"/>
      <c r="AL219" s="64"/>
      <c r="AM219" s="64"/>
      <c r="AN219" s="64"/>
      <c r="AO219" s="64"/>
      <c r="AP219" s="64"/>
      <c r="AS219" s="20" t="str">
        <f t="shared" si="23"/>
        <v>N/A</v>
      </c>
      <c r="AT219" s="20" t="str">
        <f t="shared" si="24"/>
        <v>N/A</v>
      </c>
      <c r="AU219" s="20" t="str">
        <f t="shared" si="25"/>
        <v>N/A</v>
      </c>
      <c r="AV219" s="20"/>
      <c r="AW219" s="20"/>
      <c r="AX219" s="20"/>
      <c r="AZ219" s="481"/>
    </row>
    <row r="220" spans="1:52" x14ac:dyDescent="0.25">
      <c r="A220" s="1410">
        <v>211</v>
      </c>
      <c r="B220" s="1412" t="s">
        <v>805</v>
      </c>
      <c r="C220" s="812" t="s">
        <v>805</v>
      </c>
      <c r="D220" s="628" t="s">
        <v>190</v>
      </c>
      <c r="E220" s="275" t="str">
        <f>VLOOKUP(D220,Poeng!$B$10:$R$252,Poeng!E$1,FALSE)</f>
        <v>Inn 07 - Wat 01: Highly water efficient components</v>
      </c>
      <c r="F220" s="107">
        <f>Inn07_credits</f>
        <v>1</v>
      </c>
      <c r="G220" s="1166">
        <f>'Assessment Issue Scoring'!E632</f>
        <v>0</v>
      </c>
      <c r="H220" s="108">
        <f>Inn07_cont</f>
        <v>0</v>
      </c>
      <c r="I220" s="114" t="str">
        <f>Inn07_minstd</f>
        <v>N/A</v>
      </c>
      <c r="J220" s="74"/>
      <c r="K220" s="241"/>
      <c r="L220" s="552"/>
      <c r="M220" s="623"/>
      <c r="N220" s="77"/>
      <c r="O220" s="108">
        <f>VLOOKUP(D220,Poeng!$B$10:$BC$252,Poeng!AF$1,FALSE)</f>
        <v>0</v>
      </c>
      <c r="P220" s="108" t="str">
        <f>VLOOKUP(D220,Poeng!$B$10:$BH$252,Poeng!BH$1,FALSE)</f>
        <v>N/A</v>
      </c>
      <c r="Q220" s="558"/>
      <c r="R220" s="559"/>
      <c r="S220" s="552"/>
      <c r="T220" s="276"/>
      <c r="U220" s="77"/>
      <c r="V220" s="108">
        <f>VLOOKUP(D220,Poeng!$B$10:$BC$252,Poeng!AG$1,FALSE)</f>
        <v>0</v>
      </c>
      <c r="W220" s="108" t="str">
        <f>VLOOKUP(D220,Poeng!$B$10:$BK$252,Poeng!BK$1,FALSE)</f>
        <v>N/A</v>
      </c>
      <c r="X220" s="75"/>
      <c r="Y220" s="74"/>
      <c r="Z220" s="552"/>
      <c r="AA220" s="117"/>
      <c r="AB220" s="481" t="s">
        <v>14</v>
      </c>
      <c r="AC220" s="20">
        <f t="shared" si="28"/>
        <v>1</v>
      </c>
      <c r="AD220" s="1" t="e">
        <f>VLOOKUP(K220,'Assessment Details'!$O$49:$P$52,2,FALSE)</f>
        <v>#N/A</v>
      </c>
      <c r="AE220" s="1" t="e">
        <f>VLOOKUP(R220,'Assessment Details'!$O$49:$P$52,2,FALSE)</f>
        <v>#N/A</v>
      </c>
      <c r="AF220" s="1" t="e">
        <f>VLOOKUP(Y220,'Assessment Details'!$O$49:$P$52,2,FALSE)</f>
        <v>#N/A</v>
      </c>
      <c r="AI220" s="64"/>
      <c r="AJ220" s="508" t="s">
        <v>322</v>
      </c>
      <c r="AK220" s="64"/>
      <c r="AL220" s="64"/>
      <c r="AM220" s="64"/>
      <c r="AN220" s="64"/>
      <c r="AO220" s="64"/>
      <c r="AP220" s="64"/>
      <c r="AS220" s="20" t="str">
        <f t="shared" si="23"/>
        <v>N/A</v>
      </c>
      <c r="AT220" s="20" t="str">
        <f t="shared" si="24"/>
        <v>N/A</v>
      </c>
      <c r="AU220" s="20" t="str">
        <f t="shared" si="25"/>
        <v>N/A</v>
      </c>
      <c r="AV220" s="20"/>
      <c r="AW220" s="20"/>
      <c r="AX220" s="20"/>
      <c r="AZ220" s="481"/>
    </row>
    <row r="221" spans="1:52" x14ac:dyDescent="0.25">
      <c r="A221" s="1410">
        <v>212</v>
      </c>
      <c r="B221" s="1412" t="s">
        <v>805</v>
      </c>
      <c r="C221" s="812" t="s">
        <v>805</v>
      </c>
      <c r="D221" s="628" t="s">
        <v>212</v>
      </c>
      <c r="E221" s="275" t="str">
        <f>VLOOKUP(D221,Poeng!$B$10:$R$252,Poeng!E$1,FALSE)</f>
        <v xml:space="preserve">Inn 08 - Mat 01: 60% reduction of greenhouse gas emission </v>
      </c>
      <c r="F221" s="107">
        <f>Inn08_credits</f>
        <v>1</v>
      </c>
      <c r="G221" s="1166">
        <f>'Assessment Issue Scoring'!E747</f>
        <v>0</v>
      </c>
      <c r="H221" s="108">
        <f>Inn08_cont</f>
        <v>0</v>
      </c>
      <c r="I221" s="114" t="str">
        <f>Inn08_minstd</f>
        <v>N/A</v>
      </c>
      <c r="J221" s="74"/>
      <c r="K221" s="241"/>
      <c r="L221" s="552"/>
      <c r="M221" s="623"/>
      <c r="N221" s="77"/>
      <c r="O221" s="108">
        <f>VLOOKUP(D221,Poeng!$B$10:$BC$252,Poeng!AF$1,FALSE)</f>
        <v>0</v>
      </c>
      <c r="P221" s="108" t="str">
        <f>VLOOKUP(D221,Poeng!$B$10:$BH$252,Poeng!BH$1,FALSE)</f>
        <v>N/A</v>
      </c>
      <c r="Q221" s="558"/>
      <c r="R221" s="559"/>
      <c r="S221" s="552"/>
      <c r="T221" s="276"/>
      <c r="U221" s="77"/>
      <c r="V221" s="108">
        <f>VLOOKUP(D221,Poeng!$B$10:$BC$252,Poeng!AG$1,FALSE)</f>
        <v>0</v>
      </c>
      <c r="W221" s="108" t="str">
        <f>VLOOKUP(D221,Poeng!$B$10:$BK$252,Poeng!BK$1,FALSE)</f>
        <v>N/A</v>
      </c>
      <c r="X221" s="75"/>
      <c r="Y221" s="74"/>
      <c r="Z221" s="552"/>
      <c r="AA221" s="117"/>
      <c r="AB221" s="481" t="s">
        <v>14</v>
      </c>
      <c r="AC221" s="20">
        <f t="shared" si="28"/>
        <v>1</v>
      </c>
      <c r="AD221" s="1" t="e">
        <f>VLOOKUP(K221,'Assessment Details'!$O$49:$P$52,2,FALSE)</f>
        <v>#N/A</v>
      </c>
      <c r="AE221" s="1" t="e">
        <f>VLOOKUP(R221,'Assessment Details'!$O$49:$P$52,2,FALSE)</f>
        <v>#N/A</v>
      </c>
      <c r="AF221" s="1" t="e">
        <f>VLOOKUP(Y221,'Assessment Details'!$O$49:$P$52,2,FALSE)</f>
        <v>#N/A</v>
      </c>
      <c r="AI221" s="64"/>
      <c r="AJ221" s="508" t="s">
        <v>381</v>
      </c>
      <c r="AK221" s="64"/>
      <c r="AL221" s="64"/>
      <c r="AM221" s="64"/>
      <c r="AN221" s="64"/>
      <c r="AO221" s="64"/>
      <c r="AP221" s="64"/>
      <c r="AS221" s="20" t="str">
        <f t="shared" si="23"/>
        <v>N/A</v>
      </c>
      <c r="AT221" s="20" t="str">
        <f t="shared" si="24"/>
        <v>N/A</v>
      </c>
      <c r="AU221" s="20" t="str">
        <f t="shared" si="25"/>
        <v>N/A</v>
      </c>
      <c r="AV221" s="20"/>
      <c r="AW221" s="20"/>
      <c r="AX221" s="20"/>
      <c r="AZ221" s="481"/>
    </row>
    <row r="222" spans="1:52" ht="34.5" customHeight="1" x14ac:dyDescent="0.25">
      <c r="A222" s="1410">
        <v>213</v>
      </c>
      <c r="B222" s="1412" t="s">
        <v>805</v>
      </c>
      <c r="C222" s="813" t="s">
        <v>805</v>
      </c>
      <c r="D222" s="628" t="s">
        <v>242</v>
      </c>
      <c r="E222" s="296" t="str">
        <f>VLOOKUP(D222,Poeng!$B$10:$R$252,Poeng!E$1,FALSE)</f>
        <v>Inn 09 - Mat 06: FutureBuilt criteria set for circular buildings, point 2.3 reuse of building components</v>
      </c>
      <c r="F222" s="107">
        <f>Inn09_credits</f>
        <v>1</v>
      </c>
      <c r="G222" s="1166">
        <f>'Assessment Issue Scoring'!G852</f>
        <v>0</v>
      </c>
      <c r="H222" s="108">
        <f>Inn09_cont</f>
        <v>0</v>
      </c>
      <c r="I222" s="114" t="str">
        <f>Inn09_minstd</f>
        <v>N/A</v>
      </c>
      <c r="J222" s="74"/>
      <c r="K222" s="241"/>
      <c r="L222" s="552"/>
      <c r="M222" s="623"/>
      <c r="N222" s="77"/>
      <c r="O222" s="108">
        <f>VLOOKUP(D222,Poeng!$B$10:$BC$252,Poeng!AF$1,FALSE)</f>
        <v>0</v>
      </c>
      <c r="P222" s="108" t="str">
        <f>VLOOKUP(D222,Poeng!$B$10:$BH$252,Poeng!BH$1,FALSE)</f>
        <v>N/A</v>
      </c>
      <c r="Q222" s="558"/>
      <c r="R222" s="559"/>
      <c r="S222" s="552"/>
      <c r="T222" s="276"/>
      <c r="U222" s="77"/>
      <c r="V222" s="108">
        <f>VLOOKUP(D222,Poeng!$B$10:$BC$252,Poeng!AG$1,FALSE)</f>
        <v>0</v>
      </c>
      <c r="W222" s="108" t="str">
        <f>VLOOKUP(D222,Poeng!$B$10:$BK$252,Poeng!BK$1,FALSE)</f>
        <v>N/A</v>
      </c>
      <c r="X222" s="75"/>
      <c r="Y222" s="74"/>
      <c r="Z222" s="552"/>
      <c r="AA222" s="117"/>
      <c r="AB222" s="481" t="s">
        <v>14</v>
      </c>
      <c r="AC222" s="20">
        <f t="shared" si="28"/>
        <v>1</v>
      </c>
      <c r="AD222" s="1" t="e">
        <f>VLOOKUP(K222,'Assessment Details'!$O$49:$P$52,2,FALSE)</f>
        <v>#N/A</v>
      </c>
      <c r="AE222" s="1" t="e">
        <f>VLOOKUP(R222,'Assessment Details'!$O$49:$P$52,2,FALSE)</f>
        <v>#N/A</v>
      </c>
      <c r="AF222" s="1" t="e">
        <f>VLOOKUP(Y222,'Assessment Details'!$O$49:$P$52,2,FALSE)</f>
        <v>#N/A</v>
      </c>
      <c r="AI222" s="64"/>
      <c r="AJ222" s="508" t="s">
        <v>323</v>
      </c>
      <c r="AK222" s="64"/>
      <c r="AL222" s="64"/>
      <c r="AM222" s="64"/>
      <c r="AN222" s="64"/>
      <c r="AO222" s="64"/>
      <c r="AP222" s="64"/>
      <c r="AS222" s="20" t="str">
        <f t="shared" si="23"/>
        <v>N/A</v>
      </c>
      <c r="AT222" s="20" t="str">
        <f t="shared" si="24"/>
        <v>N/A</v>
      </c>
      <c r="AU222" s="20" t="str">
        <f t="shared" si="25"/>
        <v>N/A</v>
      </c>
      <c r="AV222" s="20"/>
      <c r="AW222" s="20"/>
      <c r="AX222" s="20"/>
      <c r="AZ222" s="481"/>
    </row>
    <row r="223" spans="1:52" x14ac:dyDescent="0.25">
      <c r="A223" s="1410">
        <v>214</v>
      </c>
      <c r="B223" s="1412" t="s">
        <v>805</v>
      </c>
      <c r="C223" s="812" t="s">
        <v>805</v>
      </c>
      <c r="D223" s="628" t="s">
        <v>453</v>
      </c>
      <c r="E223" s="275" t="str">
        <f>VLOOKUP(D223,Poeng!$B$10:$R$252,Poeng!E$1,FALSE)</f>
        <v xml:space="preserve">Inn 10 - Wst 01: Especially low amount of construction waste </v>
      </c>
      <c r="F223" s="533">
        <f>Inn10_credits</f>
        <v>1</v>
      </c>
      <c r="G223" s="1166">
        <f>'Assessment Issue Scoring'!G916</f>
        <v>0</v>
      </c>
      <c r="H223" s="108">
        <f>Inn10_cont</f>
        <v>0</v>
      </c>
      <c r="I223" s="114" t="str">
        <f>Inn10_minstd</f>
        <v>N/A</v>
      </c>
      <c r="J223" s="74"/>
      <c r="K223" s="241"/>
      <c r="L223" s="552"/>
      <c r="M223" s="623"/>
      <c r="N223" s="77"/>
      <c r="O223" s="108">
        <f>VLOOKUP(D223,Poeng!$B$10:$BC$252,Poeng!AF$1,FALSE)</f>
        <v>0</v>
      </c>
      <c r="P223" s="108" t="str">
        <f>VLOOKUP(D223,Poeng!$B$10:$BH$252,Poeng!BH$1,FALSE)</f>
        <v>N/A</v>
      </c>
      <c r="Q223" s="558"/>
      <c r="R223" s="559"/>
      <c r="S223" s="552"/>
      <c r="T223" s="276"/>
      <c r="U223" s="77"/>
      <c r="V223" s="108">
        <f>VLOOKUP(D223,Poeng!$B$10:$BC$252,Poeng!AG$1,FALSE)</f>
        <v>0</v>
      </c>
      <c r="W223" s="108" t="str">
        <f>VLOOKUP(D223,Poeng!$B$10:$BK$252,Poeng!BK$1,FALSE)</f>
        <v>N/A</v>
      </c>
      <c r="X223" s="75"/>
      <c r="Y223" s="74"/>
      <c r="Z223" s="552"/>
      <c r="AA223" s="117"/>
      <c r="AB223" s="534"/>
      <c r="AC223" s="20">
        <f t="shared" si="28"/>
        <v>1</v>
      </c>
      <c r="AD223" s="1" t="e">
        <f>VLOOKUP(K223,'Assessment Details'!$O$49:$P$52,2,FALSE)</f>
        <v>#N/A</v>
      </c>
      <c r="AE223" s="1" t="e">
        <f>VLOOKUP(R223,'Assessment Details'!$O$49:$P$52,2,FALSE)</f>
        <v>#N/A</v>
      </c>
      <c r="AF223" s="1" t="e">
        <f>VLOOKUP(Y223,'Assessment Details'!$O$49:$P$52,2,FALSE)</f>
        <v>#N/A</v>
      </c>
      <c r="AI223" s="64"/>
      <c r="AJ223" s="508"/>
      <c r="AK223" s="64"/>
      <c r="AL223" s="64"/>
      <c r="AM223" s="64"/>
      <c r="AN223" s="64"/>
      <c r="AO223" s="64"/>
      <c r="AP223" s="64"/>
      <c r="AS223" s="20"/>
      <c r="AT223" s="20"/>
      <c r="AU223" s="20"/>
      <c r="AV223" s="20"/>
      <c r="AW223" s="20"/>
      <c r="AX223" s="20"/>
      <c r="AZ223" s="534"/>
    </row>
    <row r="224" spans="1:52" x14ac:dyDescent="0.25">
      <c r="A224" s="1410">
        <v>215</v>
      </c>
      <c r="B224" s="1412" t="s">
        <v>805</v>
      </c>
      <c r="C224" s="812" t="s">
        <v>805</v>
      </c>
      <c r="D224" s="628" t="s">
        <v>454</v>
      </c>
      <c r="E224" s="275" t="str">
        <f>VLOOKUP(D224,Poeng!$B$10:$R$252,Poeng!E$1,FALSE)</f>
        <v>Inn 11 - LE 02: Wider sustainability for the site</v>
      </c>
      <c r="F224" s="533">
        <f>Inn11_credits</f>
        <v>1</v>
      </c>
      <c r="G224" s="1166">
        <f>'Assessment Issue Scoring'!G1022</f>
        <v>0</v>
      </c>
      <c r="H224" s="108">
        <f>Inn11_cont</f>
        <v>0</v>
      </c>
      <c r="I224" s="114" t="str">
        <f>Inn11_minstd</f>
        <v>N/A</v>
      </c>
      <c r="J224" s="74"/>
      <c r="K224" s="241"/>
      <c r="L224" s="552"/>
      <c r="M224" s="623"/>
      <c r="N224" s="77"/>
      <c r="O224" s="108">
        <f>VLOOKUP(D224,Poeng!$B$10:$BC$252,Poeng!AF$1,FALSE)</f>
        <v>0</v>
      </c>
      <c r="P224" s="108" t="str">
        <f>VLOOKUP(D224,Poeng!$B$10:$BH$252,Poeng!BH$1,FALSE)</f>
        <v>N/A</v>
      </c>
      <c r="Q224" s="558"/>
      <c r="R224" s="559"/>
      <c r="S224" s="552"/>
      <c r="T224" s="276"/>
      <c r="U224" s="77"/>
      <c r="V224" s="108">
        <f>VLOOKUP(D224,Poeng!$B$10:$BC$252,Poeng!AG$1,FALSE)</f>
        <v>0</v>
      </c>
      <c r="W224" s="108" t="str">
        <f>VLOOKUP(D224,Poeng!$B$10:$BK$252,Poeng!BK$1,FALSE)</f>
        <v>N/A</v>
      </c>
      <c r="X224" s="75"/>
      <c r="Y224" s="74"/>
      <c r="Z224" s="552"/>
      <c r="AA224" s="117"/>
      <c r="AB224" s="534"/>
      <c r="AC224" s="20">
        <f t="shared" si="28"/>
        <v>1</v>
      </c>
      <c r="AD224" s="1" t="e">
        <f>VLOOKUP(K224,'Assessment Details'!$O$49:$P$52,2,FALSE)</f>
        <v>#N/A</v>
      </c>
      <c r="AE224" s="1" t="e">
        <f>VLOOKUP(R224,'Assessment Details'!$O$49:$P$52,2,FALSE)</f>
        <v>#N/A</v>
      </c>
      <c r="AF224" s="1" t="e">
        <f>VLOOKUP(Y224,'Assessment Details'!$O$49:$P$52,2,FALSE)</f>
        <v>#N/A</v>
      </c>
      <c r="AI224" s="64"/>
      <c r="AJ224" s="508"/>
      <c r="AK224" s="64"/>
      <c r="AL224" s="64"/>
      <c r="AM224" s="64"/>
      <c r="AN224" s="64"/>
      <c r="AO224" s="64"/>
      <c r="AP224" s="64"/>
      <c r="AS224" s="20"/>
      <c r="AT224" s="20"/>
      <c r="AU224" s="20"/>
      <c r="AV224" s="20"/>
      <c r="AW224" s="20"/>
      <c r="AX224" s="20"/>
      <c r="AZ224" s="534"/>
    </row>
    <row r="225" spans="1:52" x14ac:dyDescent="0.25">
      <c r="A225" s="1410">
        <v>216</v>
      </c>
      <c r="B225" s="1412" t="s">
        <v>805</v>
      </c>
      <c r="C225" s="812" t="s">
        <v>805</v>
      </c>
      <c r="D225" s="628" t="s">
        <v>455</v>
      </c>
      <c r="E225" s="275" t="str">
        <f>VLOOKUP(D225,Poeng!$B$10:$R$252,Poeng!E$1,FALSE)</f>
        <v>Inn 12 - LE 04: Significant net gain of biodiversity</v>
      </c>
      <c r="F225" s="533">
        <f>Inn12_credits</f>
        <v>1</v>
      </c>
      <c r="G225" s="1166">
        <f>'Assessment Issue Scoring'!G1074</f>
        <v>0</v>
      </c>
      <c r="H225" s="108">
        <f>Inn12_cont</f>
        <v>0</v>
      </c>
      <c r="I225" s="114" t="str">
        <f>Inn12_minstd</f>
        <v>N/A</v>
      </c>
      <c r="J225" s="74"/>
      <c r="K225" s="241"/>
      <c r="L225" s="552"/>
      <c r="M225" s="623"/>
      <c r="N225" s="77"/>
      <c r="O225" s="108">
        <f>VLOOKUP(D225,Poeng!$B$10:$BC$252,Poeng!AF$1,FALSE)</f>
        <v>0</v>
      </c>
      <c r="P225" s="108" t="str">
        <f>VLOOKUP(D225,Poeng!$B$10:$BH$252,Poeng!BH$1,FALSE)</f>
        <v>N/A</v>
      </c>
      <c r="Q225" s="558"/>
      <c r="R225" s="559"/>
      <c r="S225" s="552"/>
      <c r="T225" s="276"/>
      <c r="U225" s="77"/>
      <c r="V225" s="108">
        <f>VLOOKUP(D225,Poeng!$B$10:$BC$252,Poeng!AG$1,FALSE)</f>
        <v>0</v>
      </c>
      <c r="W225" s="108" t="str">
        <f>VLOOKUP(D225,Poeng!$B$10:$BK$252,Poeng!BK$1,FALSE)</f>
        <v>N/A</v>
      </c>
      <c r="X225" s="75"/>
      <c r="Y225" s="74"/>
      <c r="Z225" s="552"/>
      <c r="AA225" s="117"/>
      <c r="AB225" s="534"/>
      <c r="AC225" s="20">
        <f t="shared" si="28"/>
        <v>1</v>
      </c>
      <c r="AD225" s="1" t="e">
        <f>VLOOKUP(K225,'Assessment Details'!$O$49:$P$52,2,FALSE)</f>
        <v>#N/A</v>
      </c>
      <c r="AE225" s="1" t="e">
        <f>VLOOKUP(R225,'Assessment Details'!$O$49:$P$52,2,FALSE)</f>
        <v>#N/A</v>
      </c>
      <c r="AF225" s="1" t="e">
        <f>VLOOKUP(Y225,'Assessment Details'!$O$49:$P$52,2,FALSE)</f>
        <v>#N/A</v>
      </c>
      <c r="AI225" s="64"/>
      <c r="AJ225" s="508"/>
      <c r="AK225" s="64"/>
      <c r="AL225" s="64"/>
      <c r="AM225" s="64"/>
      <c r="AN225" s="64"/>
      <c r="AO225" s="64"/>
      <c r="AP225" s="64"/>
      <c r="AS225" s="20"/>
      <c r="AT225" s="20"/>
      <c r="AU225" s="20"/>
      <c r="AV225" s="20"/>
      <c r="AW225" s="20"/>
      <c r="AX225" s="20"/>
      <c r="AZ225" s="534"/>
    </row>
    <row r="226" spans="1:52" x14ac:dyDescent="0.25">
      <c r="A226" s="1410">
        <v>217</v>
      </c>
      <c r="B226" s="1412" t="s">
        <v>805</v>
      </c>
      <c r="C226" s="812" t="s">
        <v>805</v>
      </c>
      <c r="D226" s="628" t="s">
        <v>456</v>
      </c>
      <c r="E226" s="275" t="str">
        <f>VLOOKUP(D226,Poeng!$B$10:$R$252,Poeng!E$1,FALSE)</f>
        <v>Inn 13 - LE 06: Responding to climate change</v>
      </c>
      <c r="F226" s="533">
        <f>Inn13_credits</f>
        <v>1</v>
      </c>
      <c r="G226" s="1166">
        <f>'Assessment Issue Scoring'!G1129</f>
        <v>0</v>
      </c>
      <c r="H226" s="108">
        <f>Inn13_cont</f>
        <v>0</v>
      </c>
      <c r="I226" s="114" t="str">
        <f>Inn13_minstd</f>
        <v>N/A</v>
      </c>
      <c r="J226" s="74"/>
      <c r="K226" s="241"/>
      <c r="L226" s="552"/>
      <c r="M226" s="623"/>
      <c r="N226" s="77"/>
      <c r="O226" s="108">
        <f>VLOOKUP(D226,Poeng!$B$10:$BC$252,Poeng!AF$1,FALSE)</f>
        <v>0</v>
      </c>
      <c r="P226" s="108" t="str">
        <f>VLOOKUP(D226,Poeng!$B$10:$BH$252,Poeng!BH$1,FALSE)</f>
        <v>N/A</v>
      </c>
      <c r="Q226" s="558"/>
      <c r="R226" s="559"/>
      <c r="S226" s="552"/>
      <c r="T226" s="276"/>
      <c r="U226" s="77"/>
      <c r="V226" s="108">
        <f>VLOOKUP(D226,Poeng!$B$10:$BC$252,Poeng!AG$1,FALSE)</f>
        <v>0</v>
      </c>
      <c r="W226" s="108" t="str">
        <f>VLOOKUP(D226,Poeng!$B$10:$BK$252,Poeng!BK$1,FALSE)</f>
        <v>N/A</v>
      </c>
      <c r="X226" s="75"/>
      <c r="Y226" s="74"/>
      <c r="Z226" s="552"/>
      <c r="AA226" s="117"/>
      <c r="AB226" s="534"/>
      <c r="AC226" s="20">
        <f t="shared" si="28"/>
        <v>1</v>
      </c>
      <c r="AD226" s="1" t="e">
        <f>VLOOKUP(K226,'Assessment Details'!$O$49:$P$52,2,FALSE)</f>
        <v>#N/A</v>
      </c>
      <c r="AE226" s="1" t="e">
        <f>VLOOKUP(R226,'Assessment Details'!$O$49:$P$52,2,FALSE)</f>
        <v>#N/A</v>
      </c>
      <c r="AF226" s="1" t="e">
        <f>VLOOKUP(Y226,'Assessment Details'!$O$49:$P$52,2,FALSE)</f>
        <v>#N/A</v>
      </c>
      <c r="AI226" s="64"/>
      <c r="AJ226" s="508"/>
      <c r="AK226" s="64"/>
      <c r="AL226" s="64"/>
      <c r="AM226" s="64"/>
      <c r="AN226" s="64"/>
      <c r="AO226" s="64"/>
      <c r="AP226" s="64"/>
      <c r="AS226" s="20"/>
      <c r="AT226" s="20"/>
      <c r="AU226" s="20"/>
      <c r="AV226" s="20"/>
      <c r="AW226" s="20"/>
      <c r="AX226" s="20"/>
      <c r="AZ226" s="534"/>
    </row>
    <row r="227" spans="1:52" x14ac:dyDescent="0.25">
      <c r="A227" s="1410">
        <v>218</v>
      </c>
      <c r="B227" s="1412" t="s">
        <v>805</v>
      </c>
      <c r="C227" s="803" t="s">
        <v>805</v>
      </c>
      <c r="D227" s="628" t="s">
        <v>678</v>
      </c>
      <c r="E227" s="275" t="str">
        <f>VLOOKUP(D227,Poeng!$B$10:$R$252,Poeng!E$1,FALSE)</f>
        <v>Inn 14 - LE 08: Wider approach to surface water management</v>
      </c>
      <c r="F227" s="533">
        <f>Poeng!AB230</f>
        <v>1</v>
      </c>
      <c r="G227" s="1166">
        <f>'Assessment Issue Scoring'!G1184</f>
        <v>0</v>
      </c>
      <c r="H227" s="664">
        <f>Poeng!AE230</f>
        <v>0</v>
      </c>
      <c r="I227" s="665" t="str">
        <f>Poeng!BE230</f>
        <v>N/A</v>
      </c>
      <c r="J227" s="74"/>
      <c r="K227" s="241"/>
      <c r="L227" s="552"/>
      <c r="M227" s="623"/>
      <c r="N227" s="77"/>
      <c r="O227" s="108">
        <f>VLOOKUP(D227,Poeng!$B$10:$BC$252,Poeng!AF$1,FALSE)</f>
        <v>0</v>
      </c>
      <c r="P227" s="108" t="str">
        <f>VLOOKUP(D227,Poeng!$B$10:$BH$252,Poeng!BH$1,FALSE)</f>
        <v>N/A</v>
      </c>
      <c r="Q227" s="558"/>
      <c r="R227" s="559"/>
      <c r="S227" s="552"/>
      <c r="T227" s="276"/>
      <c r="U227" s="77"/>
      <c r="V227" s="108">
        <f>VLOOKUP(D227,Poeng!$B$10:$BC$252,Poeng!AG$1,FALSE)</f>
        <v>0</v>
      </c>
      <c r="W227" s="108" t="str">
        <f>VLOOKUP(D227,Poeng!$B$10:$BK$252,Poeng!BK$1,FALSE)</f>
        <v>N/A</v>
      </c>
      <c r="X227" s="75"/>
      <c r="Y227" s="74"/>
      <c r="Z227" s="552"/>
      <c r="AA227" s="117"/>
      <c r="AB227" s="534"/>
      <c r="AC227" s="20">
        <f t="shared" si="28"/>
        <v>1</v>
      </c>
      <c r="AD227" s="1" t="e">
        <f>VLOOKUP(K227,'Assessment Details'!$O$49:$P$52,2,FALSE)</f>
        <v>#N/A</v>
      </c>
      <c r="AE227" s="1" t="e">
        <f>VLOOKUP(R227,'Assessment Details'!$O$49:$P$52,2,FALSE)</f>
        <v>#N/A</v>
      </c>
      <c r="AF227" s="1" t="e">
        <f>VLOOKUP(Y227,'Assessment Details'!$O$49:$P$52,2,FALSE)</f>
        <v>#N/A</v>
      </c>
      <c r="AI227" s="64"/>
      <c r="AJ227" s="508"/>
      <c r="AK227" s="64"/>
      <c r="AL227" s="64"/>
      <c r="AM227" s="64"/>
      <c r="AN227" s="64"/>
      <c r="AO227" s="64"/>
      <c r="AP227" s="64"/>
      <c r="AS227" s="20"/>
      <c r="AT227" s="20"/>
      <c r="AU227" s="20"/>
      <c r="AV227" s="20"/>
      <c r="AW227" s="20"/>
      <c r="AX227" s="20"/>
      <c r="AZ227" s="534"/>
    </row>
    <row r="228" spans="1:52" ht="15" customHeight="1" thickBot="1" x14ac:dyDescent="0.3">
      <c r="A228" s="1410">
        <v>219</v>
      </c>
      <c r="B228" s="1412" t="s">
        <v>805</v>
      </c>
      <c r="C228" s="804" t="s">
        <v>805</v>
      </c>
      <c r="D228" s="628" t="s">
        <v>869</v>
      </c>
      <c r="E228" s="297" t="s">
        <v>79</v>
      </c>
      <c r="F228" s="110">
        <f>Inn_Credits</f>
        <v>10</v>
      </c>
      <c r="G228" s="115"/>
      <c r="H228" s="111">
        <f>Inn_cont_tot</f>
        <v>0</v>
      </c>
      <c r="I228" s="669" t="str">
        <f>"Credits achieved: "&amp;Inn_tot_user</f>
        <v>Credits achieved: 0</v>
      </c>
      <c r="J228" s="118"/>
      <c r="K228" s="242"/>
      <c r="L228" s="560"/>
      <c r="M228" s="623"/>
      <c r="N228" s="320"/>
      <c r="O228" s="111">
        <f>VLOOKUP(D228,Poeng!$B$10:$BC$252,Poeng!AF$1,FALSE)</f>
        <v>0</v>
      </c>
      <c r="P228" s="669" t="str">
        <f>"Credits achieved: "&amp;Inn_d_user</f>
        <v>Credits achieved: 0</v>
      </c>
      <c r="Q228" s="561"/>
      <c r="R228" s="562"/>
      <c r="S228" s="560"/>
      <c r="T228" s="276"/>
      <c r="U228" s="320"/>
      <c r="V228" s="111">
        <f>VLOOKUP(D228,Poeng!$B$10:$BC$252,Poeng!AG$1,FALSE)</f>
        <v>0</v>
      </c>
      <c r="W228" s="669" t="str">
        <f>"Credits achieved: "&amp;Inn_c_user</f>
        <v>Credits achieved: 0</v>
      </c>
      <c r="X228" s="319"/>
      <c r="Y228" s="120"/>
      <c r="Z228" s="570"/>
      <c r="AA228" s="117"/>
      <c r="AB228" s="482"/>
      <c r="AC228" s="20">
        <f t="shared" si="28"/>
        <v>1</v>
      </c>
      <c r="AD228" s="238">
        <v>0</v>
      </c>
      <c r="AE228" s="238">
        <v>0</v>
      </c>
      <c r="AF228" s="238">
        <v>0</v>
      </c>
      <c r="AI228" s="64"/>
      <c r="AJ228" s="508" t="s">
        <v>79</v>
      </c>
      <c r="AK228" s="64"/>
      <c r="AL228" s="64"/>
      <c r="AM228" s="64"/>
      <c r="AN228" s="64"/>
      <c r="AO228" s="64"/>
      <c r="AP228" s="64"/>
      <c r="AS228" s="20" t="str">
        <f t="shared" si="23"/>
        <v>N/A</v>
      </c>
      <c r="AT228" s="20" t="str">
        <f t="shared" si="24"/>
        <v>N/A</v>
      </c>
      <c r="AU228" s="20" t="str">
        <f t="shared" si="25"/>
        <v>N/A</v>
      </c>
      <c r="AV228" s="20"/>
      <c r="AW228" s="20"/>
      <c r="AX228" s="20"/>
      <c r="AZ228" s="482"/>
    </row>
    <row r="229" spans="1:52" x14ac:dyDescent="0.25">
      <c r="A229" s="1410"/>
      <c r="B229" s="1412"/>
      <c r="C229" s="799"/>
      <c r="D229" s="628"/>
      <c r="E229" s="39"/>
      <c r="J229" s="39"/>
      <c r="M229" s="624"/>
      <c r="N229" s="438"/>
      <c r="O229" s="438"/>
      <c r="P229" s="1"/>
      <c r="Q229" s="8"/>
      <c r="R229" s="571"/>
      <c r="S229" s="571"/>
      <c r="T229" s="76"/>
      <c r="U229" s="6"/>
      <c r="V229" s="6"/>
      <c r="W229" s="1"/>
      <c r="X229" s="240"/>
      <c r="Y229" s="6"/>
      <c r="Z229" s="571"/>
      <c r="AA229" s="76"/>
      <c r="AB229" s="76"/>
      <c r="AC229" s="20"/>
      <c r="AD229" s="239"/>
      <c r="AE229" s="239"/>
      <c r="AF229" s="239"/>
    </row>
    <row r="230" spans="1:52" x14ac:dyDescent="0.25">
      <c r="A230" s="801"/>
      <c r="B230" s="802"/>
      <c r="C230" s="629"/>
      <c r="D230" s="629"/>
      <c r="E230" s="26"/>
      <c r="N230" s="438"/>
      <c r="O230" s="438"/>
      <c r="P230" s="438"/>
      <c r="Q230" s="571"/>
      <c r="R230" s="571"/>
      <c r="S230" s="572"/>
      <c r="T230" s="76"/>
      <c r="U230" s="6"/>
      <c r="V230" s="6"/>
      <c r="W230" s="438"/>
      <c r="X230" s="6"/>
      <c r="Y230" s="6"/>
      <c r="Z230" s="572"/>
      <c r="AA230" s="76"/>
      <c r="AB230" s="76"/>
      <c r="AC230" s="20"/>
      <c r="AD230" s="1"/>
      <c r="AE230" s="1"/>
      <c r="AF230" s="1"/>
    </row>
    <row r="231" spans="1:52" x14ac:dyDescent="0.25">
      <c r="A231" s="802"/>
      <c r="B231" s="802"/>
      <c r="C231" s="629"/>
      <c r="D231" s="629"/>
      <c r="E231" s="246"/>
      <c r="F231" s="15"/>
      <c r="N231" s="438"/>
      <c r="O231" s="438"/>
      <c r="P231" s="438"/>
      <c r="Q231" s="571"/>
      <c r="R231" s="571"/>
      <c r="S231" s="573"/>
      <c r="T231" s="76"/>
      <c r="U231" s="6"/>
      <c r="V231" s="6"/>
      <c r="W231" s="438"/>
      <c r="X231" s="6"/>
      <c r="Y231" s="6"/>
      <c r="Z231" s="573"/>
      <c r="AA231" s="76"/>
      <c r="AB231" s="76"/>
      <c r="AC231" s="20"/>
      <c r="AD231" s="1"/>
      <c r="AE231" s="1"/>
      <c r="AF231" s="1"/>
    </row>
    <row r="232" spans="1:52" x14ac:dyDescent="0.25">
      <c r="D232" s="16"/>
      <c r="E232" s="26"/>
      <c r="F232" s="23"/>
      <c r="N232" s="438"/>
      <c r="O232" s="438"/>
      <c r="P232" s="438"/>
      <c r="Q232" s="571"/>
      <c r="R232" s="571"/>
      <c r="S232" s="572"/>
      <c r="T232" s="76"/>
      <c r="U232" s="6"/>
      <c r="V232" s="6"/>
      <c r="W232" s="6"/>
      <c r="X232" s="6"/>
      <c r="Y232" s="6"/>
      <c r="Z232" s="572"/>
      <c r="AA232" s="76"/>
      <c r="AB232" s="76"/>
      <c r="AC232" s="20"/>
      <c r="AD232" s="1"/>
      <c r="AE232" s="1"/>
      <c r="AF232" s="1"/>
    </row>
    <row r="233" spans="1:52" x14ac:dyDescent="0.25">
      <c r="D233" s="16"/>
      <c r="E233" s="27"/>
      <c r="F233" s="15"/>
      <c r="N233" s="438"/>
      <c r="O233" s="438"/>
      <c r="P233" s="438"/>
      <c r="Q233" s="571"/>
      <c r="R233" s="571"/>
      <c r="S233" s="573"/>
      <c r="T233" s="76"/>
      <c r="U233" s="6"/>
      <c r="V233" s="6"/>
      <c r="W233" s="6"/>
      <c r="X233" s="6"/>
      <c r="Y233" s="6"/>
      <c r="Z233" s="573"/>
      <c r="AA233" s="76"/>
      <c r="AB233" s="76"/>
      <c r="AC233" s="20"/>
      <c r="AD233" s="1"/>
      <c r="AE233" s="1"/>
      <c r="AF233" s="1"/>
    </row>
    <row r="234" spans="1:52" x14ac:dyDescent="0.25">
      <c r="D234" s="16"/>
      <c r="E234" s="26"/>
      <c r="F234" s="23"/>
      <c r="N234" s="438"/>
      <c r="O234" s="438"/>
      <c r="P234" s="438"/>
      <c r="Q234" s="571"/>
      <c r="R234" s="571"/>
      <c r="S234" s="572"/>
      <c r="T234" s="76"/>
      <c r="U234" s="6"/>
      <c r="V234" s="6"/>
      <c r="W234" s="6"/>
      <c r="X234" s="6"/>
      <c r="Y234" s="6"/>
      <c r="Z234" s="572"/>
      <c r="AA234" s="76"/>
      <c r="AB234" s="76"/>
      <c r="AC234" s="20"/>
      <c r="AD234" s="8"/>
      <c r="AE234" s="8"/>
      <c r="AF234" s="8"/>
      <c r="AG234" s="8"/>
      <c r="AH234" s="8"/>
      <c r="AI234" s="8"/>
      <c r="AY234" s="8"/>
      <c r="AZ234" s="8"/>
    </row>
    <row r="235" spans="1:52" x14ac:dyDescent="0.25">
      <c r="D235" s="16"/>
      <c r="N235" s="438"/>
      <c r="O235" s="438"/>
      <c r="P235" s="438"/>
      <c r="Q235" s="571"/>
      <c r="R235" s="571"/>
      <c r="S235" s="571"/>
      <c r="T235" s="76"/>
      <c r="U235" s="6"/>
      <c r="V235" s="6"/>
      <c r="W235" s="6"/>
      <c r="X235" s="6"/>
      <c r="Y235" s="6"/>
      <c r="Z235" s="571"/>
      <c r="AA235" s="76"/>
      <c r="AB235" s="76"/>
      <c r="AC235" s="20"/>
      <c r="AD235" s="1"/>
      <c r="AE235" s="1"/>
      <c r="AF235" s="1"/>
      <c r="AJ235" s="8"/>
      <c r="AK235" s="8"/>
      <c r="AL235" s="8"/>
      <c r="AM235" s="8"/>
      <c r="AN235" s="8"/>
      <c r="AO235" s="8"/>
      <c r="AP235" s="8"/>
      <c r="AS235" s="8"/>
      <c r="AT235" s="8"/>
      <c r="AU235" s="8"/>
      <c r="AV235" s="8"/>
      <c r="AW235" s="8"/>
      <c r="AX235" s="8"/>
    </row>
    <row r="236" spans="1:52" x14ac:dyDescent="0.25">
      <c r="D236" s="16"/>
      <c r="N236" s="438"/>
      <c r="O236" s="438"/>
      <c r="P236" s="438"/>
      <c r="Q236" s="571"/>
      <c r="R236" s="571"/>
      <c r="S236" s="571"/>
      <c r="T236" s="76"/>
      <c r="U236" s="6"/>
      <c r="V236" s="6"/>
      <c r="W236" s="6"/>
      <c r="X236" s="6"/>
      <c r="Y236" s="6"/>
      <c r="Z236" s="571"/>
      <c r="AA236" s="76"/>
      <c r="AB236" s="76"/>
      <c r="AC236" s="20"/>
      <c r="AD236" s="1"/>
      <c r="AE236" s="1"/>
      <c r="AF236" s="1"/>
    </row>
    <row r="237" spans="1:52" x14ac:dyDescent="0.25">
      <c r="D237" s="16"/>
      <c r="N237" s="438"/>
      <c r="O237" s="438"/>
      <c r="P237" s="438"/>
      <c r="Q237" s="571"/>
      <c r="R237" s="571"/>
      <c r="S237" s="571"/>
      <c r="T237" s="76"/>
      <c r="U237" s="6"/>
      <c r="V237" s="6"/>
      <c r="W237" s="6"/>
      <c r="X237" s="6"/>
      <c r="Y237" s="6"/>
      <c r="Z237" s="571"/>
      <c r="AA237" s="76"/>
      <c r="AB237" s="76"/>
      <c r="AC237" s="20"/>
      <c r="AD237" s="1"/>
      <c r="AE237" s="1"/>
      <c r="AF237" s="1"/>
    </row>
    <row r="238" spans="1:52" hidden="1" x14ac:dyDescent="0.25">
      <c r="B238" s="628" t="s">
        <v>60</v>
      </c>
      <c r="C238" s="628"/>
      <c r="D238" s="628"/>
      <c r="E238" s="275" t="str">
        <f>Hea02_Crit1</f>
        <v xml:space="preserve">Pre-requisite: indoor air quality </v>
      </c>
      <c r="F238" s="107" t="str">
        <f>Hea02_Crit1_credits</f>
        <v>Yes/No</v>
      </c>
      <c r="G238" s="37"/>
      <c r="H238" s="108"/>
      <c r="I238" s="112" t="str">
        <f>Hea02_minst_crit</f>
        <v>Outstanding</v>
      </c>
      <c r="J238" s="74"/>
      <c r="K238" s="241" t="s">
        <v>282</v>
      </c>
      <c r="L238" s="552"/>
      <c r="M238" s="623"/>
      <c r="N238" s="77"/>
      <c r="O238" s="680"/>
      <c r="P238" s="680"/>
      <c r="Q238" s="558"/>
      <c r="R238" s="559"/>
      <c r="S238" s="552"/>
      <c r="T238" s="276"/>
      <c r="U238" s="77"/>
      <c r="V238" s="680"/>
      <c r="W238" s="680"/>
      <c r="X238" s="75"/>
      <c r="Y238" s="74"/>
      <c r="Z238" s="552"/>
      <c r="AA238" s="117"/>
      <c r="AB238" s="481" t="s">
        <v>14</v>
      </c>
      <c r="AC238" s="20">
        <f>AC47</f>
        <v>1</v>
      </c>
      <c r="AD238" s="1">
        <f>VLOOKUP(K238,'Assessment Details'!$O$49:$P$52,2,FALSE)</f>
        <v>3</v>
      </c>
      <c r="AE238" s="1" t="e">
        <f>VLOOKUP(R238,'Assessment Details'!$O$49:$P$52,2,FALSE)</f>
        <v>#N/A</v>
      </c>
      <c r="AF238" s="1" t="e">
        <f>VLOOKUP(Y238,'Assessment Details'!$O$49:$P$52,2,FALSE)</f>
        <v>#N/A</v>
      </c>
      <c r="AI238" s="64"/>
      <c r="AJ238" s="508" t="s">
        <v>250</v>
      </c>
      <c r="AK238" s="64"/>
      <c r="AL238" s="64"/>
      <c r="AM238" s="64"/>
      <c r="AN238" s="64"/>
      <c r="AO238" s="64"/>
      <c r="AP238" s="64"/>
      <c r="AS238" s="20" t="str">
        <f>IF($AJ$4=ais_nei,AIS_NA,IF(AK238="",AIS_NA,AK238))</f>
        <v>N/A</v>
      </c>
      <c r="AT238" s="20" t="str">
        <f>IF($AJ$4=ais_nei,AIS_NA,IF(AL238="",AIS_NA,AL238))</f>
        <v>N/A</v>
      </c>
      <c r="AU238" s="20" t="str">
        <f>IF($AJ$4=ais_nei,AIS_NA,IF(AM238="",AIS_NA,AM238))</f>
        <v>N/A</v>
      </c>
      <c r="AV238" s="20"/>
      <c r="AW238" s="20"/>
      <c r="AX238" s="20"/>
      <c r="AZ238" s="481"/>
    </row>
    <row r="239" spans="1:52" hidden="1" x14ac:dyDescent="0.25">
      <c r="D239" s="16"/>
      <c r="N239" s="438"/>
      <c r="O239" s="438"/>
      <c r="P239" s="438"/>
      <c r="Q239" s="571"/>
      <c r="R239" s="571"/>
      <c r="S239" s="571"/>
      <c r="T239" s="76"/>
      <c r="U239" s="6"/>
      <c r="V239" s="6"/>
      <c r="W239" s="6"/>
      <c r="X239" s="6"/>
      <c r="Y239" s="6"/>
      <c r="Z239" s="571"/>
      <c r="AA239" s="76"/>
      <c r="AB239" s="76"/>
      <c r="AC239" s="20"/>
      <c r="AD239" s="1"/>
      <c r="AE239" s="1"/>
      <c r="AF239" s="1"/>
    </row>
    <row r="240" spans="1:52" hidden="1" x14ac:dyDescent="0.25">
      <c r="D240" s="16"/>
      <c r="N240" s="438"/>
      <c r="O240" s="438"/>
      <c r="P240" s="438"/>
      <c r="Q240" s="571"/>
      <c r="R240" s="571"/>
      <c r="S240" s="571"/>
      <c r="T240" s="76"/>
      <c r="U240" s="6"/>
      <c r="V240" s="6"/>
      <c r="W240" s="6"/>
      <c r="X240" s="6"/>
      <c r="Y240" s="6"/>
      <c r="Z240" s="571"/>
      <c r="AA240" s="76"/>
      <c r="AB240" s="76"/>
      <c r="AC240" s="20"/>
      <c r="AD240" s="1"/>
      <c r="AE240" s="1"/>
      <c r="AF240" s="1"/>
    </row>
    <row r="241" spans="1:58" hidden="1" x14ac:dyDescent="0.25">
      <c r="D241" s="16"/>
      <c r="N241" s="438"/>
      <c r="O241" s="438"/>
      <c r="P241" s="438"/>
      <c r="Q241" s="571"/>
      <c r="R241" s="571"/>
      <c r="S241" s="571"/>
      <c r="T241" s="76"/>
      <c r="U241" s="6"/>
      <c r="V241" s="6"/>
      <c r="W241" s="6"/>
      <c r="X241" s="6"/>
      <c r="Y241" s="6"/>
      <c r="Z241" s="571"/>
      <c r="AA241" s="76"/>
      <c r="AB241" s="76"/>
      <c r="AC241" s="20"/>
      <c r="AD241" s="1"/>
      <c r="AE241" s="1"/>
      <c r="AF241" s="1"/>
    </row>
    <row r="242" spans="1:58" hidden="1" x14ac:dyDescent="0.25">
      <c r="D242" s="16"/>
      <c r="N242" s="438"/>
      <c r="O242" s="438"/>
      <c r="P242" s="438"/>
      <c r="Q242" s="571"/>
      <c r="R242" s="571"/>
      <c r="S242" s="571"/>
      <c r="T242" s="76"/>
      <c r="U242" s="6"/>
      <c r="V242" s="6"/>
      <c r="W242" s="6"/>
      <c r="X242" s="6"/>
      <c r="Y242" s="6"/>
      <c r="Z242" s="571"/>
      <c r="AA242" s="76"/>
      <c r="AB242" s="76"/>
      <c r="AC242" s="20"/>
      <c r="AD242" s="1"/>
      <c r="AE242" s="1"/>
      <c r="AF242" s="1"/>
    </row>
    <row r="243" spans="1:58" hidden="1" x14ac:dyDescent="0.25">
      <c r="D243" s="16"/>
      <c r="N243" s="438"/>
      <c r="O243" s="438"/>
      <c r="P243" s="438"/>
      <c r="Q243" s="571"/>
      <c r="R243" s="571"/>
      <c r="S243" s="571"/>
      <c r="T243" s="76"/>
      <c r="U243" s="6"/>
      <c r="V243" s="6"/>
      <c r="W243" s="6"/>
      <c r="X243" s="6"/>
      <c r="Y243" s="6"/>
      <c r="Z243" s="571"/>
      <c r="AA243" s="76"/>
      <c r="AB243" s="76"/>
      <c r="AC243" s="20"/>
      <c r="AD243" s="1"/>
      <c r="AE243" s="1"/>
      <c r="AF243" s="1"/>
    </row>
    <row r="244" spans="1:58" hidden="1" x14ac:dyDescent="0.25">
      <c r="D244" s="16"/>
      <c r="N244" s="438"/>
      <c r="O244" s="438"/>
      <c r="P244" s="438"/>
      <c r="Q244" s="571"/>
      <c r="R244" s="571"/>
      <c r="S244" s="571"/>
      <c r="T244" s="76"/>
      <c r="U244" s="6"/>
      <c r="V244" s="6"/>
      <c r="W244" s="6"/>
      <c r="X244" s="6"/>
      <c r="Y244" s="6"/>
      <c r="Z244" s="571"/>
      <c r="AA244" s="76"/>
      <c r="AB244" s="76"/>
      <c r="AC244" s="20"/>
      <c r="AD244" s="1"/>
      <c r="AE244" s="1"/>
      <c r="AF244" s="1"/>
    </row>
    <row r="245" spans="1:58" hidden="1" x14ac:dyDescent="0.25">
      <c r="D245" s="16"/>
      <c r="N245" s="438"/>
      <c r="O245" s="438"/>
      <c r="P245" s="438"/>
      <c r="Q245" s="571"/>
      <c r="R245" s="571"/>
      <c r="S245" s="571"/>
      <c r="T245" s="76"/>
      <c r="U245" s="6"/>
      <c r="V245" s="6"/>
      <c r="W245" s="6"/>
      <c r="X245" s="6"/>
      <c r="Y245" s="6"/>
      <c r="Z245" s="571"/>
      <c r="AA245" s="76"/>
      <c r="AB245" s="76"/>
      <c r="AC245" s="20"/>
      <c r="AD245" s="1"/>
      <c r="AE245" s="1"/>
      <c r="AF245" s="1"/>
    </row>
    <row r="246" spans="1:58" hidden="1" x14ac:dyDescent="0.25">
      <c r="D246" s="16"/>
      <c r="N246" s="438"/>
      <c r="O246" s="438"/>
      <c r="P246" s="438"/>
      <c r="Q246" s="571"/>
      <c r="R246" s="571"/>
      <c r="S246" s="571"/>
      <c r="T246" s="76"/>
      <c r="U246" s="6"/>
      <c r="V246" s="6"/>
      <c r="W246" s="6"/>
      <c r="X246" s="6"/>
      <c r="Y246" s="6"/>
      <c r="Z246" s="571"/>
      <c r="AA246" s="76"/>
      <c r="AB246" s="76"/>
      <c r="AC246" s="20"/>
      <c r="AD246" s="1"/>
      <c r="AE246" s="1"/>
      <c r="AF246" s="1"/>
    </row>
    <row r="247" spans="1:58" hidden="1" x14ac:dyDescent="0.25">
      <c r="A247" s="796">
        <v>3</v>
      </c>
      <c r="B247" s="628" t="s">
        <v>57</v>
      </c>
      <c r="C247" s="628"/>
      <c r="D247" s="628"/>
      <c r="E247" s="296" t="str">
        <f>Man01_Crit1</f>
        <v>Pre-requisite: early stage greenhouse gas calculation</v>
      </c>
      <c r="F247" s="107" t="str">
        <f>Man01_Crit1_credits</f>
        <v>Yes/No</v>
      </c>
      <c r="G247" s="37"/>
      <c r="H247" s="108"/>
      <c r="I247" s="114" t="str">
        <f>Man01_minstd</f>
        <v>Unclassified</v>
      </c>
      <c r="J247" s="74"/>
      <c r="K247" s="241" t="s">
        <v>282</v>
      </c>
      <c r="L247" s="552"/>
      <c r="M247" s="623"/>
      <c r="N247" s="77"/>
      <c r="O247" s="680"/>
      <c r="P247" s="680"/>
      <c r="Q247" s="558"/>
      <c r="R247" s="559"/>
      <c r="S247" s="552"/>
      <c r="T247" s="276"/>
      <c r="U247" s="77"/>
      <c r="V247" s="680"/>
      <c r="W247" s="680"/>
      <c r="X247" s="75"/>
      <c r="Y247" s="74"/>
      <c r="Z247" s="552"/>
      <c r="AA247" s="117"/>
      <c r="AB247" s="481"/>
      <c r="AC247" s="20">
        <f>AC11</f>
        <v>1</v>
      </c>
      <c r="AD247" s="1">
        <f>VLOOKUP(K247,'Assessment Details'!$O$49:$P$52,2,FALSE)</f>
        <v>3</v>
      </c>
      <c r="AE247" s="1" t="e">
        <f>VLOOKUP(R247,'Assessment Details'!$O$49:$P$52,2,FALSE)</f>
        <v>#N/A</v>
      </c>
      <c r="AF247" s="1" t="e">
        <f>VLOOKUP(Y247,'Assessment Details'!$O$49:$P$52,2,FALSE)</f>
        <v>#N/A</v>
      </c>
      <c r="AI247" s="64"/>
      <c r="AJ247" s="508"/>
      <c r="AK247" s="544"/>
      <c r="AL247" s="544"/>
      <c r="AP247" s="64"/>
      <c r="AS247" s="20"/>
      <c r="AT247" s="20"/>
      <c r="AU247" s="20"/>
      <c r="AV247" s="20"/>
      <c r="AW247" s="20"/>
      <c r="AX247" s="20"/>
      <c r="AZ247" s="481"/>
      <c r="BD247" s="15"/>
      <c r="BE247" s="15"/>
      <c r="BF247" s="15"/>
    </row>
    <row r="248" spans="1:58" hidden="1" x14ac:dyDescent="0.25">
      <c r="A248" s="796">
        <v>6</v>
      </c>
      <c r="B248" s="628" t="s">
        <v>57</v>
      </c>
      <c r="C248" s="628"/>
      <c r="D248" s="628"/>
      <c r="E248" s="296" t="str">
        <f>Man03_Crit1</f>
        <v>Minimum req: legal and sustainable timber</v>
      </c>
      <c r="F248" s="107" t="str">
        <f>Man03_Crit1_credits</f>
        <v>Yes/No</v>
      </c>
      <c r="G248" s="549"/>
      <c r="H248" s="108"/>
      <c r="I248" s="112" t="str">
        <f>Man03_minstd_cri</f>
        <v>Unclassified</v>
      </c>
      <c r="J248" s="74"/>
      <c r="K248" s="241" t="s">
        <v>282</v>
      </c>
      <c r="L248" s="552"/>
      <c r="M248" s="623"/>
      <c r="N248" s="77"/>
      <c r="O248" s="680"/>
      <c r="P248" s="680"/>
      <c r="Q248" s="558"/>
      <c r="R248" s="559"/>
      <c r="S248" s="552"/>
      <c r="T248" s="276"/>
      <c r="U248" s="77"/>
      <c r="V248" s="680"/>
      <c r="W248" s="680"/>
      <c r="X248" s="75"/>
      <c r="Y248" s="74"/>
      <c r="Z248" s="552"/>
      <c r="AA248" s="117"/>
      <c r="AB248" s="481" t="s">
        <v>14</v>
      </c>
      <c r="AC248" s="20">
        <f>AC21</f>
        <v>1</v>
      </c>
      <c r="AD248" s="1">
        <f>VLOOKUP(K248,'Assessment Details'!$O$49:$P$52,2,FALSE)</f>
        <v>3</v>
      </c>
      <c r="AE248" s="1" t="e">
        <f>VLOOKUP(R248,'Assessment Details'!$O$49:$P$52,2,FALSE)</f>
        <v>#N/A</v>
      </c>
      <c r="AF248" s="1" t="e">
        <f>VLOOKUP(Y248,'Assessment Details'!$O$49:$P$52,2,FALSE)</f>
        <v>#N/A</v>
      </c>
      <c r="AI248" s="64"/>
      <c r="AJ248" s="508" t="s">
        <v>250</v>
      </c>
      <c r="AK248" s="64"/>
      <c r="AL248" s="64"/>
      <c r="AM248" s="64"/>
      <c r="AN248" s="64"/>
      <c r="AO248" s="64"/>
      <c r="AP248" s="64"/>
      <c r="AS248" s="20" t="str">
        <f>IF($AJ$4=ais_nei,AIS_NA,IF(AK248="",AIS_NA,AK248))</f>
        <v>N/A</v>
      </c>
      <c r="AT248" s="20" t="str">
        <f>IF($AJ$4=ais_nei,AIS_NA,IF(AL248="",AIS_NA,AL248))</f>
        <v>N/A</v>
      </c>
      <c r="AU248" s="20" t="str">
        <f>IF($AJ$4=ais_nei,AIS_NA,IF(AM248="",AIS_NA,AM248))</f>
        <v>N/A</v>
      </c>
      <c r="AV248" s="20"/>
      <c r="AW248" s="20"/>
      <c r="AX248" s="20"/>
      <c r="AZ248" s="481"/>
    </row>
    <row r="249" spans="1:58" hidden="1" x14ac:dyDescent="0.25">
      <c r="A249" s="796"/>
      <c r="B249" s="628"/>
      <c r="C249" s="628"/>
      <c r="D249" s="628"/>
      <c r="E249" s="296" t="str">
        <f>Man04_Crit1</f>
        <v>Pre-requisite: risk analysis</v>
      </c>
      <c r="F249" s="107" t="str">
        <f>Man04_Crit1_credits</f>
        <v>Yes/No</v>
      </c>
      <c r="G249" s="549"/>
      <c r="H249" s="108"/>
      <c r="I249" s="112" t="str">
        <f>Man04_minstd_cri</f>
        <v>N/A</v>
      </c>
      <c r="J249" s="74"/>
      <c r="K249" s="241" t="s">
        <v>282</v>
      </c>
      <c r="L249" s="552"/>
      <c r="M249" s="623"/>
      <c r="N249" s="77"/>
      <c r="O249" s="680"/>
      <c r="P249" s="680"/>
      <c r="Q249" s="558"/>
      <c r="R249" s="559"/>
      <c r="S249" s="552"/>
      <c r="T249" s="276"/>
      <c r="U249" s="77"/>
      <c r="V249" s="680"/>
      <c r="W249" s="680"/>
      <c r="X249" s="75"/>
      <c r="Y249" s="74"/>
      <c r="Z249" s="552"/>
      <c r="AA249" s="117"/>
      <c r="AB249" s="481"/>
      <c r="AC249" s="20">
        <f>IF(F249="",1,IF(F249=0,2,1))</f>
        <v>1</v>
      </c>
      <c r="AD249" s="1">
        <f>VLOOKUP(K249,'Assessment Details'!$O$49:$P$52,2,FALSE)</f>
        <v>3</v>
      </c>
      <c r="AE249" s="1" t="e">
        <f>VLOOKUP(R249,'Assessment Details'!$O$49:$P$52,2,FALSE)</f>
        <v>#N/A</v>
      </c>
      <c r="AF249" s="1" t="e">
        <f>VLOOKUP(Y249,'Assessment Details'!$O$49:$P$52,2,FALSE)</f>
        <v>#N/A</v>
      </c>
      <c r="AI249" s="64"/>
      <c r="AJ249" s="507"/>
      <c r="AK249" s="487"/>
      <c r="AL249" s="487"/>
      <c r="AM249" s="487"/>
      <c r="AN249" s="64"/>
      <c r="AO249" s="64"/>
      <c r="AP249" s="64"/>
      <c r="AS249" s="20"/>
      <c r="AT249" s="20"/>
      <c r="AU249" s="20"/>
      <c r="AV249" s="20"/>
      <c r="AW249" s="20"/>
      <c r="AX249" s="20"/>
      <c r="AY249" s="15"/>
      <c r="AZ249" s="481"/>
      <c r="BA249" s="15"/>
      <c r="BB249" s="15"/>
      <c r="BC249" s="15"/>
      <c r="BD249" s="15"/>
      <c r="BE249" s="15"/>
      <c r="BF249" s="15"/>
    </row>
    <row r="250" spans="1:58" hidden="1" x14ac:dyDescent="0.25">
      <c r="A250" s="796">
        <v>9</v>
      </c>
      <c r="B250" s="628" t="s">
        <v>57</v>
      </c>
      <c r="C250" s="628"/>
      <c r="D250" s="628"/>
      <c r="E250" s="532" t="str">
        <f>Man05_Crit1</f>
        <v>Pre-requisite: statutory obligations fulfilled</v>
      </c>
      <c r="F250" s="107" t="str">
        <f>IF(ADBT0=ADBT12,'Assessment Details'!O65,Man05_Crit1_credits)</f>
        <v>Yes/No</v>
      </c>
      <c r="G250" s="37"/>
      <c r="H250" s="108"/>
      <c r="I250" s="114" t="str">
        <f>Man05_minstd_cri</f>
        <v>N/A</v>
      </c>
      <c r="J250" s="74"/>
      <c r="K250" s="241" t="s">
        <v>282</v>
      </c>
      <c r="L250" s="552"/>
      <c r="M250" s="623"/>
      <c r="N250" s="77"/>
      <c r="O250" s="680"/>
      <c r="P250" s="680"/>
      <c r="Q250" s="558"/>
      <c r="R250" s="559"/>
      <c r="S250" s="552"/>
      <c r="T250" s="276"/>
      <c r="U250" s="77"/>
      <c r="V250" s="680"/>
      <c r="W250" s="680"/>
      <c r="X250" s="75"/>
      <c r="Y250" s="74"/>
      <c r="Z250" s="552"/>
      <c r="AA250" s="117"/>
      <c r="AB250" s="481"/>
      <c r="AC250" s="20">
        <f>AC32</f>
        <v>1</v>
      </c>
      <c r="AD250" s="1">
        <f>VLOOKUP(K250,'Assessment Details'!$O$49:$P$52,2,FALSE)</f>
        <v>3</v>
      </c>
      <c r="AE250" s="1" t="e">
        <f>VLOOKUP(R250,'Assessment Details'!$O$49:$P$52,2,FALSE)</f>
        <v>#N/A</v>
      </c>
      <c r="AF250" s="1" t="e">
        <f>VLOOKUP(Y250,'Assessment Details'!$O$49:$P$52,2,FALSE)</f>
        <v>#N/A</v>
      </c>
      <c r="AI250" s="64"/>
      <c r="AJ250" s="508"/>
      <c r="AK250" s="544"/>
      <c r="AL250" s="544"/>
      <c r="AP250" s="64"/>
      <c r="AS250" s="20"/>
      <c r="AT250" s="20"/>
      <c r="AU250" s="20"/>
      <c r="AV250" s="20"/>
      <c r="AW250" s="20"/>
      <c r="AX250" s="20"/>
      <c r="AZ250" s="481"/>
      <c r="BD250" s="15"/>
      <c r="BE250" s="15"/>
      <c r="BF250" s="15"/>
    </row>
    <row r="251" spans="1:58" hidden="1" x14ac:dyDescent="0.25">
      <c r="D251" s="16"/>
      <c r="N251" s="625"/>
      <c r="O251" s="625"/>
      <c r="P251" s="625"/>
      <c r="AA251" s="76"/>
      <c r="AB251" s="76"/>
    </row>
    <row r="252" spans="1:58" hidden="1" x14ac:dyDescent="0.25">
      <c r="A252" s="796">
        <v>29</v>
      </c>
    </row>
    <row r="253" spans="1:58" hidden="1" x14ac:dyDescent="0.25">
      <c r="A253" s="796">
        <v>24</v>
      </c>
      <c r="B253" s="628" t="s">
        <v>61</v>
      </c>
      <c r="C253" s="628"/>
      <c r="D253" s="628"/>
      <c r="E253" s="275" t="str">
        <f>Ene01_Crit1</f>
        <v>Minimum req: absence of environmental toxins (EU taxonomy requirement: criterion 1)</v>
      </c>
      <c r="F253" s="107" t="str">
        <f>Ene01_Crit1_credits</f>
        <v>Yes/No</v>
      </c>
      <c r="G253" s="37"/>
      <c r="H253" s="108"/>
      <c r="I253" s="114" t="str">
        <f>Ene01_minstd</f>
        <v>Unclassified</v>
      </c>
      <c r="J253" s="74"/>
      <c r="K253" s="241" t="s">
        <v>282</v>
      </c>
      <c r="L253" s="552"/>
      <c r="M253" s="623"/>
      <c r="N253" s="77"/>
      <c r="O253" s="680"/>
      <c r="P253" s="680"/>
      <c r="Q253" s="558"/>
      <c r="R253" s="559"/>
      <c r="S253" s="552"/>
      <c r="T253" s="276"/>
      <c r="U253" s="77"/>
      <c r="V253" s="680"/>
      <c r="W253" s="680"/>
      <c r="X253" s="75"/>
      <c r="Y253" s="74"/>
      <c r="Z253" s="552"/>
      <c r="AA253" s="117"/>
      <c r="AB253" s="481"/>
      <c r="AC253" s="20">
        <f>AC67</f>
        <v>1</v>
      </c>
      <c r="AD253" s="1">
        <f>VLOOKUP(K253,'Assessment Details'!$O$49:$P$52,2,FALSE)</f>
        <v>3</v>
      </c>
      <c r="AE253" s="1" t="e">
        <f>VLOOKUP(R253,'Assessment Details'!$O$49:$P$52,2,FALSE)</f>
        <v>#N/A</v>
      </c>
      <c r="AF253" s="1" t="e">
        <f>VLOOKUP(Y253,'Assessment Details'!$O$49:$P$52,2,FALSE)</f>
        <v>#N/A</v>
      </c>
      <c r="AI253" s="64"/>
      <c r="AJ253" s="508"/>
      <c r="AK253" s="544"/>
      <c r="AL253" s="544"/>
      <c r="AP253" s="64"/>
      <c r="AS253" s="20"/>
      <c r="AT253" s="20"/>
      <c r="AU253" s="20"/>
      <c r="AV253" s="20"/>
      <c r="AW253" s="20"/>
      <c r="AX253" s="20"/>
      <c r="AZ253" s="481"/>
    </row>
    <row r="254" spans="1:58" hidden="1" x14ac:dyDescent="0.25">
      <c r="A254" s="796">
        <v>81</v>
      </c>
      <c r="B254" s="628" t="s">
        <v>62</v>
      </c>
      <c r="C254" s="628"/>
      <c r="D254" s="628"/>
      <c r="E254" s="275" t="str">
        <f>Tra01_Crit1</f>
        <v>Pre-requisite: ecological risks and opportunities</v>
      </c>
      <c r="F254" s="107" t="str">
        <f>Tra01_Crit1_credits</f>
        <v>Yes/No</v>
      </c>
      <c r="G254" s="37"/>
      <c r="H254" s="108"/>
      <c r="I254" s="114" t="str">
        <f>Tra01_minstd</f>
        <v>N/A</v>
      </c>
      <c r="J254" s="74"/>
      <c r="K254" s="241" t="s">
        <v>282</v>
      </c>
      <c r="L254" s="552"/>
      <c r="M254" s="623"/>
      <c r="N254" s="77"/>
      <c r="O254" s="680"/>
      <c r="P254" s="680"/>
      <c r="Q254" s="558"/>
      <c r="R254" s="559"/>
      <c r="S254" s="552"/>
      <c r="T254" s="276"/>
      <c r="U254" s="77"/>
      <c r="V254" s="680"/>
      <c r="W254" s="680"/>
      <c r="X254" s="75"/>
      <c r="Y254" s="74"/>
      <c r="Z254" s="552"/>
      <c r="AA254" s="117"/>
      <c r="AB254" s="481"/>
      <c r="AC254" s="20">
        <f>AC97</f>
        <v>1</v>
      </c>
      <c r="AD254" s="1">
        <f>VLOOKUP(K254,'Assessment Details'!$O$49:$P$52,2,FALSE)</f>
        <v>3</v>
      </c>
      <c r="AE254" s="1" t="e">
        <f>VLOOKUP(R254,'Assessment Details'!$O$49:$P$52,2,FALSE)</f>
        <v>#N/A</v>
      </c>
      <c r="AF254" s="1" t="e">
        <f>VLOOKUP(Y254,'Assessment Details'!$O$49:$P$52,2,FALSE)</f>
        <v>#N/A</v>
      </c>
      <c r="AI254" s="64"/>
      <c r="AJ254" s="508"/>
      <c r="AK254" s="544"/>
      <c r="AL254" s="544"/>
      <c r="AP254" s="64"/>
      <c r="AS254" s="20"/>
      <c r="AT254" s="20"/>
      <c r="AU254" s="20"/>
      <c r="AV254" s="20"/>
      <c r="AW254" s="20"/>
      <c r="AX254" s="20"/>
      <c r="AZ254" s="481"/>
    </row>
    <row r="255" spans="1:58" hidden="1" x14ac:dyDescent="0.25">
      <c r="D255" s="16"/>
      <c r="N255" s="625"/>
      <c r="O255" s="625"/>
      <c r="P255" s="625"/>
    </row>
    <row r="256" spans="1:58" hidden="1" x14ac:dyDescent="0.25">
      <c r="A256" s="796">
        <v>48</v>
      </c>
      <c r="B256" s="628" t="s">
        <v>63</v>
      </c>
      <c r="C256" s="628"/>
      <c r="D256" s="628"/>
      <c r="E256" s="296" t="str">
        <f>Mat01_Crit1</f>
        <v>Pre-requisite: managing negative impacts on ecology</v>
      </c>
      <c r="F256" s="107" t="str">
        <f>Mat01_Crit1_credits</f>
        <v>Yes/No</v>
      </c>
      <c r="G256" s="549"/>
      <c r="H256" s="108"/>
      <c r="I256" s="112" t="str">
        <f>Mat01_minstd</f>
        <v>N/A</v>
      </c>
      <c r="J256" s="74"/>
      <c r="K256" s="241" t="s">
        <v>282</v>
      </c>
      <c r="L256" s="552"/>
      <c r="M256" s="623"/>
      <c r="N256" s="77"/>
      <c r="O256" s="680"/>
      <c r="P256" s="680"/>
      <c r="Q256" s="558"/>
      <c r="R256" s="559"/>
      <c r="S256" s="552"/>
      <c r="T256" s="276"/>
      <c r="U256" s="77"/>
      <c r="V256" s="680"/>
      <c r="W256" s="680"/>
      <c r="X256" s="75"/>
      <c r="Y256" s="74"/>
      <c r="Z256" s="552"/>
      <c r="AA256" s="117"/>
      <c r="AB256" s="481" t="s">
        <v>14</v>
      </c>
      <c r="AC256" s="20">
        <f>AC120</f>
        <v>1</v>
      </c>
      <c r="AD256" s="1">
        <f>VLOOKUP(K256,'Assessment Details'!$O$49:$P$52,2,FALSE)</f>
        <v>3</v>
      </c>
      <c r="AE256" s="1" t="e">
        <f>VLOOKUP(R256,'Assessment Details'!$O$49:$P$52,2,FALSE)</f>
        <v>#N/A</v>
      </c>
      <c r="AF256" s="1" t="e">
        <f>VLOOKUP(Y256,'Assessment Details'!$O$49:$P$52,2,FALSE)</f>
        <v>#N/A</v>
      </c>
      <c r="AI256" s="64"/>
      <c r="AJ256" s="508" t="s">
        <v>250</v>
      </c>
      <c r="AK256" s="64"/>
      <c r="AL256" s="64"/>
      <c r="AM256" s="64"/>
      <c r="AN256" s="64"/>
      <c r="AO256" s="64"/>
      <c r="AP256" s="64"/>
      <c r="AS256" s="20" t="str">
        <f t="shared" ref="AS256" si="29">IF($AJ$4=ais_nei,AIS_NA,IF(AK256="",AIS_NA,AK256))</f>
        <v>N/A</v>
      </c>
      <c r="AT256" s="20" t="str">
        <f t="shared" ref="AT256" si="30">IF($AJ$4=ais_nei,AIS_NA,IF(AL256="",AIS_NA,AL256))</f>
        <v>N/A</v>
      </c>
      <c r="AU256" s="20" t="str">
        <f t="shared" ref="AU256" si="31">IF($AJ$4=ais_nei,AIS_NA,IF(AM256="",AIS_NA,AM256))</f>
        <v>N/A</v>
      </c>
      <c r="AV256" s="20"/>
      <c r="AW256" s="20"/>
      <c r="AX256" s="20"/>
      <c r="AZ256" s="481"/>
    </row>
    <row r="257" spans="1:52" hidden="1" x14ac:dyDescent="0.25">
      <c r="A257" s="796">
        <v>50</v>
      </c>
      <c r="B257" s="628" t="s">
        <v>63</v>
      </c>
      <c r="C257" s="628"/>
      <c r="D257" s="628"/>
      <c r="E257" s="296" t="str">
        <f>Mat02_Crit1</f>
        <v xml:space="preserve">Pre-requisite: suitably qualified acoustician </v>
      </c>
      <c r="F257" s="107" t="str">
        <f>Mat02_Crit1_credits</f>
        <v>Yes/No</v>
      </c>
      <c r="G257" s="37"/>
      <c r="H257" s="108"/>
      <c r="I257" s="112" t="str">
        <f>Mat02_minstd</f>
        <v>N/A</v>
      </c>
      <c r="J257" s="74"/>
      <c r="K257" s="241" t="s">
        <v>282</v>
      </c>
      <c r="L257" s="552"/>
      <c r="M257" s="623"/>
      <c r="N257" s="77"/>
      <c r="O257" s="680"/>
      <c r="P257" s="680"/>
      <c r="Q257" s="558"/>
      <c r="R257" s="559"/>
      <c r="S257" s="552"/>
      <c r="T257" s="276"/>
      <c r="U257" s="77"/>
      <c r="V257" s="680"/>
      <c r="W257" s="680"/>
      <c r="X257" s="75"/>
      <c r="Y257" s="74"/>
      <c r="Z257" s="552"/>
      <c r="AA257" s="117"/>
      <c r="AB257" s="481" t="s">
        <v>14</v>
      </c>
      <c r="AC257" s="20">
        <f>IF(F257="",1,IF(F257=0,2,1))</f>
        <v>1</v>
      </c>
      <c r="AD257" s="1">
        <f>VLOOKUP(K257,'Assessment Details'!$O$49:$P$52,2,FALSE)</f>
        <v>3</v>
      </c>
      <c r="AE257" s="1" t="e">
        <f>VLOOKUP(R257,'Assessment Details'!$O$49:$P$52,2,FALSE)</f>
        <v>#N/A</v>
      </c>
      <c r="AF257" s="1" t="e">
        <f>VLOOKUP(Y257,'Assessment Details'!$O$49:$P$52,2,FALSE)</f>
        <v>#N/A</v>
      </c>
      <c r="AI257" s="64"/>
      <c r="AJ257" s="508" t="s">
        <v>251</v>
      </c>
      <c r="AK257" s="64"/>
      <c r="AL257" s="64"/>
      <c r="AM257" s="64"/>
      <c r="AN257" s="64"/>
      <c r="AO257" s="64"/>
      <c r="AP257" s="64"/>
      <c r="AS257" s="20" t="str">
        <f t="shared" ref="AS257" si="32">IF($AJ$4=ais_nei,AIS_NA,IF(AK257="",AIS_NA,AK257))</f>
        <v>N/A</v>
      </c>
      <c r="AT257" s="20" t="str">
        <f t="shared" ref="AT257" si="33">IF($AJ$4=ais_nei,AIS_NA,IF(AL257="",AIS_NA,AL257))</f>
        <v>N/A</v>
      </c>
      <c r="AU257" s="20" t="str">
        <f t="shared" ref="AU257" si="34">IF($AJ$4=ais_nei,AIS_NA,IF(AM257="",AIS_NA,AM257))</f>
        <v>N/A</v>
      </c>
      <c r="AV257" s="20"/>
      <c r="AW257" s="20"/>
      <c r="AX257" s="20"/>
      <c r="AZ257" s="481"/>
    </row>
    <row r="258" spans="1:52" ht="30" hidden="1" x14ac:dyDescent="0.25">
      <c r="A258" s="796">
        <v>52</v>
      </c>
      <c r="B258" s="628" t="s">
        <v>63</v>
      </c>
      <c r="C258" s="628"/>
      <c r="D258" s="628"/>
      <c r="E258" s="296" t="str">
        <f>Mat03_Crit1</f>
        <v>Minimum req: agricultural area / forest (EU taxonomy requirement: criterion 2)</v>
      </c>
      <c r="F258" s="107" t="str">
        <f>Mat03_Crit1_credits</f>
        <v>Yes/No</v>
      </c>
      <c r="G258" s="37"/>
      <c r="H258" s="108"/>
      <c r="I258" s="113" t="str">
        <f>Mat03_minstd</f>
        <v>Very Good</v>
      </c>
      <c r="J258" s="74"/>
      <c r="K258" s="241" t="s">
        <v>282</v>
      </c>
      <c r="L258" s="552"/>
      <c r="M258" s="623"/>
      <c r="N258" s="77"/>
      <c r="O258" s="680"/>
      <c r="P258" s="680"/>
      <c r="Q258" s="558"/>
      <c r="R258" s="559"/>
      <c r="S258" s="552"/>
      <c r="T258" s="276"/>
      <c r="U258" s="77"/>
      <c r="V258" s="680"/>
      <c r="W258" s="680"/>
      <c r="X258" s="75"/>
      <c r="Y258" s="74"/>
      <c r="Z258" s="552"/>
      <c r="AA258" s="117"/>
      <c r="AB258" s="481" t="s">
        <v>14</v>
      </c>
      <c r="AC258" s="20">
        <f>IF(F258="",1,IF(F258=0,2,1))</f>
        <v>1</v>
      </c>
      <c r="AD258" s="1">
        <f>VLOOKUP(K258,'Assessment Details'!$O$49:$P$52,2,FALSE)</f>
        <v>3</v>
      </c>
      <c r="AE258" s="1" t="e">
        <f>VLOOKUP(R258,'Assessment Details'!$O$49:$P$52,2,FALSE)</f>
        <v>#N/A</v>
      </c>
      <c r="AF258" s="1" t="e">
        <f>VLOOKUP(Y258,'Assessment Details'!$O$49:$P$52,2,FALSE)</f>
        <v>#N/A</v>
      </c>
      <c r="AI258" s="64"/>
      <c r="AJ258" s="508" t="s">
        <v>293</v>
      </c>
      <c r="AK258" s="64"/>
      <c r="AL258" s="64"/>
      <c r="AM258" s="64"/>
      <c r="AN258" s="64"/>
      <c r="AO258" s="64"/>
      <c r="AP258" s="64"/>
      <c r="AS258" s="20" t="str">
        <f>IF($AJ$4=ais_nei,AIS_NA,IF(AK258="",AIS_NA,AK258))</f>
        <v>N/A</v>
      </c>
      <c r="AT258" s="20" t="str">
        <f>IF($AJ$4=ais_nei,AIS_NA,IF(AL258="",AIS_NA,AL258))</f>
        <v>N/A</v>
      </c>
      <c r="AU258" s="20" t="str">
        <f>IF($AJ$4=ais_nei,AIS_NA,IF(AM258="",AIS_NA,AM258))</f>
        <v>N/A</v>
      </c>
      <c r="AV258" s="20"/>
      <c r="AW258" s="20"/>
      <c r="AX258" s="20"/>
      <c r="AZ258" s="481"/>
    </row>
    <row r="259" spans="1:52" ht="15" hidden="1" customHeight="1" x14ac:dyDescent="0.25">
      <c r="A259" s="796">
        <v>55</v>
      </c>
      <c r="B259" s="628" t="s">
        <v>63</v>
      </c>
      <c r="C259" s="628"/>
      <c r="D259" s="628"/>
      <c r="E259" s="626" t="str">
        <f>Mat06_Crit1</f>
        <v>Pre-requisite: statutory obligations, planning and site implementation</v>
      </c>
      <c r="F259" s="107" t="str">
        <f>Mat06_Crit1_credits</f>
        <v>Yes/No</v>
      </c>
      <c r="G259" s="37"/>
      <c r="H259" s="108"/>
      <c r="I259" s="112" t="str">
        <f>Mat06_minstd_cred</f>
        <v>N/A</v>
      </c>
      <c r="J259" s="74"/>
      <c r="K259" s="241" t="s">
        <v>282</v>
      </c>
      <c r="L259" s="552"/>
      <c r="M259" s="623"/>
      <c r="N259" s="77"/>
      <c r="O259" s="680"/>
      <c r="P259" s="680"/>
      <c r="Q259" s="558"/>
      <c r="R259" s="559"/>
      <c r="S259" s="552"/>
      <c r="T259" s="276"/>
      <c r="U259" s="77"/>
      <c r="V259" s="680"/>
      <c r="W259" s="680"/>
      <c r="X259" s="75"/>
      <c r="Y259" s="74"/>
      <c r="Z259" s="552"/>
      <c r="AA259" s="117"/>
      <c r="AB259" s="481" t="s">
        <v>14</v>
      </c>
      <c r="AC259" s="20">
        <f>IF(F259="",1,IF(F259=0,2,1))</f>
        <v>1</v>
      </c>
      <c r="AD259" s="1">
        <f>VLOOKUP(K259,'Assessment Details'!$O$49:$P$52,2,FALSE)</f>
        <v>3</v>
      </c>
      <c r="AE259" s="1" t="e">
        <f>VLOOKUP(R259,'Assessment Details'!$O$49:$P$52,2,FALSE)</f>
        <v>#N/A</v>
      </c>
      <c r="AF259" s="1" t="e">
        <f>VLOOKUP(Y259,'Assessment Details'!$O$49:$P$52,2,FALSE)</f>
        <v>#N/A</v>
      </c>
      <c r="AI259" s="64"/>
      <c r="AJ259" s="508" t="s">
        <v>251</v>
      </c>
      <c r="AK259" s="64"/>
      <c r="AL259" s="64"/>
      <c r="AM259" s="64"/>
      <c r="AN259" s="64"/>
      <c r="AO259" s="64"/>
      <c r="AP259" s="64"/>
      <c r="AS259" s="20" t="str">
        <f t="shared" ref="AS259" si="35">IF($AJ$4=ais_nei,AIS_NA,IF(AK259="",AIS_NA,AK259))</f>
        <v>N/A</v>
      </c>
      <c r="AT259" s="20" t="str">
        <f t="shared" ref="AT259" si="36">IF($AJ$4=ais_nei,AIS_NA,IF(AL259="",AIS_NA,AL259))</f>
        <v>N/A</v>
      </c>
      <c r="AU259" s="20" t="str">
        <f t="shared" ref="AU259" si="37">IF($AJ$4=ais_nei,AIS_NA,IF(AM259="",AIS_NA,AM259))</f>
        <v>N/A</v>
      </c>
      <c r="AV259" s="20"/>
      <c r="AW259" s="20"/>
      <c r="AX259" s="20"/>
      <c r="AZ259" s="481"/>
    </row>
    <row r="260" spans="1:52" hidden="1" x14ac:dyDescent="0.25">
      <c r="A260" s="796">
        <v>57</v>
      </c>
      <c r="B260" s="628" t="s">
        <v>63</v>
      </c>
      <c r="C260" s="628"/>
      <c r="D260" s="628"/>
      <c r="E260" s="626" t="str">
        <f>Mat07_Crit1</f>
        <v>Pre-requisite: flood risk assessment</v>
      </c>
      <c r="F260" s="107" t="str">
        <f>Mat07_Crit1_credits</f>
        <v>Yes/No</v>
      </c>
      <c r="G260" s="37"/>
      <c r="H260" s="108"/>
      <c r="I260" s="112" t="str" cm="1">
        <f t="array" ref="I260">Mat07_minstd_cred</f>
        <v>N/A</v>
      </c>
      <c r="J260" s="74"/>
      <c r="K260" s="241" t="s">
        <v>282</v>
      </c>
      <c r="L260" s="608"/>
      <c r="M260" s="623"/>
      <c r="N260" s="77"/>
      <c r="O260" s="680"/>
      <c r="P260" s="680"/>
      <c r="Q260" s="558"/>
      <c r="R260" s="559"/>
      <c r="S260" s="552"/>
      <c r="T260" s="276"/>
      <c r="U260" s="77"/>
      <c r="V260" s="680"/>
      <c r="W260" s="680"/>
      <c r="X260" s="75"/>
      <c r="Y260" s="74"/>
      <c r="Z260" s="552"/>
      <c r="AA260" s="117"/>
      <c r="AB260" s="481" t="s">
        <v>14</v>
      </c>
      <c r="AC260" s="20">
        <f>IF(F260="",1,IF(F260=0,2,1))</f>
        <v>1</v>
      </c>
      <c r="AD260" s="1">
        <f>VLOOKUP(K260,'Assessment Details'!$O$49:$P$52,2,FALSE)</f>
        <v>3</v>
      </c>
      <c r="AE260" s="1" t="e">
        <f>VLOOKUP(R260,'Assessment Details'!$O$49:$P$52,2,FALSE)</f>
        <v>#N/A</v>
      </c>
      <c r="AF260" s="1" t="e">
        <f>VLOOKUP(Y260,'Assessment Details'!$O$49:$P$52,2,FALSE)</f>
        <v>#N/A</v>
      </c>
      <c r="AI260" s="64"/>
      <c r="AJ260" s="508" t="s">
        <v>251</v>
      </c>
      <c r="AK260" s="64"/>
      <c r="AL260" s="64"/>
      <c r="AM260" s="64"/>
      <c r="AN260" s="64"/>
      <c r="AO260" s="64"/>
      <c r="AP260" s="64"/>
      <c r="AS260" s="20" t="str">
        <f t="shared" ref="AS260" si="38">IF($AJ$4=ais_nei,AIS_NA,IF(AK260="",AIS_NA,AK260))</f>
        <v>N/A</v>
      </c>
      <c r="AT260" s="20" t="str">
        <f t="shared" ref="AT260" si="39">IF($AJ$4=ais_nei,AIS_NA,IF(AL260="",AIS_NA,AL260))</f>
        <v>N/A</v>
      </c>
      <c r="AU260" s="20" t="str">
        <f t="shared" ref="AU260" si="40">IF($AJ$4=ais_nei,AIS_NA,IF(AM260="",AIS_NA,AM260))</f>
        <v>N/A</v>
      </c>
      <c r="AV260" s="20"/>
      <c r="AW260" s="20"/>
      <c r="AX260" s="20"/>
      <c r="AZ260" s="481"/>
    </row>
    <row r="261" spans="1:52" hidden="1" x14ac:dyDescent="0.25">
      <c r="A261" s="796">
        <v>62</v>
      </c>
      <c r="B261" s="628" t="s">
        <v>64</v>
      </c>
      <c r="C261" s="628"/>
      <c r="D261" s="628"/>
      <c r="E261" s="296" t="str">
        <f>Wst01_Crit1</f>
        <v>Pre-requisite: risk assessment and the "three- step strategy"</v>
      </c>
      <c r="F261" s="107" t="str">
        <f>Wst01_Crit1_credits</f>
        <v>Yes/No</v>
      </c>
      <c r="G261" s="37"/>
      <c r="H261" s="108"/>
      <c r="I261" s="112" t="str">
        <f>Wst01_minstd</f>
        <v>N/A</v>
      </c>
      <c r="J261" s="74"/>
      <c r="K261" s="241" t="s">
        <v>282</v>
      </c>
      <c r="L261" s="552"/>
      <c r="M261" s="623"/>
      <c r="N261" s="77"/>
      <c r="O261" s="680"/>
      <c r="P261" s="680"/>
      <c r="Q261" s="558"/>
      <c r="R261" s="559"/>
      <c r="S261" s="552"/>
      <c r="T261" s="276"/>
      <c r="U261" s="77"/>
      <c r="V261" s="680"/>
      <c r="W261" s="680"/>
      <c r="X261" s="75"/>
      <c r="Y261" s="74"/>
      <c r="Z261" s="552"/>
      <c r="AA261" s="117"/>
      <c r="AB261" s="481" t="s">
        <v>14</v>
      </c>
      <c r="AC261" s="20">
        <f>AC150</f>
        <v>1</v>
      </c>
      <c r="AD261" s="1">
        <f>VLOOKUP(K261,'Assessment Details'!$O$49:$P$52,2,FALSE)</f>
        <v>3</v>
      </c>
      <c r="AE261" s="1" t="e">
        <f>VLOOKUP(R261,'Assessment Details'!$O$49:$P$52,2,FALSE)</f>
        <v>#N/A</v>
      </c>
      <c r="AF261" s="1" t="e">
        <f>VLOOKUP(Y261,'Assessment Details'!$O$49:$P$52,2,FALSE)</f>
        <v>#N/A</v>
      </c>
      <c r="AI261" s="64"/>
      <c r="AJ261" s="508" t="s">
        <v>250</v>
      </c>
      <c r="AK261" s="64"/>
      <c r="AL261" s="64"/>
      <c r="AM261" s="64"/>
      <c r="AN261" s="64"/>
      <c r="AO261" s="64"/>
      <c r="AP261" s="64"/>
      <c r="AS261" s="20" t="str">
        <f>IF($AJ$4=ais_nei,AIS_NA,IF(AK261="",AIS_NA,AK261))</f>
        <v>N/A</v>
      </c>
      <c r="AT261" s="20" t="str">
        <f>IF($AJ$4=ais_nei,AIS_NA,IF(AL261="",AIS_NA,AL261))</f>
        <v>N/A</v>
      </c>
      <c r="AU261" s="20" t="str">
        <f>IF($AJ$4=ais_nei,AIS_NA,IF(AM261="",AIS_NA,AM261))</f>
        <v>N/A</v>
      </c>
      <c r="AV261" s="20"/>
      <c r="AW261" s="20"/>
      <c r="AX261" s="20"/>
      <c r="AZ261" s="481"/>
    </row>
    <row r="262" spans="1:52" hidden="1" x14ac:dyDescent="0.25">
      <c r="D262" s="16"/>
      <c r="N262" s="625"/>
      <c r="O262" s="625"/>
      <c r="P262" s="625"/>
    </row>
    <row r="263" spans="1:52" hidden="1" x14ac:dyDescent="0.25">
      <c r="D263" s="16"/>
      <c r="N263" s="625"/>
      <c r="O263" s="625"/>
      <c r="P263" s="625"/>
    </row>
    <row r="264" spans="1:52" hidden="1" x14ac:dyDescent="0.25">
      <c r="D264" s="16"/>
      <c r="N264" s="625"/>
      <c r="O264" s="625"/>
      <c r="P264" s="625"/>
    </row>
    <row r="265" spans="1:52" hidden="1" x14ac:dyDescent="0.25">
      <c r="N265" s="625"/>
      <c r="O265" s="625"/>
      <c r="P265" s="625"/>
    </row>
    <row r="266" spans="1:52" hidden="1" x14ac:dyDescent="0.25">
      <c r="N266" s="625"/>
      <c r="O266" s="625"/>
      <c r="P266" s="625"/>
    </row>
    <row r="267" spans="1:52" hidden="1" x14ac:dyDescent="0.25">
      <c r="N267" s="625"/>
      <c r="O267" s="625"/>
      <c r="P267" s="625"/>
    </row>
    <row r="268" spans="1:52" hidden="1" x14ac:dyDescent="0.25">
      <c r="N268" s="625"/>
      <c r="O268" s="625"/>
      <c r="P268" s="625"/>
    </row>
    <row r="269" spans="1:52" hidden="1" x14ac:dyDescent="0.25">
      <c r="N269" s="625"/>
      <c r="O269" s="625"/>
      <c r="P269" s="625"/>
    </row>
    <row r="270" spans="1:52" hidden="1" x14ac:dyDescent="0.25">
      <c r="N270" s="625"/>
      <c r="O270" s="625"/>
      <c r="P270" s="625"/>
    </row>
    <row r="271" spans="1:52" hidden="1" x14ac:dyDescent="0.25">
      <c r="N271" s="625"/>
      <c r="O271" s="625"/>
      <c r="P271" s="625"/>
    </row>
    <row r="272" spans="1:52" hidden="1" x14ac:dyDescent="0.25">
      <c r="N272" s="625"/>
      <c r="O272" s="625"/>
      <c r="P272" s="625"/>
    </row>
    <row r="273" spans="14:16" hidden="1" x14ac:dyDescent="0.25">
      <c r="N273" s="625"/>
      <c r="O273" s="625"/>
      <c r="P273" s="625"/>
    </row>
    <row r="274" spans="14:16" hidden="1" x14ac:dyDescent="0.25">
      <c r="N274" s="625"/>
      <c r="O274" s="625"/>
      <c r="P274" s="625"/>
    </row>
    <row r="275" spans="14:16" hidden="1" x14ac:dyDescent="0.25">
      <c r="N275" s="625"/>
      <c r="O275" s="625"/>
      <c r="P275" s="625"/>
    </row>
    <row r="276" spans="14:16" hidden="1" x14ac:dyDescent="0.25">
      <c r="N276" s="625"/>
      <c r="O276" s="625"/>
      <c r="P276" s="625"/>
    </row>
    <row r="277" spans="14:16" hidden="1" x14ac:dyDescent="0.25">
      <c r="N277" s="625"/>
      <c r="O277" s="625"/>
      <c r="P277" s="625"/>
    </row>
    <row r="278" spans="14:16" hidden="1" x14ac:dyDescent="0.25">
      <c r="N278" s="625"/>
      <c r="O278" s="625"/>
      <c r="P278" s="625"/>
    </row>
    <row r="279" spans="14:16" hidden="1" x14ac:dyDescent="0.25">
      <c r="N279" s="625"/>
      <c r="O279" s="625"/>
      <c r="P279" s="625"/>
    </row>
    <row r="280" spans="14:16" hidden="1" x14ac:dyDescent="0.25">
      <c r="N280" s="625"/>
      <c r="O280" s="625"/>
      <c r="P280" s="625"/>
    </row>
    <row r="281" spans="14:16" hidden="1" x14ac:dyDescent="0.25">
      <c r="N281" s="625"/>
      <c r="O281" s="625"/>
      <c r="P281" s="625"/>
    </row>
    <row r="282" spans="14:16" hidden="1" x14ac:dyDescent="0.25">
      <c r="N282" s="625"/>
      <c r="O282" s="625"/>
      <c r="P282" s="625"/>
    </row>
    <row r="283" spans="14:16" hidden="1" x14ac:dyDescent="0.25">
      <c r="N283" s="625"/>
      <c r="O283" s="625"/>
      <c r="P283" s="625"/>
    </row>
    <row r="284" spans="14:16" hidden="1" x14ac:dyDescent="0.25">
      <c r="N284" s="625"/>
      <c r="O284" s="625"/>
      <c r="P284" s="625"/>
    </row>
    <row r="285" spans="14:16" hidden="1" x14ac:dyDescent="0.25">
      <c r="N285" s="625"/>
      <c r="O285" s="625"/>
      <c r="P285" s="625"/>
    </row>
    <row r="286" spans="14:16" hidden="1" x14ac:dyDescent="0.25">
      <c r="N286" s="625"/>
      <c r="O286" s="625"/>
      <c r="P286" s="625"/>
    </row>
    <row r="287" spans="14:16" hidden="1" x14ac:dyDescent="0.25">
      <c r="N287" s="625"/>
      <c r="O287" s="625"/>
      <c r="P287" s="625"/>
    </row>
    <row r="288" spans="14:16" hidden="1" x14ac:dyDescent="0.25">
      <c r="N288" s="625"/>
      <c r="O288" s="625"/>
      <c r="P288" s="625"/>
    </row>
    <row r="289" spans="14:16" hidden="1" x14ac:dyDescent="0.25">
      <c r="N289" s="625"/>
      <c r="O289" s="625"/>
      <c r="P289" s="625"/>
    </row>
    <row r="290" spans="14:16" hidden="1" x14ac:dyDescent="0.25">
      <c r="N290" s="625"/>
      <c r="O290" s="625"/>
      <c r="P290" s="625"/>
    </row>
    <row r="291" spans="14:16" hidden="1" x14ac:dyDescent="0.25">
      <c r="N291" s="625"/>
      <c r="O291" s="625"/>
      <c r="P291" s="625"/>
    </row>
    <row r="292" spans="14:16" hidden="1" x14ac:dyDescent="0.25">
      <c r="N292" s="625"/>
      <c r="O292" s="625"/>
      <c r="P292" s="625"/>
    </row>
    <row r="293" spans="14:16" hidden="1" x14ac:dyDescent="0.25">
      <c r="N293" s="625"/>
      <c r="O293" s="625"/>
      <c r="P293" s="625"/>
    </row>
    <row r="294" spans="14:16" hidden="1" x14ac:dyDescent="0.25">
      <c r="N294" s="625"/>
      <c r="O294" s="625"/>
      <c r="P294" s="625"/>
    </row>
    <row r="295" spans="14:16" hidden="1" x14ac:dyDescent="0.25">
      <c r="N295" s="625"/>
      <c r="O295" s="625"/>
      <c r="P295" s="625"/>
    </row>
    <row r="296" spans="14:16" hidden="1" x14ac:dyDescent="0.25">
      <c r="N296" s="625"/>
      <c r="O296" s="625"/>
      <c r="P296" s="625"/>
    </row>
    <row r="297" spans="14:16" hidden="1" x14ac:dyDescent="0.25">
      <c r="N297" s="625"/>
      <c r="O297" s="625"/>
      <c r="P297" s="625"/>
    </row>
    <row r="298" spans="14:16" hidden="1" x14ac:dyDescent="0.25">
      <c r="N298" s="625"/>
      <c r="O298" s="625"/>
      <c r="P298" s="625"/>
    </row>
    <row r="299" spans="14:16" hidden="1" x14ac:dyDescent="0.25">
      <c r="N299" s="625"/>
      <c r="O299" s="625"/>
      <c r="P299" s="625"/>
    </row>
    <row r="300" spans="14:16" hidden="1" x14ac:dyDescent="0.25">
      <c r="N300" s="625"/>
      <c r="O300" s="625"/>
      <c r="P300" s="625"/>
    </row>
    <row r="301" spans="14:16" hidden="1" x14ac:dyDescent="0.25">
      <c r="N301" s="625"/>
      <c r="O301" s="625"/>
      <c r="P301" s="625"/>
    </row>
    <row r="302" spans="14:16" hidden="1" x14ac:dyDescent="0.25">
      <c r="N302" s="625"/>
      <c r="O302" s="625"/>
      <c r="P302" s="625"/>
    </row>
    <row r="303" spans="14:16" hidden="1" x14ac:dyDescent="0.25">
      <c r="N303" s="625"/>
      <c r="O303" s="625"/>
      <c r="P303" s="625"/>
    </row>
    <row r="304" spans="14:16" hidden="1" x14ac:dyDescent="0.25">
      <c r="N304" s="625"/>
      <c r="O304" s="625"/>
      <c r="P304" s="625"/>
    </row>
    <row r="305" spans="14:36" hidden="1" x14ac:dyDescent="0.25">
      <c r="N305" s="625"/>
      <c r="O305" s="625"/>
      <c r="P305" s="625"/>
    </row>
    <row r="306" spans="14:36" hidden="1" x14ac:dyDescent="0.25">
      <c r="N306" s="625"/>
      <c r="O306" s="625"/>
      <c r="P306" s="625"/>
    </row>
    <row r="307" spans="14:36" hidden="1" x14ac:dyDescent="0.25">
      <c r="N307" s="625"/>
      <c r="O307" s="625"/>
      <c r="P307" s="625"/>
    </row>
    <row r="308" spans="14:36" hidden="1" x14ac:dyDescent="0.25">
      <c r="N308" s="625"/>
      <c r="O308" s="625"/>
      <c r="P308" s="625"/>
    </row>
    <row r="309" spans="14:36" hidden="1" x14ac:dyDescent="0.25">
      <c r="N309" s="625"/>
      <c r="O309" s="625"/>
      <c r="P309" s="625"/>
    </row>
    <row r="310" spans="14:36" hidden="1" x14ac:dyDescent="0.25">
      <c r="N310" s="625"/>
      <c r="O310" s="625"/>
      <c r="P310" s="625"/>
    </row>
    <row r="311" spans="14:36" hidden="1" x14ac:dyDescent="0.25">
      <c r="N311" s="625"/>
      <c r="O311" s="625"/>
      <c r="P311" s="625"/>
    </row>
    <row r="312" spans="14:36" hidden="1" x14ac:dyDescent="0.25">
      <c r="N312" s="625"/>
      <c r="O312" s="625"/>
      <c r="P312" s="625"/>
    </row>
    <row r="313" spans="14:36" hidden="1" x14ac:dyDescent="0.25">
      <c r="N313" s="625"/>
      <c r="O313" s="625"/>
      <c r="P313" s="625"/>
    </row>
    <row r="314" spans="14:36" hidden="1" x14ac:dyDescent="0.25">
      <c r="N314" s="625"/>
      <c r="O314" s="625"/>
      <c r="P314" s="625"/>
    </row>
    <row r="315" spans="14:36" hidden="1" x14ac:dyDescent="0.25">
      <c r="N315" s="625"/>
      <c r="O315" s="625"/>
      <c r="P315" s="625"/>
    </row>
    <row r="316" spans="14:36" hidden="1" x14ac:dyDescent="0.25">
      <c r="N316" s="625"/>
      <c r="O316" s="625"/>
      <c r="P316" s="625"/>
    </row>
    <row r="317" spans="14:36" hidden="1" x14ac:dyDescent="0.25">
      <c r="N317" s="625"/>
      <c r="O317" s="625"/>
      <c r="P317" s="625"/>
    </row>
    <row r="318" spans="14:36" hidden="1" x14ac:dyDescent="0.25">
      <c r="N318" s="625"/>
      <c r="O318" s="625"/>
      <c r="P318" s="625"/>
    </row>
    <row r="319" spans="14:36" hidden="1" x14ac:dyDescent="0.25">
      <c r="N319" s="625"/>
      <c r="O319" s="625"/>
      <c r="P319" s="625"/>
    </row>
    <row r="320" spans="14:36" hidden="1" x14ac:dyDescent="0.25">
      <c r="N320" s="625"/>
      <c r="O320" s="625"/>
      <c r="P320" s="625"/>
      <c r="AJ320" s="5"/>
    </row>
    <row r="321" spans="14:16" hidden="1" x14ac:dyDescent="0.25">
      <c r="N321" s="625"/>
      <c r="O321" s="625"/>
      <c r="P321" s="625"/>
    </row>
    <row r="322" spans="14:16" hidden="1" x14ac:dyDescent="0.25">
      <c r="N322" s="625"/>
      <c r="O322" s="625"/>
      <c r="P322" s="625"/>
    </row>
    <row r="323" spans="14:16" hidden="1" x14ac:dyDescent="0.25">
      <c r="N323" s="625"/>
      <c r="O323" s="625"/>
      <c r="P323" s="625"/>
    </row>
    <row r="324" spans="14:16" hidden="1" x14ac:dyDescent="0.25">
      <c r="N324" s="625"/>
      <c r="O324" s="625"/>
      <c r="P324" s="625"/>
    </row>
    <row r="325" spans="14:16" hidden="1" x14ac:dyDescent="0.25">
      <c r="N325" s="625"/>
      <c r="O325" s="625"/>
      <c r="P325" s="625"/>
    </row>
    <row r="326" spans="14:16" hidden="1" x14ac:dyDescent="0.25">
      <c r="N326" s="625"/>
      <c r="O326" s="625"/>
      <c r="P326" s="625"/>
    </row>
    <row r="327" spans="14:16" hidden="1" x14ac:dyDescent="0.25">
      <c r="N327" s="625"/>
      <c r="O327" s="625"/>
      <c r="P327" s="625"/>
    </row>
    <row r="328" spans="14:16" hidden="1" x14ac:dyDescent="0.25">
      <c r="N328" s="625"/>
      <c r="O328" s="625"/>
      <c r="P328" s="625"/>
    </row>
    <row r="329" spans="14:16" hidden="1" x14ac:dyDescent="0.25">
      <c r="N329" s="625"/>
      <c r="O329" s="625"/>
      <c r="P329" s="625"/>
    </row>
    <row r="330" spans="14:16" hidden="1" x14ac:dyDescent="0.25">
      <c r="N330" s="625"/>
      <c r="O330" s="625"/>
      <c r="P330" s="625"/>
    </row>
    <row r="331" spans="14:16" hidden="1" x14ac:dyDescent="0.25">
      <c r="N331" s="625"/>
      <c r="O331" s="625"/>
      <c r="P331" s="625"/>
    </row>
    <row r="332" spans="14:16" hidden="1" x14ac:dyDescent="0.25">
      <c r="N332" s="625"/>
      <c r="O332" s="625"/>
      <c r="P332" s="625"/>
    </row>
    <row r="333" spans="14:16" hidden="1" x14ac:dyDescent="0.25">
      <c r="N333" s="625"/>
      <c r="O333" s="625"/>
      <c r="P333" s="625"/>
    </row>
    <row r="334" spans="14:16" hidden="1" x14ac:dyDescent="0.25">
      <c r="N334" s="625"/>
      <c r="O334" s="625"/>
      <c r="P334" s="625"/>
    </row>
    <row r="335" spans="14:16" x14ac:dyDescent="0.25">
      <c r="N335" s="625"/>
      <c r="O335" s="625"/>
      <c r="P335" s="625"/>
    </row>
    <row r="336" spans="14:16" x14ac:dyDescent="0.25">
      <c r="N336" s="625"/>
      <c r="O336" s="625"/>
      <c r="P336" s="625"/>
    </row>
    <row r="337" spans="14:16" x14ac:dyDescent="0.25">
      <c r="N337" s="625"/>
      <c r="O337" s="625"/>
      <c r="P337" s="625"/>
    </row>
    <row r="338" spans="14:16" x14ac:dyDescent="0.25">
      <c r="N338" s="625"/>
      <c r="O338" s="625"/>
      <c r="P338" s="625"/>
    </row>
    <row r="339" spans="14:16" x14ac:dyDescent="0.25">
      <c r="N339" s="625"/>
      <c r="O339" s="625"/>
      <c r="P339" s="625"/>
    </row>
    <row r="340" spans="14:16" x14ac:dyDescent="0.25">
      <c r="N340" s="625"/>
      <c r="O340" s="625"/>
      <c r="P340" s="625"/>
    </row>
    <row r="341" spans="14:16" x14ac:dyDescent="0.25">
      <c r="N341" s="625"/>
      <c r="O341" s="625"/>
      <c r="P341" s="625"/>
    </row>
    <row r="342" spans="14:16" x14ac:dyDescent="0.25">
      <c r="N342" s="625"/>
      <c r="O342" s="625"/>
      <c r="P342" s="625"/>
    </row>
    <row r="343" spans="14:16" x14ac:dyDescent="0.25">
      <c r="N343" s="625"/>
      <c r="O343" s="625"/>
      <c r="P343" s="625"/>
    </row>
    <row r="344" spans="14:16" x14ac:dyDescent="0.25">
      <c r="N344" s="625"/>
      <c r="O344" s="625"/>
      <c r="P344" s="625"/>
    </row>
    <row r="345" spans="14:16" x14ac:dyDescent="0.25">
      <c r="N345" s="625"/>
      <c r="O345" s="625"/>
      <c r="P345" s="625"/>
    </row>
    <row r="346" spans="14:16" x14ac:dyDescent="0.25">
      <c r="N346" s="625"/>
      <c r="O346" s="625"/>
      <c r="P346" s="625"/>
    </row>
    <row r="347" spans="14:16" x14ac:dyDescent="0.25">
      <c r="N347" s="625"/>
      <c r="O347" s="625"/>
      <c r="P347" s="625"/>
    </row>
    <row r="348" spans="14:16" x14ac:dyDescent="0.25">
      <c r="N348" s="625"/>
      <c r="O348" s="625"/>
      <c r="P348" s="625"/>
    </row>
    <row r="349" spans="14:16" x14ac:dyDescent="0.25">
      <c r="N349" s="625"/>
      <c r="O349" s="625"/>
      <c r="P349" s="625"/>
    </row>
    <row r="350" spans="14:16" x14ac:dyDescent="0.25">
      <c r="N350" s="625"/>
      <c r="O350" s="625"/>
      <c r="P350" s="625"/>
    </row>
    <row r="351" spans="14:16" x14ac:dyDescent="0.25">
      <c r="N351" s="625"/>
      <c r="O351" s="625"/>
      <c r="P351" s="625"/>
    </row>
    <row r="352" spans="14:16" x14ac:dyDescent="0.25">
      <c r="N352" s="625"/>
      <c r="O352" s="625"/>
      <c r="P352" s="625"/>
    </row>
    <row r="387" spans="5:26" ht="15.75" x14ac:dyDescent="0.25">
      <c r="E387" s="4"/>
      <c r="F387" s="4"/>
      <c r="G387" s="4"/>
      <c r="H387" s="4"/>
      <c r="I387" s="4"/>
      <c r="J387" s="4"/>
      <c r="K387" s="4"/>
      <c r="L387" s="22"/>
      <c r="N387" s="575"/>
      <c r="O387" s="575"/>
      <c r="P387" s="575"/>
      <c r="Q387" s="575"/>
      <c r="R387" s="575"/>
      <c r="S387" s="575"/>
      <c r="U387" s="227"/>
      <c r="V387" s="227"/>
      <c r="W387" s="227"/>
      <c r="X387" s="227"/>
      <c r="Y387" s="227"/>
      <c r="Z387" s="575"/>
    </row>
  </sheetData>
  <sheetProtection algorithmName="SHA-512" hashValue="TmAQJ84oDbCy5Xr/gYhz7E/SltkexjB7HoSrQT9VYdWE/kyols5CRvyGLRRnFpShPMofSHdeg0APq/rnAmJ3MA==" saltValue="CQjPs0RWyVf4xZOngV/uvg==" spinCount="100000" sheet="1" formatCells="0" formatColumns="0" formatRows="0" selectLockedCells="1" sort="0" autoFilter="0"/>
  <protectedRanges>
    <protectedRange sqref="M11:N11 M18:N21 M28:N28 M32:N32 D11:F11 D18:D21 D28 D32 D37:O37 C42:D42 D43:D46 B38:O38 G19:K20 H11:K11 G22:K25 G29:K31 G33:K35 N12:N17 N22:N25 N29:N31 N33:N35 H18:K18 H21:K21 H28:K28 H32:K32 D36:N36 Z11:AB11 H39:K39 D67:F67 H67:K67 D97:F97 H97:K97 H106:K106 D120:F120 H120:K120 D150:F150 H150:K150 D165:F165 H165:K165 D197:F197 H197:K197 D47:F47 H47:K47 D52:F52 H52:K52 D56:F56 H56:K56 D59:F59 H59:K59 D62:F62 H62:K62 D75:F75 H75:K75 D79:F79 H79:K79 D82:F82 H82:K82 D85:F85 H85:K85 D89:F89 H89:K89 D92:F92 H92:K92 D100:F100 H100:K100 D109:F109 H109:K109 D111:F111 H111:K111 D115:F115 H115:K115 D124:F124 H124:K124 D128:F128 H128:K128 D132:F132 H132:K132 H138:K138 D143:F143 H143:K143 D156:F156 H156:K156 D158:F158 H158:K158 D160:F160 H160:K160 D168:F168 H168:K168 D176:F176 H176:K176 D180:F180 H180:K180 D184:F184 H184:K184 D186:F186 H186:K186 D189:F189 H189:K189 D202:F202 H202:K202 D205:F205 H205:K205 D208:F208 H208:K208 E42:K46 D53:K55 D60:K61 D63:K63 D76:K78 D80:K81 D83:K84 D90:K91 D93:K93 E98:K99 D110:K110 D112:K114 D116:K116 M106:O106 E123:K123 E140:K142 E144:K146 D157:K157 D159:K159 D161:K161 M150:O150 D185:K185 D203:K204 D206:K207 D209:K210 AC97:AF100 AC120:AF136 A252:A254 E48:K51 D57:K58 D121:K122 E125:K127 E129:K131 D169:K171 D174:K175 D177:K179 D181:K183 D187:K188 D64:O66 D94:O96 D103:O105 D117:O119 D147:O149 D162:O164 D194:O196 D211:O227 M39:O39 M120:O138 D133:K137 D198:K201 M197:O210 E28:F35 O28:O36 E26:K27 N26:O27 D86:K88 D101:K102 M97:O102 AC11:AF39 M165:O166 B228:O228 S216:V228 O15:O25 P15:P39 Z216:AF228 M67:O70 AA18:AB21 AA28:AB28 AA32:AB32 AA67:AB67 AA97:AB97 AA150:AB151 AA124:AB124 AA128:AB128 AA143:AB143 AA75:AB86 AA100:AB100 AA156:AB161 AA52:AB63 AA120:AB122 AA132:AB136 AA138:AB139 AA137:AF137 AA36:AB39 AA64:AF66 AA87:AF96 AA147:AF149 B229:AF229 O11:R14 A9:AF10 A247:AF250 B238:AF238 A256:AF261 A230:AF233 B253:AF254 B39:F39 M42:O63 P42:P70 AC42:AF63 AA42:AB47 AA40:AF41 D190:K193 M193:O193 P193:P228 W193:W228 T193:V215 M156:O161 P156:R166 D166:K167 Q168:R228 M168:P192 M167:R167 X168:Y228 T168:W192 AA162:AF215 M72:O93 P72:P106 AC67:AF86 M71:P71 D106:F106 M108:O116 P108:R138 M107:R107 AA101:AF119 AC150:AF161 M151:R155 D138:F138 M140:O146 P140:R150 D139:K139 M139:R139 AC138:AF146 B40:K41 M40:P41 D107:K108 E152:K155 D151:K151 D172:F173 H172:K173 B42:B227 C43:C227 E68:K74 A11:A229 B11:C37 E15:F25 G15:K17 E12:K14 Q15:R106 T11:Y167" name="Sortering"/>
    <protectedRange sqref="L39:L63 L106:L116 L197:L210 L11:L35 L67 L97:L102 L165:L193 L69:L93 L150:L161 L120:L146" name="Sortering_1"/>
    <protectedRange sqref="S11" name="Sortering_5"/>
    <protectedRange sqref="S21 S28 S32 S36:S38 S64:S66 S94:S96 S103:S105 S117:S119 S147:S149 S162:S164 S194:S196 S211:S215" name="Sortering_2"/>
    <protectedRange sqref="S39:S41 S67 S97 S106 S120 S150 S165 S197" name="Sortering_5_1"/>
    <protectedRange sqref="S29:S31 S33:S35 S42:S63 S198:S210 S22:S27 S68:S93 S98:S102 S166:S193 L68 Z68 S107:S116 S151:S161 S121:S146 S12:S20" name="Sortering_6_1"/>
    <protectedRange sqref="Z12:Z67 Z69:Z215" name="Sortering_3"/>
  </protectedRanges>
  <autoFilter ref="A9:AF229" xr:uid="{00000000-0009-0000-0000-000002000000}">
    <sortState xmlns:xlrd2="http://schemas.microsoft.com/office/spreadsheetml/2017/richdata2" ref="A10:AF229">
      <sortCondition ref="A9:A229"/>
    </sortState>
  </autoFilter>
  <mergeCells count="5">
    <mergeCell ref="AD8:AF8"/>
    <mergeCell ref="G3:K3"/>
    <mergeCell ref="N3:S3"/>
    <mergeCell ref="U3:Z3"/>
    <mergeCell ref="AB4:AB8"/>
  </mergeCells>
  <phoneticPr fontId="21" type="noConversion"/>
  <conditionalFormatting sqref="G10">
    <cfRule type="expression" dxfId="1830" priority="4513">
      <formula>G10&gt;F10</formula>
    </cfRule>
  </conditionalFormatting>
  <conditionalFormatting sqref="G12:G17">
    <cfRule type="expression" dxfId="1829" priority="11">
      <formula>G12&gt;F12</formula>
    </cfRule>
    <cfRule type="expression" dxfId="1828" priority="12">
      <formula>$AC12=2</formula>
    </cfRule>
  </conditionalFormatting>
  <conditionalFormatting sqref="G19:G20 G29:G31 G33:G38">
    <cfRule type="expression" dxfId="1827" priority="3657">
      <formula>G19&gt;F19</formula>
    </cfRule>
  </conditionalFormatting>
  <conditionalFormatting sqref="G19:G20">
    <cfRule type="expression" dxfId="1826" priority="3658">
      <formula>$AC19=2</formula>
    </cfRule>
  </conditionalFormatting>
  <conditionalFormatting sqref="G22:G27">
    <cfRule type="expression" dxfId="1825" priority="800">
      <formula>G22&gt;F22</formula>
    </cfRule>
  </conditionalFormatting>
  <conditionalFormatting sqref="G40:G46">
    <cfRule type="expression" dxfId="1824" priority="253">
      <formula>$AC40=2</formula>
    </cfRule>
    <cfRule type="expression" dxfId="1823" priority="252">
      <formula>G40&gt;F40</formula>
    </cfRule>
  </conditionalFormatting>
  <conditionalFormatting sqref="G48:G51">
    <cfRule type="expression" dxfId="1822" priority="1216">
      <formula>$AC48=2</formula>
    </cfRule>
    <cfRule type="expression" dxfId="1821" priority="1215">
      <formula>G48&gt;F48</formula>
    </cfRule>
  </conditionalFormatting>
  <conditionalFormatting sqref="G53:G55">
    <cfRule type="expression" dxfId="1820" priority="2354">
      <formula>G53&gt;F53</formula>
    </cfRule>
    <cfRule type="expression" dxfId="1819" priority="2355">
      <formula>$AC53=2</formula>
    </cfRule>
  </conditionalFormatting>
  <conditionalFormatting sqref="G57:G58">
    <cfRule type="expression" dxfId="1818" priority="1213">
      <formula>G57&gt;F57</formula>
    </cfRule>
    <cfRule type="expression" dxfId="1817" priority="1214">
      <formula>$AC57=2</formula>
    </cfRule>
  </conditionalFormatting>
  <conditionalFormatting sqref="G60:G61">
    <cfRule type="expression" dxfId="1816" priority="2296">
      <formula>G60&gt;F60</formula>
    </cfRule>
    <cfRule type="expression" dxfId="1815" priority="2297">
      <formula>$AC60=2</formula>
    </cfRule>
  </conditionalFormatting>
  <conditionalFormatting sqref="G63">
    <cfRule type="expression" dxfId="1814" priority="2268">
      <formula>$AC63=2</formula>
    </cfRule>
  </conditionalFormatting>
  <conditionalFormatting sqref="G63:G66">
    <cfRule type="expression" dxfId="1813" priority="2267">
      <formula>G63&gt;F63</formula>
    </cfRule>
  </conditionalFormatting>
  <conditionalFormatting sqref="G68:G74">
    <cfRule type="expression" dxfId="1812" priority="13">
      <formula>G68&gt;F68</formula>
    </cfRule>
  </conditionalFormatting>
  <conditionalFormatting sqref="G71:G74">
    <cfRule type="expression" dxfId="1811" priority="14">
      <formula>$AC71=2</formula>
    </cfRule>
  </conditionalFormatting>
  <conditionalFormatting sqref="G76:G78">
    <cfRule type="expression" dxfId="1810" priority="2210">
      <formula>$AC76=2</formula>
    </cfRule>
    <cfRule type="expression" dxfId="1809" priority="2209">
      <formula>G76&gt;F76</formula>
    </cfRule>
  </conditionalFormatting>
  <conditionalFormatting sqref="G80:G81">
    <cfRule type="expression" dxfId="1808" priority="2181">
      <formula>$AC80=2</formula>
    </cfRule>
    <cfRule type="expression" dxfId="1807" priority="2180">
      <formula>G80&gt;F80</formula>
    </cfRule>
  </conditionalFormatting>
  <conditionalFormatting sqref="G83:G84">
    <cfRule type="expression" dxfId="1806" priority="2152">
      <formula>$AC83=2</formula>
    </cfRule>
    <cfRule type="expression" dxfId="1805" priority="2151">
      <formula>G83&gt;F83</formula>
    </cfRule>
  </conditionalFormatting>
  <conditionalFormatting sqref="G86:G88">
    <cfRule type="expression" dxfId="1804" priority="750">
      <formula>$AC86=2</formula>
    </cfRule>
    <cfRule type="expression" dxfId="1803" priority="749">
      <formula>G86&gt;F86</formula>
    </cfRule>
  </conditionalFormatting>
  <conditionalFormatting sqref="G90:G91">
    <cfRule type="expression" dxfId="1802" priority="2093">
      <formula>G90&gt;F90</formula>
    </cfRule>
    <cfRule type="expression" dxfId="1801" priority="2094">
      <formula>$AC90=2</formula>
    </cfRule>
  </conditionalFormatting>
  <conditionalFormatting sqref="G93">
    <cfRule type="expression" dxfId="1800" priority="2065">
      <formula>$AC93=2</formula>
    </cfRule>
  </conditionalFormatting>
  <conditionalFormatting sqref="G93:G96">
    <cfRule type="expression" dxfId="1799" priority="2064">
      <formula>G93&gt;F93</formula>
    </cfRule>
  </conditionalFormatting>
  <conditionalFormatting sqref="G98:G99">
    <cfRule type="expression" dxfId="1798" priority="2036">
      <formula>$AC98=2</formula>
    </cfRule>
    <cfRule type="expression" dxfId="1797" priority="2035">
      <formula>G98&gt;F98</formula>
    </cfRule>
  </conditionalFormatting>
  <conditionalFormatting sqref="G101:G102">
    <cfRule type="expression" dxfId="1796" priority="713">
      <formula>$AC101=2</formula>
    </cfRule>
  </conditionalFormatting>
  <conditionalFormatting sqref="G101:G105">
    <cfRule type="expression" dxfId="1795" priority="712">
      <formula>G101&gt;F101</formula>
    </cfRule>
  </conditionalFormatting>
  <conditionalFormatting sqref="G107:G108">
    <cfRule type="expression" dxfId="1794" priority="19">
      <formula>G107&gt;F107</formula>
    </cfRule>
    <cfRule type="expression" dxfId="1793" priority="20">
      <formula>$AC107=2</formula>
    </cfRule>
  </conditionalFormatting>
  <conditionalFormatting sqref="G110">
    <cfRule type="expression" dxfId="1792" priority="1948">
      <formula>G110&gt;F110</formula>
    </cfRule>
    <cfRule type="expression" dxfId="1791" priority="1949">
      <formula>$AC110=2</formula>
    </cfRule>
  </conditionalFormatting>
  <conditionalFormatting sqref="G112:G114">
    <cfRule type="expression" dxfId="1790" priority="1919">
      <formula>G112&gt;F112</formula>
    </cfRule>
    <cfRule type="expression" dxfId="1789" priority="1920">
      <formula>$AC112=2</formula>
    </cfRule>
  </conditionalFormatting>
  <conditionalFormatting sqref="G116">
    <cfRule type="expression" dxfId="1788" priority="1891">
      <formula>$AC116=2</formula>
    </cfRule>
  </conditionalFormatting>
  <conditionalFormatting sqref="G116:G119">
    <cfRule type="expression" dxfId="1787" priority="1890">
      <formula>G116&gt;F116</formula>
    </cfRule>
  </conditionalFormatting>
  <conditionalFormatting sqref="G121:G123">
    <cfRule type="expression" dxfId="1786" priority="1212">
      <formula>$AC121=2</formula>
    </cfRule>
    <cfRule type="expression" dxfId="1785" priority="1211">
      <formula>G121&gt;F121</formula>
    </cfRule>
  </conditionalFormatting>
  <conditionalFormatting sqref="G125:G127">
    <cfRule type="expression" dxfId="1784" priority="1210">
      <formula>$AC125=2</formula>
    </cfRule>
    <cfRule type="expression" dxfId="1783" priority="1209">
      <formula>G125&gt;F125</formula>
    </cfRule>
  </conditionalFormatting>
  <conditionalFormatting sqref="G129:G131">
    <cfRule type="expression" dxfId="1782" priority="1208">
      <formula>$AC129=2</formula>
    </cfRule>
    <cfRule type="expression" dxfId="1781" priority="1207">
      <formula>G129&gt;F129</formula>
    </cfRule>
  </conditionalFormatting>
  <conditionalFormatting sqref="G133:G137">
    <cfRule type="expression" dxfId="1780" priority="892">
      <formula>G133&gt;F133</formula>
    </cfRule>
    <cfRule type="expression" dxfId="1779" priority="893">
      <formula>$AC133=2</formula>
    </cfRule>
  </conditionalFormatting>
  <conditionalFormatting sqref="G139:G142">
    <cfRule type="expression" dxfId="1778" priority="36">
      <formula>$AC139=2</formula>
    </cfRule>
    <cfRule type="expression" dxfId="1777" priority="35">
      <formula>G139&gt;F139</formula>
    </cfRule>
  </conditionalFormatting>
  <conditionalFormatting sqref="G144:G146">
    <cfRule type="expression" dxfId="1776" priority="1688">
      <formula>$AC144=2</formula>
    </cfRule>
  </conditionalFormatting>
  <conditionalFormatting sqref="G144:G149">
    <cfRule type="expression" dxfId="1775" priority="1687">
      <formula>G144&gt;F144</formula>
    </cfRule>
  </conditionalFormatting>
  <conditionalFormatting sqref="G151:G155">
    <cfRule type="expression" dxfId="1774" priority="15">
      <formula>G151&gt;F151</formula>
    </cfRule>
    <cfRule type="expression" dxfId="1773" priority="16">
      <formula>$AC151=2</formula>
    </cfRule>
  </conditionalFormatting>
  <conditionalFormatting sqref="G157">
    <cfRule type="expression" dxfId="1772" priority="1629">
      <formula>G157&gt;F157</formula>
    </cfRule>
    <cfRule type="expression" dxfId="1771" priority="1630">
      <formula>$AC157=2</formula>
    </cfRule>
  </conditionalFormatting>
  <conditionalFormatting sqref="G159">
    <cfRule type="expression" dxfId="1770" priority="1601">
      <formula>$AC159=2</formula>
    </cfRule>
    <cfRule type="expression" dxfId="1769" priority="1600">
      <formula>G159&gt;F159</formula>
    </cfRule>
  </conditionalFormatting>
  <conditionalFormatting sqref="G161">
    <cfRule type="expression" dxfId="1768" priority="1572">
      <formula>$AC161=2</formula>
    </cfRule>
  </conditionalFormatting>
  <conditionalFormatting sqref="G161:G164">
    <cfRule type="expression" dxfId="1767" priority="1571">
      <formula>G161&gt;F161</formula>
    </cfRule>
  </conditionalFormatting>
  <conditionalFormatting sqref="G166:G167">
    <cfRule type="expression" dxfId="1766" priority="188">
      <formula>G166&gt;F166</formula>
    </cfRule>
  </conditionalFormatting>
  <conditionalFormatting sqref="G169:G171">
    <cfRule type="expression" dxfId="1765" priority="1204">
      <formula>$AC169=2</formula>
    </cfRule>
    <cfRule type="expression" dxfId="1764" priority="1203">
      <formula>G169&gt;F169</formula>
    </cfRule>
  </conditionalFormatting>
  <conditionalFormatting sqref="G174:G175">
    <cfRule type="expression" dxfId="1763" priority="1485">
      <formula>$AC174=2</formula>
    </cfRule>
    <cfRule type="expression" dxfId="1762" priority="1484">
      <formula>G174&gt;F174</formula>
    </cfRule>
  </conditionalFormatting>
  <conditionalFormatting sqref="G177:G179">
    <cfRule type="expression" dxfId="1761" priority="1200">
      <formula>$AC177=2</formula>
    </cfRule>
    <cfRule type="expression" dxfId="1760" priority="1199">
      <formula>G177&gt;F177</formula>
    </cfRule>
  </conditionalFormatting>
  <conditionalFormatting sqref="G181:G183">
    <cfRule type="expression" dxfId="1759" priority="1198">
      <formula>$AC181=2</formula>
    </cfRule>
    <cfRule type="expression" dxfId="1758" priority="1197">
      <formula>G181&gt;F181</formula>
    </cfRule>
  </conditionalFormatting>
  <conditionalFormatting sqref="G185">
    <cfRule type="expression" dxfId="1757" priority="1398">
      <formula>$AC185=2</formula>
    </cfRule>
    <cfRule type="expression" dxfId="1756" priority="1397">
      <formula>G185&gt;F185</formula>
    </cfRule>
  </conditionalFormatting>
  <conditionalFormatting sqref="G187:G188">
    <cfRule type="expression" dxfId="1755" priority="1196">
      <formula>$AC187=2</formula>
    </cfRule>
    <cfRule type="expression" dxfId="1754" priority="1195">
      <formula>G187&gt;F187</formula>
    </cfRule>
  </conditionalFormatting>
  <conditionalFormatting sqref="G190:G193">
    <cfRule type="expression" dxfId="1753" priority="1194">
      <formula>$AC190=2</formula>
    </cfRule>
  </conditionalFormatting>
  <conditionalFormatting sqref="G190:G196">
    <cfRule type="expression" dxfId="1752" priority="1193">
      <formula>G190&gt;F190</formula>
    </cfRule>
  </conditionalFormatting>
  <conditionalFormatting sqref="G198:G201">
    <cfRule type="expression" dxfId="1751" priority="845">
      <formula>G198&gt;F198</formula>
    </cfRule>
  </conditionalFormatting>
  <conditionalFormatting sqref="G203:G204">
    <cfRule type="expression" dxfId="1750" priority="1282">
      <formula>$AC203=2</formula>
    </cfRule>
    <cfRule type="expression" dxfId="1749" priority="1281">
      <formula>G203&gt;F203</formula>
    </cfRule>
  </conditionalFormatting>
  <conditionalFormatting sqref="G206:G207">
    <cfRule type="expression" dxfId="1748" priority="1252">
      <formula>G206&gt;F206</formula>
    </cfRule>
    <cfRule type="expression" dxfId="1747" priority="1253">
      <formula>$AC206=2</formula>
    </cfRule>
  </conditionalFormatting>
  <conditionalFormatting sqref="G209:G210">
    <cfRule type="expression" dxfId="1746" priority="1224">
      <formula>$AC209=2</formula>
    </cfRule>
  </conditionalFormatting>
  <conditionalFormatting sqref="G209:G228">
    <cfRule type="expression" dxfId="1745" priority="1223">
      <formula>G209&gt;F209</formula>
    </cfRule>
  </conditionalFormatting>
  <conditionalFormatting sqref="G247">
    <cfRule type="expression" dxfId="1744" priority="4156">
      <formula>G247&gt;F247</formula>
    </cfRule>
  </conditionalFormatting>
  <conditionalFormatting sqref="G250">
    <cfRule type="expression" dxfId="1743" priority="4069">
      <formula>G250&gt;F250</formula>
    </cfRule>
  </conditionalFormatting>
  <conditionalFormatting sqref="G253:G254">
    <cfRule type="expression" dxfId="1742" priority="4043">
      <formula>G253&gt;F253</formula>
    </cfRule>
  </conditionalFormatting>
  <conditionalFormatting sqref="G257:G260">
    <cfRule type="expression" dxfId="1741" priority="3930">
      <formula>G257&gt;F257</formula>
    </cfRule>
  </conditionalFormatting>
  <conditionalFormatting sqref="G68:I70">
    <cfRule type="expression" dxfId="1740" priority="2239">
      <formula>$AC68=2</formula>
    </cfRule>
  </conditionalFormatting>
  <conditionalFormatting sqref="G26:K27">
    <cfRule type="expression" dxfId="1739" priority="802">
      <formula>$AC26=2</formula>
    </cfRule>
  </conditionalFormatting>
  <conditionalFormatting sqref="G166:L167">
    <cfRule type="expression" dxfId="1738" priority="189">
      <formula>$AC166=2</formula>
    </cfRule>
  </conditionalFormatting>
  <conditionalFormatting sqref="G198:L199">
    <cfRule type="expression" dxfId="1737" priority="846">
      <formula>$AC198=2</formula>
    </cfRule>
  </conditionalFormatting>
  <conditionalFormatting sqref="G211:L228">
    <cfRule type="expression" dxfId="1736" priority="1168">
      <formula>$AC211=2</formula>
    </cfRule>
  </conditionalFormatting>
  <conditionalFormatting sqref="H11:H228">
    <cfRule type="expression" dxfId="1734" priority="26">
      <formula>F11=0</formula>
    </cfRule>
  </conditionalFormatting>
  <conditionalFormatting sqref="H40:I63">
    <cfRule type="expression" dxfId="1733" priority="254">
      <formula>$AC40=2</formula>
    </cfRule>
  </conditionalFormatting>
  <conditionalFormatting sqref="H71:I93">
    <cfRule type="expression" dxfId="1732" priority="150">
      <formula>$AC71=2</formula>
    </cfRule>
  </conditionalFormatting>
  <conditionalFormatting sqref="H107:I116">
    <cfRule type="expression" dxfId="1731" priority="134">
      <formula>$AC107=2</formula>
    </cfRule>
  </conditionalFormatting>
  <conditionalFormatting sqref="H248:J248 L248 AZ248">
    <cfRule type="expression" dxfId="1730" priority="4108">
      <formula>$AC21=2</formula>
    </cfRule>
  </conditionalFormatting>
  <conditionalFormatting sqref="H249:J249 L249">
    <cfRule type="expression" dxfId="1729" priority="3726">
      <formula>$AC28=2</formula>
    </cfRule>
  </conditionalFormatting>
  <conditionalFormatting sqref="H12:K25">
    <cfRule type="expression" dxfId="1728" priority="3670">
      <formula>$AC12=2</formula>
    </cfRule>
  </conditionalFormatting>
  <conditionalFormatting sqref="H39:K39">
    <cfRule type="expression" dxfId="1727" priority="3316">
      <formula>$AC39=2</formula>
    </cfRule>
  </conditionalFormatting>
  <conditionalFormatting sqref="H106:K106">
    <cfRule type="expression" dxfId="1726" priority="3253">
      <formula>$AC106=2</formula>
    </cfRule>
  </conditionalFormatting>
  <conditionalFormatting sqref="H11:L11">
    <cfRule type="expression" dxfId="1725" priority="3755">
      <formula>$AC11=2</formula>
    </cfRule>
  </conditionalFormatting>
  <conditionalFormatting sqref="H28:L35">
    <cfRule type="expression" dxfId="1724" priority="3663">
      <formula>$AC28=2</formula>
    </cfRule>
  </conditionalFormatting>
  <conditionalFormatting sqref="H67:L67">
    <cfRule type="expression" dxfId="1723" priority="3290">
      <formula>$AC67=2</formula>
    </cfRule>
  </conditionalFormatting>
  <conditionalFormatting sqref="H97:L102">
    <cfRule type="expression" dxfId="1722" priority="716">
      <formula>$AC97=2</formula>
    </cfRule>
  </conditionalFormatting>
  <conditionalFormatting sqref="H120:L120">
    <cfRule type="expression" dxfId="1721" priority="3227">
      <formula>$AC120=2</formula>
    </cfRule>
  </conditionalFormatting>
  <conditionalFormatting sqref="H140:L146">
    <cfRule type="expression" dxfId="1720" priority="1689">
      <formula>$AC140=2</formula>
    </cfRule>
  </conditionalFormatting>
  <conditionalFormatting sqref="H150:L161">
    <cfRule type="expression" dxfId="1719" priority="93">
      <formula>$AC150=2</formula>
    </cfRule>
  </conditionalFormatting>
  <conditionalFormatting sqref="H165:L165">
    <cfRule type="expression" dxfId="1718" priority="3185">
      <formula>$AC165=2</formula>
    </cfRule>
  </conditionalFormatting>
  <conditionalFormatting sqref="H168:L193">
    <cfRule type="expression" dxfId="1717" priority="1341">
      <formula>$AC168=2</formula>
    </cfRule>
  </conditionalFormatting>
  <conditionalFormatting sqref="H197:L197">
    <cfRule type="expression" dxfId="1716" priority="3164">
      <formula>$AC197=2</formula>
    </cfRule>
  </conditionalFormatting>
  <conditionalFormatting sqref="H202:L210">
    <cfRule type="expression" dxfId="1715" priority="1225">
      <formula>$AC202=2</formula>
    </cfRule>
  </conditionalFormatting>
  <conditionalFormatting sqref="H238:L238 Q238:S238 X238:Z238 AZ238">
    <cfRule type="expression" dxfId="1714" priority="3836">
      <formula>$AC47=2</formula>
    </cfRule>
  </conditionalFormatting>
  <conditionalFormatting sqref="H261:L261">
    <cfRule type="expression" dxfId="1713" priority="4017">
      <formula>$AC150=2</formula>
    </cfRule>
  </conditionalFormatting>
  <conditionalFormatting sqref="I11:I228">
    <cfRule type="expression" dxfId="1712" priority="25">
      <formula>F11=0</formula>
    </cfRule>
  </conditionalFormatting>
  <conditionalFormatting sqref="J135:J138">
    <cfRule type="expression" dxfId="1711" priority="671">
      <formula>$AC135=2</formula>
    </cfRule>
    <cfRule type="expression" dxfId="1710" priority="672">
      <formula>$AD135=4</formula>
    </cfRule>
    <cfRule type="expression" dxfId="1709" priority="673">
      <formula>$AD135=3</formula>
    </cfRule>
    <cfRule type="expression" dxfId="1708" priority="674">
      <formula>$AD135=2</formula>
    </cfRule>
    <cfRule type="expression" dxfId="1707" priority="675">
      <formula>$AD135=1</formula>
    </cfRule>
  </conditionalFormatting>
  <conditionalFormatting sqref="J223">
    <cfRule type="expression" dxfId="1706" priority="4313">
      <formula>$AD223=2</formula>
    </cfRule>
    <cfRule type="expression" dxfId="1705" priority="4314">
      <formula>$AD223=1</formula>
    </cfRule>
  </conditionalFormatting>
  <conditionalFormatting sqref="J224">
    <cfRule type="expression" dxfId="1704" priority="4294">
      <formula>$AD224=1</formula>
    </cfRule>
    <cfRule type="expression" dxfId="1703" priority="4293">
      <formula>$AD224=2</formula>
    </cfRule>
  </conditionalFormatting>
  <conditionalFormatting sqref="J225">
    <cfRule type="expression" dxfId="1702" priority="4273">
      <formula>$AD225=2</formula>
    </cfRule>
    <cfRule type="expression" dxfId="1701" priority="4274">
      <formula>$AD225=1</formula>
    </cfRule>
  </conditionalFormatting>
  <conditionalFormatting sqref="J226">
    <cfRule type="expression" dxfId="1700" priority="4254">
      <formula>$AD226=1</formula>
    </cfRule>
    <cfRule type="expression" dxfId="1699" priority="4253">
      <formula>$AD226=2</formula>
    </cfRule>
  </conditionalFormatting>
  <conditionalFormatting sqref="J10:K11 J28:K34 J36:K38 J64:K66 J88:K88 J94:K96 J103:K105 J117:K119 K135:K136 J147:K149 J162:K164 J174:K175 J194:K196 J198:K198 J213:K222 J238:K238 J247:K250 J253:K254 J256:K261">
    <cfRule type="expression" dxfId="1698" priority="4636">
      <formula>$AD10=1</formula>
    </cfRule>
    <cfRule type="expression" dxfId="1697" priority="4635">
      <formula>$AD10=2</formula>
    </cfRule>
  </conditionalFormatting>
  <conditionalFormatting sqref="J10:K11 J28:K34 J36:K38 J64:K66 J88:K88 J94:K96 J103:K105 J117:K119 K135:K136 J147:K149 J162:K164 J174:K175 J194:K196 J198:K198 J238:K238 J247:K250 J253:K254 J256:K261">
    <cfRule type="expression" dxfId="1696" priority="4634">
      <formula>$AD10=3</formula>
    </cfRule>
  </conditionalFormatting>
  <conditionalFormatting sqref="J10:K11 J36:K38 J64:K66 J94:K96 J103:K105 J117:K119 J147:K149 J162:K164 J194:K196 J247:K250 J253:K254 J256:K261 J238:K238">
    <cfRule type="expression" dxfId="1695" priority="4633">
      <formula>$AD10=4</formula>
    </cfRule>
  </conditionalFormatting>
  <conditionalFormatting sqref="J12:K25">
    <cfRule type="expression" dxfId="1694" priority="3673">
      <formula>$AD12=2</formula>
    </cfRule>
    <cfRule type="expression" dxfId="1693" priority="3674">
      <formula>$AD12=1</formula>
    </cfRule>
    <cfRule type="expression" dxfId="1692" priority="3671">
      <formula>$AD12=4</formula>
    </cfRule>
    <cfRule type="expression" dxfId="1691" priority="3672">
      <formula>$AD12=3</formula>
    </cfRule>
  </conditionalFormatting>
  <conditionalFormatting sqref="J26:K27">
    <cfRule type="expression" dxfId="1690" priority="805">
      <formula>$AD26=2</formula>
    </cfRule>
    <cfRule type="expression" dxfId="1689" priority="804">
      <formula>$AD26=3</formula>
    </cfRule>
    <cfRule type="expression" dxfId="1688" priority="803">
      <formula>$AD26=4</formula>
    </cfRule>
    <cfRule type="expression" dxfId="1687" priority="806">
      <formula>$AD26=1</formula>
    </cfRule>
  </conditionalFormatting>
  <conditionalFormatting sqref="J28:K35">
    <cfRule type="expression" dxfId="1686" priority="3665">
      <formula>$AD28=4</formula>
    </cfRule>
  </conditionalFormatting>
  <conditionalFormatting sqref="J35:K35">
    <cfRule type="expression" dxfId="1685" priority="3667">
      <formula>$AD35=2</formula>
    </cfRule>
    <cfRule type="expression" dxfId="1684" priority="3666">
      <formula>$AD35=3</formula>
    </cfRule>
    <cfRule type="expression" dxfId="1683" priority="3668">
      <formula>$AD35=1</formula>
    </cfRule>
  </conditionalFormatting>
  <conditionalFormatting sqref="J39:K41">
    <cfRule type="expression" dxfId="1682" priority="3326">
      <formula>$AD39=3</formula>
    </cfRule>
    <cfRule type="expression" dxfId="1681" priority="3325">
      <formula>$AD39=4</formula>
    </cfRule>
    <cfRule type="expression" dxfId="1680" priority="3327">
      <formula>$AD39=2</formula>
    </cfRule>
    <cfRule type="expression" dxfId="1679" priority="3328">
      <formula>$AD39=1</formula>
    </cfRule>
  </conditionalFormatting>
  <conditionalFormatting sqref="J40:K46">
    <cfRule type="expression" dxfId="1678" priority="2415">
      <formula>$AC40=2</formula>
    </cfRule>
  </conditionalFormatting>
  <conditionalFormatting sqref="J42:K46">
    <cfRule type="expression" dxfId="1677" priority="2419">
      <formula>$AD42=1</formula>
    </cfRule>
  </conditionalFormatting>
  <conditionalFormatting sqref="J42:K47">
    <cfRule type="expression" dxfId="1676" priority="2416">
      <formula>$AD42=4</formula>
    </cfRule>
    <cfRule type="expression" dxfId="1675" priority="2418">
      <formula>$AD42=2</formula>
    </cfRule>
    <cfRule type="expression" dxfId="1674" priority="2417">
      <formula>$AD42=3</formula>
    </cfRule>
  </conditionalFormatting>
  <conditionalFormatting sqref="J47:K47">
    <cfRule type="expression" dxfId="1673" priority="3146">
      <formula>$AD47=1</formula>
    </cfRule>
  </conditionalFormatting>
  <conditionalFormatting sqref="J48:K63">
    <cfRule type="expression" dxfId="1672" priority="2271">
      <formula>$AD48=4</formula>
    </cfRule>
    <cfRule type="expression" dxfId="1671" priority="2273">
      <formula>$AD48=2</formula>
    </cfRule>
    <cfRule type="expression" dxfId="1670" priority="2272">
      <formula>$AD48=3</formula>
    </cfRule>
    <cfRule type="expression" dxfId="1669" priority="2274">
      <formula>$AD48=1</formula>
    </cfRule>
  </conditionalFormatting>
  <conditionalFormatting sqref="J67:K67">
    <cfRule type="expression" dxfId="1668" priority="3305">
      <formula>$AD67=3</formula>
    </cfRule>
    <cfRule type="expression" dxfId="1667" priority="3306">
      <formula>$AD67=2</formula>
    </cfRule>
    <cfRule type="expression" dxfId="1666" priority="3304">
      <formula>$AD67=4</formula>
    </cfRule>
    <cfRule type="expression" dxfId="1665" priority="3307">
      <formula>$AD67=1</formula>
    </cfRule>
  </conditionalFormatting>
  <conditionalFormatting sqref="J68:K74">
    <cfRule type="expression" dxfId="1664" priority="2241">
      <formula>$AC68=2</formula>
    </cfRule>
  </conditionalFormatting>
  <conditionalFormatting sqref="J68:K75">
    <cfRule type="expression" dxfId="1663" priority="2243">
      <formula>$AD68=3</formula>
    </cfRule>
    <cfRule type="expression" dxfId="1662" priority="2242">
      <formula>$AD68=4</formula>
    </cfRule>
    <cfRule type="expression" dxfId="1661" priority="2244">
      <formula>$AD68=2</formula>
    </cfRule>
    <cfRule type="expression" dxfId="1660" priority="2245">
      <formula>$AD68=1</formula>
    </cfRule>
  </conditionalFormatting>
  <conditionalFormatting sqref="J76:K87">
    <cfRule type="expression" dxfId="1659" priority="755">
      <formula>$AD76=2</formula>
    </cfRule>
    <cfRule type="expression" dxfId="1658" priority="756">
      <formula>$AD76=1</formula>
    </cfRule>
    <cfRule type="expression" dxfId="1657" priority="754">
      <formula>$AD76=3</formula>
    </cfRule>
  </conditionalFormatting>
  <conditionalFormatting sqref="J76:K93">
    <cfRule type="expression" dxfId="1656" priority="753">
      <formula>$AD76=4</formula>
    </cfRule>
  </conditionalFormatting>
  <conditionalFormatting sqref="J89:K93">
    <cfRule type="expression" dxfId="1655" priority="2070">
      <formula>$AD89=2</formula>
    </cfRule>
    <cfRule type="expression" dxfId="1654" priority="2071">
      <formula>$AD89=1</formula>
    </cfRule>
    <cfRule type="expression" dxfId="1653" priority="2069">
      <formula>$AD89=3</formula>
    </cfRule>
  </conditionalFormatting>
  <conditionalFormatting sqref="J97:K97">
    <cfRule type="expression" dxfId="1652" priority="3286">
      <formula>$AD97=1</formula>
    </cfRule>
    <cfRule type="expression" dxfId="1651" priority="3285">
      <formula>$AD97=2</formula>
    </cfRule>
  </conditionalFormatting>
  <conditionalFormatting sqref="J97:K102">
    <cfRule type="expression" dxfId="1650" priority="719">
      <formula>$AD97=3</formula>
    </cfRule>
    <cfRule type="expression" dxfId="1649" priority="718">
      <formula>$AD97=4</formula>
    </cfRule>
  </conditionalFormatting>
  <conditionalFormatting sqref="J98:K102">
    <cfRule type="expression" dxfId="1648" priority="720">
      <formula>$AD98=2</formula>
    </cfRule>
    <cfRule type="expression" dxfId="1647" priority="721">
      <formula>$AD98=1</formula>
    </cfRule>
  </conditionalFormatting>
  <conditionalFormatting sqref="J106:K107">
    <cfRule type="expression" dxfId="1646" priority="3263">
      <formula>$AD106=3</formula>
    </cfRule>
    <cfRule type="expression" dxfId="1645" priority="3265">
      <formula>$AD106=1</formula>
    </cfRule>
    <cfRule type="expression" dxfId="1644" priority="3264">
      <formula>$AD106=2</formula>
    </cfRule>
    <cfRule type="expression" dxfId="1643" priority="3262">
      <formula>$AD106=4</formula>
    </cfRule>
  </conditionalFormatting>
  <conditionalFormatting sqref="J107:K108">
    <cfRule type="expression" dxfId="1642" priority="1980">
      <formula>$AC107=2</formula>
    </cfRule>
  </conditionalFormatting>
  <conditionalFormatting sqref="J108:K109">
    <cfRule type="expression" dxfId="1641" priority="1982">
      <formula>$AD108=3</formula>
    </cfRule>
    <cfRule type="expression" dxfId="1640" priority="1984">
      <formula>$AD108=1</formula>
    </cfRule>
    <cfRule type="expression" dxfId="1639" priority="1983">
      <formula>$AD108=2</formula>
    </cfRule>
    <cfRule type="expression" dxfId="1638" priority="1981">
      <formula>$AD108=4</formula>
    </cfRule>
  </conditionalFormatting>
  <conditionalFormatting sqref="J110:K116">
    <cfRule type="expression" dxfId="1637" priority="1895">
      <formula>$AD110=3</formula>
    </cfRule>
    <cfRule type="expression" dxfId="1636" priority="1897">
      <formula>$AD110=1</formula>
    </cfRule>
    <cfRule type="expression" dxfId="1635" priority="1896">
      <formula>$AD110=2</formula>
    </cfRule>
    <cfRule type="expression" dxfId="1634" priority="1894">
      <formula>$AD110=4</formula>
    </cfRule>
  </conditionalFormatting>
  <conditionalFormatting sqref="J120:K120">
    <cfRule type="expression" dxfId="1633" priority="3242">
      <formula>$AD120=3</formula>
    </cfRule>
    <cfRule type="expression" dxfId="1632" priority="3241">
      <formula>$AD120=4</formula>
    </cfRule>
    <cfRule type="expression" dxfId="1631" priority="3244">
      <formula>$AD120=1</formula>
    </cfRule>
    <cfRule type="expression" dxfId="1630" priority="3243">
      <formula>$AD120=2</formula>
    </cfRule>
  </conditionalFormatting>
  <conditionalFormatting sqref="J121:K132">
    <cfRule type="expression" dxfId="1629" priority="1781">
      <formula>$AD121=1</formula>
    </cfRule>
    <cfRule type="expression" dxfId="1628" priority="1780">
      <formula>$AD121=2</formula>
    </cfRule>
    <cfRule type="expression" dxfId="1627" priority="1779">
      <formula>$AD121=3</formula>
    </cfRule>
    <cfRule type="expression" dxfId="1626" priority="1778">
      <formula>$AD121=4</formula>
    </cfRule>
  </conditionalFormatting>
  <conditionalFormatting sqref="J133:K134">
    <cfRule type="expression" dxfId="1625" priority="1751">
      <formula>$AD133=2</formula>
    </cfRule>
    <cfRule type="expression" dxfId="1624" priority="1752">
      <formula>$AD133=1</formula>
    </cfRule>
    <cfRule type="expression" dxfId="1623" priority="1748">
      <formula>$AC133=2</formula>
    </cfRule>
    <cfRule type="expression" dxfId="1622" priority="1749">
      <formula>$AD133=4</formula>
    </cfRule>
    <cfRule type="expression" dxfId="1621" priority="1750">
      <formula>$AD133=3</formula>
    </cfRule>
  </conditionalFormatting>
  <conditionalFormatting sqref="J139:K139">
    <cfRule type="expression" dxfId="1620" priority="43">
      <formula>$AD139=2</formula>
    </cfRule>
    <cfRule type="expression" dxfId="1619" priority="41">
      <formula>$AD139=4</formula>
    </cfRule>
    <cfRule type="expression" dxfId="1618" priority="42">
      <formula>$AD139=3</formula>
    </cfRule>
    <cfRule type="expression" dxfId="1617" priority="44">
      <formula>$AD139=1</formula>
    </cfRule>
  </conditionalFormatting>
  <conditionalFormatting sqref="J140:K146">
    <cfRule type="expression" dxfId="1616" priority="1694">
      <formula>$AD140=1</formula>
    </cfRule>
    <cfRule type="expression" dxfId="1615" priority="1691">
      <formula>$AD140=4</formula>
    </cfRule>
    <cfRule type="expression" dxfId="1614" priority="1692">
      <formula>$AD140=3</formula>
    </cfRule>
    <cfRule type="expression" dxfId="1613" priority="1693">
      <formula>$AD140=2</formula>
    </cfRule>
  </conditionalFormatting>
  <conditionalFormatting sqref="J150:K150">
    <cfRule type="expression" dxfId="1612" priority="3223">
      <formula>$AD150=1</formula>
    </cfRule>
    <cfRule type="expression" dxfId="1611" priority="3222">
      <formula>$AD150=2</formula>
    </cfRule>
  </conditionalFormatting>
  <conditionalFormatting sqref="J150:K161">
    <cfRule type="expression" dxfId="1610" priority="97">
      <formula>$AD150=3</formula>
    </cfRule>
    <cfRule type="expression" dxfId="1609" priority="96">
      <formula>$AD150=4</formula>
    </cfRule>
  </conditionalFormatting>
  <conditionalFormatting sqref="J151:K161">
    <cfRule type="expression" dxfId="1608" priority="98">
      <formula>$AD151=2</formula>
    </cfRule>
    <cfRule type="expression" dxfId="1607" priority="99">
      <formula>$AD151=1</formula>
    </cfRule>
  </conditionalFormatting>
  <conditionalFormatting sqref="J165:K165">
    <cfRule type="expression" dxfId="1606" priority="3200">
      <formula>$AD165=3</formula>
    </cfRule>
    <cfRule type="expression" dxfId="1605" priority="3199">
      <formula>$AD165=4</formula>
    </cfRule>
    <cfRule type="expression" dxfId="1604" priority="3201">
      <formula>$AD165=2</formula>
    </cfRule>
    <cfRule type="expression" dxfId="1603" priority="3202">
      <formula>$AD165=1</formula>
    </cfRule>
  </conditionalFormatting>
  <conditionalFormatting sqref="J166:K167">
    <cfRule type="expression" dxfId="1602" priority="193">
      <formula>$AD166=2</formula>
    </cfRule>
    <cfRule type="expression" dxfId="1601" priority="191">
      <formula>$AD166=4</formula>
    </cfRule>
    <cfRule type="expression" dxfId="1600" priority="192">
      <formula>$AD166=3</formula>
    </cfRule>
    <cfRule type="expression" dxfId="1599" priority="194">
      <formula>$AD166=1</formula>
    </cfRule>
  </conditionalFormatting>
  <conditionalFormatting sqref="J168:K173">
    <cfRule type="expression" dxfId="1598" priority="1520">
      <formula>$AD168=1</formula>
    </cfRule>
    <cfRule type="expression" dxfId="1597" priority="1518">
      <formula>$AD168=3</formula>
    </cfRule>
    <cfRule type="expression" dxfId="1596" priority="1519">
      <formula>$AD168=2</formula>
    </cfRule>
  </conditionalFormatting>
  <conditionalFormatting sqref="J168:K193">
    <cfRule type="expression" dxfId="1595" priority="1343">
      <formula>$AD168=4</formula>
    </cfRule>
  </conditionalFormatting>
  <conditionalFormatting sqref="J176:K193">
    <cfRule type="expression" dxfId="1594" priority="1345">
      <formula>$AD176=2</formula>
    </cfRule>
    <cfRule type="expression" dxfId="1593" priority="1344">
      <formula>$AD176=3</formula>
    </cfRule>
    <cfRule type="expression" dxfId="1592" priority="1346">
      <formula>$AD176=1</formula>
    </cfRule>
  </conditionalFormatting>
  <conditionalFormatting sqref="J197:K197">
    <cfRule type="expression" dxfId="1591" priority="3179">
      <formula>$AD197=3</formula>
    </cfRule>
    <cfRule type="expression" dxfId="1590" priority="3180">
      <formula>$AD197=2</formula>
    </cfRule>
    <cfRule type="expression" dxfId="1589" priority="3181">
      <formula>$AD197=1</formula>
    </cfRule>
  </conditionalFormatting>
  <conditionalFormatting sqref="J197:K198">
    <cfRule type="expression" dxfId="1588" priority="3178">
      <formula>$AD197=4</formula>
    </cfRule>
  </conditionalFormatting>
  <conditionalFormatting sqref="J199:K201">
    <cfRule type="expression" dxfId="1587" priority="850">
      <formula>$AD199=4</formula>
    </cfRule>
    <cfRule type="expression" dxfId="1586" priority="851">
      <formula>$AD199=3</formula>
    </cfRule>
    <cfRule type="expression" dxfId="1585" priority="852">
      <formula>$AD199=2</formula>
    </cfRule>
    <cfRule type="expression" dxfId="1584" priority="853">
      <formula>$AD199=1</formula>
    </cfRule>
  </conditionalFormatting>
  <conditionalFormatting sqref="J202:K210">
    <cfRule type="expression" dxfId="1583" priority="1229">
      <formula>$AD202=2</formula>
    </cfRule>
    <cfRule type="expression" dxfId="1582" priority="1230">
      <formula>$AD202=1</formula>
    </cfRule>
    <cfRule type="expression" dxfId="1581" priority="1228">
      <formula>$AD202=3</formula>
    </cfRule>
  </conditionalFormatting>
  <conditionalFormatting sqref="J202:K226">
    <cfRule type="expression" dxfId="1580" priority="1227">
      <formula>$AD202=4</formula>
    </cfRule>
  </conditionalFormatting>
  <conditionalFormatting sqref="J211:K212">
    <cfRule type="expression" dxfId="1579" priority="4539">
      <formula>$AD211=2</formula>
    </cfRule>
    <cfRule type="expression" dxfId="1578" priority="4540">
      <formula>$AD211=1</formula>
    </cfRule>
  </conditionalFormatting>
  <conditionalFormatting sqref="J211:K222">
    <cfRule type="expression" dxfId="1577" priority="4538">
      <formula>$AD211=3</formula>
    </cfRule>
  </conditionalFormatting>
  <conditionalFormatting sqref="J223:K226">
    <cfRule type="expression" dxfId="1576" priority="3851">
      <formula>$AD223=3</formula>
    </cfRule>
  </conditionalFormatting>
  <conditionalFormatting sqref="J227:K227">
    <cfRule type="expression" dxfId="1575" priority="1171">
      <formula>$AD227=2</formula>
    </cfRule>
    <cfRule type="expression" dxfId="1574" priority="1172">
      <formula>$AD227=1</formula>
    </cfRule>
  </conditionalFormatting>
  <conditionalFormatting sqref="J227:K229">
    <cfRule type="expression" dxfId="1573" priority="1169">
      <formula>$AD227=4</formula>
    </cfRule>
    <cfRule type="expression" dxfId="1572" priority="1170">
      <formula>$AD227=3</formula>
    </cfRule>
  </conditionalFormatting>
  <conditionalFormatting sqref="J228:K229">
    <cfRule type="expression" dxfId="1571" priority="4528">
      <formula>$AD228=1</formula>
    </cfRule>
    <cfRule type="expression" dxfId="1570" priority="4527">
      <formula>$AD228=2</formula>
    </cfRule>
  </conditionalFormatting>
  <conditionalFormatting sqref="J47:L63">
    <cfRule type="expression" dxfId="1569" priority="2269">
      <formula>$AC47=2</formula>
    </cfRule>
  </conditionalFormatting>
  <conditionalFormatting sqref="J75:L93">
    <cfRule type="expression" dxfId="1568" priority="751">
      <formula>$AC75=2</formula>
    </cfRule>
  </conditionalFormatting>
  <conditionalFormatting sqref="J109:L116">
    <cfRule type="expression" dxfId="1567" priority="1892">
      <formula>$AC109=2</formula>
    </cfRule>
  </conditionalFormatting>
  <conditionalFormatting sqref="J121:L132">
    <cfRule type="expression" dxfId="1566" priority="1776">
      <formula>$AC121=2</formula>
    </cfRule>
  </conditionalFormatting>
  <conditionalFormatting sqref="J139:L139">
    <cfRule type="expression" dxfId="1565" priority="39">
      <formula>$AC139=2</formula>
    </cfRule>
  </conditionalFormatting>
  <conditionalFormatting sqref="K135:K137">
    <cfRule type="expression" dxfId="1564" priority="896">
      <formula>$AD135=4</formula>
    </cfRule>
    <cfRule type="expression" dxfId="1563" priority="895">
      <formula>$AC135=2</formula>
    </cfRule>
  </conditionalFormatting>
  <conditionalFormatting sqref="K137">
    <cfRule type="expression" dxfId="1562" priority="899">
      <formula>$AD137=1</formula>
    </cfRule>
    <cfRule type="expression" dxfId="1561" priority="898">
      <formula>$AD137=2</formula>
    </cfRule>
    <cfRule type="expression" dxfId="1560" priority="897">
      <formula>$AD137=3</formula>
    </cfRule>
  </conditionalFormatting>
  <conditionalFormatting sqref="K138">
    <cfRule type="expression" dxfId="1559" priority="2748">
      <formula>$AD138=3</formula>
    </cfRule>
    <cfRule type="expression" dxfId="1558" priority="2749">
      <formula>$AD138=2</formula>
    </cfRule>
    <cfRule type="expression" dxfId="1557" priority="2750">
      <formula>$AD138=1</formula>
    </cfRule>
    <cfRule type="expression" dxfId="1556" priority="2747">
      <formula>$AD138=4</formula>
    </cfRule>
  </conditionalFormatting>
  <conditionalFormatting sqref="K223">
    <cfRule type="expression" dxfId="1555" priority="3868">
      <formula>$AD223=1</formula>
    </cfRule>
    <cfRule type="expression" dxfId="1554" priority="3867">
      <formula>$AD223=2</formula>
    </cfRule>
  </conditionalFormatting>
  <conditionalFormatting sqref="K224">
    <cfRule type="expression" dxfId="1553" priority="3862">
      <formula>$AD224=2</formula>
    </cfRule>
    <cfRule type="expression" dxfId="1552" priority="3863">
      <formula>$AD224=1</formula>
    </cfRule>
  </conditionalFormatting>
  <conditionalFormatting sqref="K225">
    <cfRule type="expression" dxfId="1551" priority="3858">
      <formula>$AD225=1</formula>
    </cfRule>
    <cfRule type="expression" dxfId="1550" priority="3857">
      <formula>$AD225=2</formula>
    </cfRule>
  </conditionalFormatting>
  <conditionalFormatting sqref="K226">
    <cfRule type="expression" dxfId="1549" priority="3853">
      <formula>$AD226=1</formula>
    </cfRule>
    <cfRule type="expression" dxfId="1548" priority="3852">
      <formula>$AD226=2</formula>
    </cfRule>
  </conditionalFormatting>
  <conditionalFormatting sqref="K138:L138">
    <cfRule type="expression" dxfId="1547" priority="2745">
      <formula>$AC138=2</formula>
    </cfRule>
  </conditionalFormatting>
  <conditionalFormatting sqref="L12:L27">
    <cfRule type="expression" dxfId="1546" priority="670">
      <formula>$AC12=2</formula>
    </cfRule>
  </conditionalFormatting>
  <conditionalFormatting sqref="L39:L46">
    <cfRule type="expression" dxfId="1545" priority="2414">
      <formula>$AC39=2</formula>
    </cfRule>
  </conditionalFormatting>
  <conditionalFormatting sqref="L68">
    <cfRule type="expression" dxfId="1544" priority="256">
      <formula>$AA68=2</formula>
    </cfRule>
  </conditionalFormatting>
  <conditionalFormatting sqref="L69:L74">
    <cfRule type="expression" dxfId="1543" priority="2240">
      <formula>$AC69=2</formula>
    </cfRule>
  </conditionalFormatting>
  <conditionalFormatting sqref="L106:L108">
    <cfRule type="expression" dxfId="1542" priority="1979">
      <formula>$AC106=2</formula>
    </cfRule>
  </conditionalFormatting>
  <conditionalFormatting sqref="L133:L137">
    <cfRule type="expression" dxfId="1541" priority="894">
      <formula>$AC133=2</formula>
    </cfRule>
  </conditionalFormatting>
  <conditionalFormatting sqref="L175">
    <cfRule type="expression" dxfId="1540" priority="685">
      <formula>$AC175=2</formula>
    </cfRule>
  </conditionalFormatting>
  <conditionalFormatting sqref="L179">
    <cfRule type="expression" dxfId="1539" priority="678">
      <formula>$AC179=2</formula>
    </cfRule>
  </conditionalFormatting>
  <conditionalFormatting sqref="N12">
    <cfRule type="expression" dxfId="1538" priority="3583">
      <formula>N12&gt;F12</formula>
    </cfRule>
  </conditionalFormatting>
  <conditionalFormatting sqref="N12:N17">
    <cfRule type="expression" dxfId="1537" priority="3584">
      <formula>$AC12=2</formula>
    </cfRule>
  </conditionalFormatting>
  <conditionalFormatting sqref="N13:N14">
    <cfRule type="expression" dxfId="1534" priority="3599">
      <formula>N13&gt;F13</formula>
    </cfRule>
  </conditionalFormatting>
  <conditionalFormatting sqref="N15">
    <cfRule type="expression" dxfId="1533" priority="3615">
      <formula>N15&gt;F15</formula>
    </cfRule>
  </conditionalFormatting>
  <conditionalFormatting sqref="N16">
    <cfRule type="expression" dxfId="1532" priority="3631">
      <formula>N16&gt;F16</formula>
    </cfRule>
  </conditionalFormatting>
  <conditionalFormatting sqref="N17">
    <cfRule type="expression" dxfId="1531" priority="3647">
      <formula>N17&gt;F17</formula>
    </cfRule>
  </conditionalFormatting>
  <conditionalFormatting sqref="N22">
    <cfRule type="expression" dxfId="1530" priority="3567">
      <formula>N22&gt;F22</formula>
    </cfRule>
  </conditionalFormatting>
  <conditionalFormatting sqref="N22:N25">
    <cfRule type="expression" dxfId="1529" priority="3520">
      <formula>$AC22=2</formula>
    </cfRule>
  </conditionalFormatting>
  <conditionalFormatting sqref="N23">
    <cfRule type="expression" dxfId="1526" priority="3551">
      <formula>N23&gt;F23</formula>
    </cfRule>
  </conditionalFormatting>
  <conditionalFormatting sqref="N24">
    <cfRule type="expression" dxfId="1525" priority="3535">
      <formula>N24&gt;F24</formula>
    </cfRule>
  </conditionalFormatting>
  <conditionalFormatting sqref="N25">
    <cfRule type="expression" dxfId="1524" priority="3519">
      <formula>N25&gt;F25</formula>
    </cfRule>
  </conditionalFormatting>
  <conditionalFormatting sqref="N26">
    <cfRule type="expression" dxfId="1523" priority="819">
      <formula>N26&gt;F26</formula>
    </cfRule>
    <cfRule type="expression" dxfId="1522" priority="820">
      <formula>$AC26=2</formula>
    </cfRule>
  </conditionalFormatting>
  <conditionalFormatting sqref="N27">
    <cfRule type="expression" dxfId="1521" priority="790">
      <formula>N27&gt;F27</formula>
    </cfRule>
    <cfRule type="expression" dxfId="1520" priority="791">
      <formula>$AC27=2</formula>
    </cfRule>
  </conditionalFormatting>
  <conditionalFormatting sqref="N29">
    <cfRule type="expression" dxfId="1519" priority="3503">
      <formula>N29&gt;F29</formula>
    </cfRule>
  </conditionalFormatting>
  <conditionalFormatting sqref="N29:N31">
    <cfRule type="expression" dxfId="1518" priority="3472">
      <formula>$AC29=2</formula>
    </cfRule>
  </conditionalFormatting>
  <conditionalFormatting sqref="N30">
    <cfRule type="expression" dxfId="1515" priority="3487">
      <formula>N30&gt;F30</formula>
    </cfRule>
  </conditionalFormatting>
  <conditionalFormatting sqref="N31">
    <cfRule type="expression" dxfId="1514" priority="3471">
      <formula>N31&gt;F31</formula>
    </cfRule>
  </conditionalFormatting>
  <conditionalFormatting sqref="N33">
    <cfRule type="expression" dxfId="1513" priority="3455">
      <formula>N33&gt;F33</formula>
    </cfRule>
  </conditionalFormatting>
  <conditionalFormatting sqref="N33:N36">
    <cfRule type="expression" dxfId="1510" priority="3424">
      <formula>$AC33=2</formula>
    </cfRule>
  </conditionalFormatting>
  <conditionalFormatting sqref="N34">
    <cfRule type="expression" dxfId="1509" priority="3439">
      <formula>N34&gt;F34</formula>
    </cfRule>
  </conditionalFormatting>
  <conditionalFormatting sqref="N35:N36">
    <cfRule type="expression" dxfId="1508" priority="3423">
      <formula>N35&gt;F35</formula>
    </cfRule>
  </conditionalFormatting>
  <conditionalFormatting sqref="N40:N41">
    <cfRule type="expression" dxfId="1507" priority="248">
      <formula>N40&gt;F40</formula>
    </cfRule>
    <cfRule type="expression" dxfId="1506" priority="249">
      <formula>$AC40=2</formula>
    </cfRule>
  </conditionalFormatting>
  <conditionalFormatting sqref="N42:N46">
    <cfRule type="expression" dxfId="1503" priority="2425">
      <formula>N42&gt;F42</formula>
    </cfRule>
    <cfRule type="expression" dxfId="1502" priority="2426">
      <formula>$AC42=2</formula>
    </cfRule>
  </conditionalFormatting>
  <conditionalFormatting sqref="N48:N51">
    <cfRule type="expression" dxfId="1499" priority="2396">
      <formula>N48&gt;F48</formula>
    </cfRule>
    <cfRule type="expression" dxfId="1498" priority="2397">
      <formula>$AC48=2</formula>
    </cfRule>
  </conditionalFormatting>
  <conditionalFormatting sqref="N53:N55">
    <cfRule type="expression" dxfId="1497" priority="2368">
      <formula>$AC53=2</formula>
    </cfRule>
    <cfRule type="expression" dxfId="1496" priority="2367">
      <formula>N53&gt;F53</formula>
    </cfRule>
  </conditionalFormatting>
  <conditionalFormatting sqref="N57">
    <cfRule type="expression" dxfId="1493" priority="1005">
      <formula>$AC57=2</formula>
    </cfRule>
    <cfRule type="expression" dxfId="1492" priority="1004">
      <formula>N57&gt;F57</formula>
    </cfRule>
  </conditionalFormatting>
  <conditionalFormatting sqref="N58">
    <cfRule type="expression" dxfId="1489" priority="2338">
      <formula>N58&gt;F58</formula>
    </cfRule>
    <cfRule type="expression" dxfId="1488" priority="2339">
      <formula>$AC58=2</formula>
    </cfRule>
  </conditionalFormatting>
  <conditionalFormatting sqref="N60:N61">
    <cfRule type="expression" dxfId="1485" priority="2309">
      <formula>N60&gt;F60</formula>
    </cfRule>
    <cfRule type="expression" dxfId="1484" priority="2310">
      <formula>$AC60=2</formula>
    </cfRule>
  </conditionalFormatting>
  <conditionalFormatting sqref="N63:N64">
    <cfRule type="expression" dxfId="1482" priority="2281">
      <formula>$AC63=2</formula>
    </cfRule>
    <cfRule type="expression" dxfId="1481" priority="2280">
      <formula>N63&gt;F63</formula>
    </cfRule>
  </conditionalFormatting>
  <conditionalFormatting sqref="N68:N74">
    <cfRule type="expression" dxfId="1479" priority="2251">
      <formula>N68&gt;F68</formula>
    </cfRule>
    <cfRule type="expression" dxfId="1478" priority="2252">
      <formula>$AC68=2</formula>
    </cfRule>
  </conditionalFormatting>
  <conditionalFormatting sqref="N71">
    <cfRule type="expression" dxfId="1475" priority="148">
      <formula>$AC71=2</formula>
    </cfRule>
    <cfRule type="expression" dxfId="1474" priority="147">
      <formula>N71&gt;F71</formula>
    </cfRule>
  </conditionalFormatting>
  <conditionalFormatting sqref="N76:N78">
    <cfRule type="expression" dxfId="1469" priority="2223">
      <formula>$AC76=2</formula>
    </cfRule>
    <cfRule type="expression" dxfId="1468" priority="2222">
      <formula>N76&gt;F76</formula>
    </cfRule>
  </conditionalFormatting>
  <conditionalFormatting sqref="N80:N81">
    <cfRule type="expression" dxfId="1466" priority="2194">
      <formula>$AC80=2</formula>
    </cfRule>
    <cfRule type="expression" dxfId="1465" priority="2193">
      <formula>N80&gt;F80</formula>
    </cfRule>
  </conditionalFormatting>
  <conditionalFormatting sqref="N83:N84">
    <cfRule type="expression" dxfId="1461" priority="2164">
      <formula>N83&gt;F83</formula>
    </cfRule>
    <cfRule type="expression" dxfId="1460" priority="2165">
      <formula>$AC83=2</formula>
    </cfRule>
  </conditionalFormatting>
  <conditionalFormatting sqref="N86">
    <cfRule type="expression" dxfId="1459" priority="2135">
      <formula>N86&gt;F86</formula>
    </cfRule>
    <cfRule type="expression" dxfId="1458" priority="2136">
      <formula>$AC86=2</formula>
    </cfRule>
  </conditionalFormatting>
  <conditionalFormatting sqref="N87">
    <cfRule type="expression" dxfId="1455" priority="763">
      <formula>$AC87=2</formula>
    </cfRule>
  </conditionalFormatting>
  <conditionalFormatting sqref="N87:N88">
    <cfRule type="expression" dxfId="1454" priority="762">
      <formula>N87&gt;F87</formula>
    </cfRule>
  </conditionalFormatting>
  <conditionalFormatting sqref="N90:N91">
    <cfRule type="expression" dxfId="1453" priority="2106">
      <formula>N90&gt;F90</formula>
    </cfRule>
    <cfRule type="expression" dxfId="1451" priority="2107">
      <formula>$AC90=2</formula>
    </cfRule>
  </conditionalFormatting>
  <conditionalFormatting sqref="N93:N94">
    <cfRule type="expression" dxfId="1447" priority="2078">
      <formula>$AC93=2</formula>
    </cfRule>
    <cfRule type="expression" dxfId="1446" priority="2077">
      <formula>N93&gt;F93</formula>
    </cfRule>
  </conditionalFormatting>
  <conditionalFormatting sqref="N98:N99">
    <cfRule type="expression" dxfId="1444" priority="2049">
      <formula>$AC98=2</formula>
    </cfRule>
    <cfRule type="expression" dxfId="1443" priority="2048">
      <formula>N98&gt;F98</formula>
    </cfRule>
  </conditionalFormatting>
  <conditionalFormatting sqref="N101">
    <cfRule type="expression" dxfId="1441" priority="710">
      <formula>N101&gt;F101</formula>
    </cfRule>
    <cfRule type="expression" dxfId="1440" priority="711">
      <formula>$AC101=2</formula>
    </cfRule>
  </conditionalFormatting>
  <conditionalFormatting sqref="N102:N103">
    <cfRule type="expression" dxfId="1437" priority="2020">
      <formula>$AC102=2</formula>
    </cfRule>
    <cfRule type="expression" dxfId="1436" priority="2019">
      <formula>N102&gt;F102</formula>
    </cfRule>
  </conditionalFormatting>
  <conditionalFormatting sqref="N107">
    <cfRule type="expression" dxfId="1435" priority="112">
      <formula>N107&gt;F107</formula>
    </cfRule>
  </conditionalFormatting>
  <conditionalFormatting sqref="N108">
    <cfRule type="expression" dxfId="1432" priority="1990">
      <formula>N108&gt;F108</formula>
    </cfRule>
    <cfRule type="expression" dxfId="1430" priority="1991">
      <formula>$AC108=2</formula>
    </cfRule>
  </conditionalFormatting>
  <conditionalFormatting sqref="N110">
    <cfRule type="expression" dxfId="1429" priority="1962">
      <formula>$AC110=2</formula>
    </cfRule>
    <cfRule type="expression" dxfId="1426" priority="1961">
      <formula>N110&gt;F110</formula>
    </cfRule>
  </conditionalFormatting>
  <conditionalFormatting sqref="N112:N114">
    <cfRule type="expression" dxfId="1425" priority="1932">
      <formula>N112&gt;F112</formula>
    </cfRule>
    <cfRule type="expression" dxfId="1423" priority="1933">
      <formula>$AC112=2</formula>
    </cfRule>
  </conditionalFormatting>
  <conditionalFormatting sqref="N116:N117">
    <cfRule type="expression" dxfId="1419" priority="1903">
      <formula>N116&gt;F116</formula>
    </cfRule>
    <cfRule type="expression" dxfId="1418" priority="1904">
      <formula>$AC116=2</formula>
    </cfRule>
  </conditionalFormatting>
  <conditionalFormatting sqref="N121">
    <cfRule type="expression" dxfId="1417" priority="1000">
      <formula>N121&gt;F121</formula>
    </cfRule>
    <cfRule type="expression" dxfId="1416" priority="1001">
      <formula>$AC121=2</formula>
    </cfRule>
  </conditionalFormatting>
  <conditionalFormatting sqref="N122">
    <cfRule type="expression" dxfId="1413" priority="1875">
      <formula>$AC122=2</formula>
    </cfRule>
    <cfRule type="expression" dxfId="1412" priority="1874">
      <formula>N122&gt;F122</formula>
    </cfRule>
  </conditionalFormatting>
  <conditionalFormatting sqref="N123">
    <cfRule type="expression" dxfId="1411" priority="1845">
      <formula>N123&gt;F123</formula>
    </cfRule>
    <cfRule type="expression" dxfId="1410" priority="1846">
      <formula>$AC123=2</formula>
    </cfRule>
  </conditionalFormatting>
  <conditionalFormatting sqref="N125">
    <cfRule type="expression" dxfId="1409" priority="996">
      <formula>N125&gt;F125</formula>
    </cfRule>
    <cfRule type="expression" dxfId="1408" priority="997">
      <formula>$AC125=2</formula>
    </cfRule>
  </conditionalFormatting>
  <conditionalFormatting sqref="N126:N127">
    <cfRule type="expression" dxfId="1405" priority="1817">
      <formula>$AC126=2</formula>
    </cfRule>
    <cfRule type="expression" dxfId="1404" priority="1816">
      <formula>N126&gt;F126</formula>
    </cfRule>
  </conditionalFormatting>
  <conditionalFormatting sqref="N129">
    <cfRule type="expression" dxfId="1403" priority="993">
      <formula>$AC129=2</formula>
    </cfRule>
    <cfRule type="expression" dxfId="1402" priority="992">
      <formula>N129&gt;F129</formula>
    </cfRule>
  </conditionalFormatting>
  <conditionalFormatting sqref="N130:N131">
    <cfRule type="expression" dxfId="1399" priority="1788">
      <formula>$AC130=2</formula>
    </cfRule>
    <cfRule type="expression" dxfId="1398" priority="1787">
      <formula>N130&gt;F130</formula>
    </cfRule>
  </conditionalFormatting>
  <conditionalFormatting sqref="N133">
    <cfRule type="expression" dxfId="1397" priority="989">
      <formula>$AC133=2</formula>
    </cfRule>
    <cfRule type="expression" dxfId="1396" priority="988">
      <formula>N133&gt;F133</formula>
    </cfRule>
  </conditionalFormatting>
  <conditionalFormatting sqref="N134:N136">
    <cfRule type="expression" dxfId="1393" priority="1758">
      <formula>N134&gt;F134</formula>
    </cfRule>
    <cfRule type="expression" dxfId="1392" priority="1759">
      <formula>$AC134=2</formula>
    </cfRule>
  </conditionalFormatting>
  <conditionalFormatting sqref="N137">
    <cfRule type="expression" dxfId="1391" priority="905">
      <formula>N137&gt;F137</formula>
    </cfRule>
    <cfRule type="expression" dxfId="1390" priority="906">
      <formula>$AC137=2</formula>
    </cfRule>
  </conditionalFormatting>
  <conditionalFormatting sqref="N139">
    <cfRule type="expression" dxfId="1388" priority="33">
      <formula>N139&gt;F139</formula>
    </cfRule>
  </conditionalFormatting>
  <conditionalFormatting sqref="N140:N142">
    <cfRule type="expression" dxfId="1386" priority="1730">
      <formula>$AC140=2</formula>
    </cfRule>
    <cfRule type="expression" dxfId="1385" priority="1729">
      <formula>N140&gt;F140</formula>
    </cfRule>
  </conditionalFormatting>
  <conditionalFormatting sqref="N144:N147">
    <cfRule type="expression" dxfId="1381" priority="1700">
      <formula>N144&gt;F144</formula>
    </cfRule>
    <cfRule type="expression" dxfId="1380" priority="1701">
      <formula>$AC144=2</formula>
    </cfRule>
  </conditionalFormatting>
  <conditionalFormatting sqref="N151">
    <cfRule type="expression" dxfId="1378" priority="71">
      <formula>N151&gt;F151</formula>
    </cfRule>
  </conditionalFormatting>
  <conditionalFormatting sqref="N152:N154">
    <cfRule type="expression" dxfId="1376" priority="1672">
      <formula>$AC152=2</formula>
    </cfRule>
    <cfRule type="expression" dxfId="1375" priority="1671">
      <formula>N152&gt;F152</formula>
    </cfRule>
  </conditionalFormatting>
  <conditionalFormatting sqref="N155">
    <cfRule type="expression" dxfId="1373" priority="213">
      <formula>$AC155=2</formula>
    </cfRule>
    <cfRule type="expression" dxfId="1372" priority="212">
      <formula>N155&gt;F155</formula>
    </cfRule>
  </conditionalFormatting>
  <conditionalFormatting sqref="N157">
    <cfRule type="expression" dxfId="1370" priority="1643">
      <formula>$AC157=2</formula>
    </cfRule>
    <cfRule type="expression" dxfId="1369" priority="1642">
      <formula>N157&gt;F157</formula>
    </cfRule>
  </conditionalFormatting>
  <conditionalFormatting sqref="N159">
    <cfRule type="expression" dxfId="1367" priority="1614">
      <formula>$AC159=2</formula>
    </cfRule>
    <cfRule type="expression" dxfId="1365" priority="1613">
      <formula>N159&gt;F159</formula>
    </cfRule>
  </conditionalFormatting>
  <conditionalFormatting sqref="N161:N162">
    <cfRule type="expression" dxfId="1362" priority="1584">
      <formula>N161&gt;F161</formula>
    </cfRule>
    <cfRule type="expression" dxfId="1361" priority="1585">
      <formula>$AC161=2</formula>
    </cfRule>
  </conditionalFormatting>
  <conditionalFormatting sqref="N166">
    <cfRule type="expression" dxfId="1359" priority="1555">
      <formula>N166&gt;F166</formula>
    </cfRule>
    <cfRule type="expression" dxfId="1358" priority="1556">
      <formula>$AC166=2</formula>
    </cfRule>
  </conditionalFormatting>
  <conditionalFormatting sqref="N167">
    <cfRule type="expression" dxfId="1355" priority="176">
      <formula>N167&gt;F167</formula>
    </cfRule>
    <cfRule type="expression" dxfId="1354" priority="177">
      <formula>$AC167=2</formula>
    </cfRule>
  </conditionalFormatting>
  <conditionalFormatting sqref="N169">
    <cfRule type="expression" dxfId="1353" priority="985">
      <formula>$AC169=2</formula>
    </cfRule>
    <cfRule type="expression" dxfId="1352" priority="984">
      <formula>N169&gt;F169</formula>
    </cfRule>
  </conditionalFormatting>
  <conditionalFormatting sqref="N170:N171">
    <cfRule type="expression" dxfId="1349" priority="1526">
      <formula>N170&gt;F170</formula>
    </cfRule>
    <cfRule type="expression" dxfId="1348" priority="1527">
      <formula>$AC170=2</formula>
    </cfRule>
  </conditionalFormatting>
  <conditionalFormatting sqref="N174:N175">
    <cfRule type="expression" dxfId="1347" priority="1498">
      <formula>$AC174=2</formula>
    </cfRule>
    <cfRule type="expression" dxfId="1346" priority="1497">
      <formula>N174&gt;F174</formula>
    </cfRule>
  </conditionalFormatting>
  <conditionalFormatting sqref="N177">
    <cfRule type="expression" dxfId="1343" priority="976">
      <formula>N177&gt;F177</formula>
    </cfRule>
    <cfRule type="expression" dxfId="1342" priority="977">
      <formula>$AC177=2</formula>
    </cfRule>
  </conditionalFormatting>
  <conditionalFormatting sqref="N178:N179">
    <cfRule type="expression" dxfId="1339" priority="1468">
      <formula>N178&gt;F178</formula>
    </cfRule>
    <cfRule type="expression" dxfId="1338" priority="1469">
      <formula>$AC178=2</formula>
    </cfRule>
  </conditionalFormatting>
  <conditionalFormatting sqref="N181">
    <cfRule type="expression" dxfId="1337" priority="972">
      <formula>N181&gt;F181</formula>
    </cfRule>
    <cfRule type="expression" dxfId="1336" priority="973">
      <formula>$AC181=2</formula>
    </cfRule>
  </conditionalFormatting>
  <conditionalFormatting sqref="N182:N183">
    <cfRule type="expression" dxfId="1333" priority="1439">
      <formula>N182&gt;F182</formula>
    </cfRule>
    <cfRule type="expression" dxfId="1332" priority="1440">
      <formula>$AC182=2</formula>
    </cfRule>
  </conditionalFormatting>
  <conditionalFormatting sqref="N185">
    <cfRule type="expression" dxfId="1330" priority="1411">
      <formula>$AC185=2</formula>
    </cfRule>
    <cfRule type="expression" dxfId="1329" priority="1410">
      <formula>N185&gt;F185</formula>
    </cfRule>
  </conditionalFormatting>
  <conditionalFormatting sqref="N187">
    <cfRule type="expression" dxfId="1327" priority="968">
      <formula>N187&gt;F187</formula>
    </cfRule>
    <cfRule type="expression" dxfId="1326" priority="969">
      <formula>$AC187=2</formula>
    </cfRule>
  </conditionalFormatting>
  <conditionalFormatting sqref="N188">
    <cfRule type="expression" dxfId="1323" priority="1382">
      <formula>$AC188=2</formula>
    </cfRule>
    <cfRule type="expression" dxfId="1322" priority="1381">
      <formula>N188&gt;F188</formula>
    </cfRule>
  </conditionalFormatting>
  <conditionalFormatting sqref="N190">
    <cfRule type="expression" dxfId="1321" priority="964">
      <formula>N190&gt;F190</formula>
    </cfRule>
    <cfRule type="expression" dxfId="1320" priority="965">
      <formula>$AC190=2</formula>
    </cfRule>
  </conditionalFormatting>
  <conditionalFormatting sqref="N191:N194">
    <cfRule type="expression" dxfId="1317" priority="1353">
      <formula>$AC191=2</formula>
    </cfRule>
    <cfRule type="expression" dxfId="1316" priority="1352">
      <formula>N191&gt;F191</formula>
    </cfRule>
  </conditionalFormatting>
  <conditionalFormatting sqref="N199">
    <cfRule type="expression" dxfId="1313" priority="843">
      <formula>N199&gt;F199</formula>
    </cfRule>
  </conditionalFormatting>
  <conditionalFormatting sqref="N200">
    <cfRule type="expression" dxfId="1312" priority="871">
      <formula>N200&gt;F200</formula>
    </cfRule>
  </conditionalFormatting>
  <conditionalFormatting sqref="N201">
    <cfRule type="expression" dxfId="1311" priority="1128">
      <formula>N201&gt;F201</formula>
    </cfRule>
  </conditionalFormatting>
  <conditionalFormatting sqref="N203:N204">
    <cfRule type="expression" dxfId="1310" priority="1295">
      <formula>$AC203=2</formula>
    </cfRule>
    <cfRule type="expression" dxfId="1309" priority="1294">
      <formula>N203&gt;F203</formula>
    </cfRule>
  </conditionalFormatting>
  <conditionalFormatting sqref="N206:N207">
    <cfRule type="expression" dxfId="1304" priority="1266">
      <formula>$AC206=2</formula>
    </cfRule>
    <cfRule type="expression" dxfId="1303" priority="1265">
      <formula>N206&gt;F206</formula>
    </cfRule>
  </conditionalFormatting>
  <conditionalFormatting sqref="N209:N211">
    <cfRule type="expression" dxfId="1301" priority="1236">
      <formula>N209&gt;F209</formula>
    </cfRule>
    <cfRule type="expression" dxfId="1300" priority="1237">
      <formula>$AC209=2</formula>
    </cfRule>
  </conditionalFormatting>
  <conditionalFormatting sqref="N214:N223">
    <cfRule type="expression" dxfId="1298" priority="4300">
      <formula>N214&gt;F214</formula>
    </cfRule>
  </conditionalFormatting>
  <conditionalFormatting sqref="N224">
    <cfRule type="expression" dxfId="1295" priority="4280">
      <formula>N224&gt;F224</formula>
    </cfRule>
  </conditionalFormatting>
  <conditionalFormatting sqref="N225">
    <cfRule type="expression" dxfId="1294" priority="4260">
      <formula>N225&gt;F225</formula>
    </cfRule>
  </conditionalFormatting>
  <conditionalFormatting sqref="N226">
    <cfRule type="expression" dxfId="1293" priority="4240">
      <formula>N226&gt;F226</formula>
    </cfRule>
  </conditionalFormatting>
  <conditionalFormatting sqref="N227:N228">
    <cfRule type="expression" dxfId="1292" priority="1178">
      <formula>N227&gt;F227</formula>
    </cfRule>
  </conditionalFormatting>
  <conditionalFormatting sqref="N37:O38 N65:O66 N95:O96 N104:O105 N118:O119 N148:O149 N163:O164 N195:O196 N212:O213 N198 N10:P10 N19:N20">
    <cfRule type="expression" dxfId="1291" priority="4512">
      <formula>N10&gt;F10</formula>
    </cfRule>
  </conditionalFormatting>
  <conditionalFormatting sqref="N107:O107">
    <cfRule type="expression" dxfId="1290" priority="113">
      <formula>$AC107=2</formula>
    </cfRule>
  </conditionalFormatting>
  <conditionalFormatting sqref="N139:O139">
    <cfRule type="expression" dxfId="1289" priority="34">
      <formula>$AC139=2</formula>
    </cfRule>
  </conditionalFormatting>
  <conditionalFormatting sqref="N151:O151">
    <cfRule type="expression" dxfId="1288" priority="72">
      <formula>$AC151=2</formula>
    </cfRule>
  </conditionalFormatting>
  <conditionalFormatting sqref="N199:O199">
    <cfRule type="expression" dxfId="1287" priority="844">
      <formula>$AC199=2</formula>
    </cfRule>
  </conditionalFormatting>
  <conditionalFormatting sqref="N4:P4">
    <cfRule type="expression" dxfId="1286" priority="4505">
      <formula>$S$8="No"</formula>
    </cfRule>
  </conditionalFormatting>
  <conditionalFormatting sqref="N37:P38">
    <cfRule type="expression" dxfId="1284" priority="658">
      <formula>$AC37=2</formula>
    </cfRule>
  </conditionalFormatting>
  <conditionalFormatting sqref="N65:P66">
    <cfRule type="expression" dxfId="1283" priority="651">
      <formula>$AC65=2</formula>
    </cfRule>
  </conditionalFormatting>
  <conditionalFormatting sqref="N95:P96">
    <cfRule type="expression" dxfId="1280" priority="644">
      <formula>$AC95=2</formula>
    </cfRule>
  </conditionalFormatting>
  <conditionalFormatting sqref="N104:P105">
    <cfRule type="expression" dxfId="1278" priority="637">
      <formula>$AC104=2</formula>
    </cfRule>
  </conditionalFormatting>
  <conditionalFormatting sqref="N118:P119">
    <cfRule type="expression" dxfId="1277" priority="630">
      <formula>$AC118=2</formula>
    </cfRule>
  </conditionalFormatting>
  <conditionalFormatting sqref="N148:P149">
    <cfRule type="expression" dxfId="1274" priority="623">
      <formula>$AC148=2</formula>
    </cfRule>
  </conditionalFormatting>
  <conditionalFormatting sqref="N163:P164">
    <cfRule type="expression" dxfId="1272" priority="616">
      <formula>$AC163=2</formula>
    </cfRule>
  </conditionalFormatting>
  <conditionalFormatting sqref="N195:P196">
    <cfRule type="expression" dxfId="1271" priority="609">
      <formula>$AC195=2</formula>
    </cfRule>
  </conditionalFormatting>
  <conditionalFormatting sqref="N212:P213">
    <cfRule type="expression" dxfId="1269" priority="602">
      <formula>$AC212=2</formula>
    </cfRule>
  </conditionalFormatting>
  <conditionalFormatting sqref="N247:P247">
    <cfRule type="expression" dxfId="1266" priority="4139">
      <formula>N247&gt;F247</formula>
    </cfRule>
  </conditionalFormatting>
  <conditionalFormatting sqref="N250:P250">
    <cfRule type="expression" dxfId="1265" priority="4063">
      <formula>N250&gt;F250</formula>
    </cfRule>
  </conditionalFormatting>
  <conditionalFormatting sqref="N253:P254">
    <cfRule type="expression" dxfId="1264" priority="4037">
      <formula>N253&gt;F253</formula>
    </cfRule>
  </conditionalFormatting>
  <conditionalFormatting sqref="N257:P260">
    <cfRule type="expression" dxfId="1263" priority="3929">
      <formula>N257&gt;F257</formula>
    </cfRule>
  </conditionalFormatting>
  <conditionalFormatting sqref="N4:S7">
    <cfRule type="expression" dxfId="1260" priority="159">
      <formula>$S$8=AD_no</formula>
    </cfRule>
  </conditionalFormatting>
  <conditionalFormatting sqref="O11:O36">
    <cfRule type="expression" dxfId="1254" priority="784">
      <formula>$AC11=2</formula>
    </cfRule>
  </conditionalFormatting>
  <conditionalFormatting sqref="O11:O106">
    <cfRule type="expression" dxfId="1253" priority="244">
      <formula>F11=0</formula>
    </cfRule>
  </conditionalFormatting>
  <conditionalFormatting sqref="O39:O64">
    <cfRule type="expression" dxfId="1252" priority="245">
      <formula>$AC39=2</formula>
    </cfRule>
  </conditionalFormatting>
  <conditionalFormatting sqref="O67:O87">
    <cfRule type="expression" dxfId="1251" priority="748">
      <formula>$AC67=2</formula>
    </cfRule>
  </conditionalFormatting>
  <conditionalFormatting sqref="O89:O94">
    <cfRule type="expression" dxfId="1250" priority="1091">
      <formula>$AC89=2</formula>
    </cfRule>
  </conditionalFormatting>
  <conditionalFormatting sqref="O97:O103">
    <cfRule type="expression" dxfId="1249" priority="715">
      <formula>$AC97=2</formula>
    </cfRule>
  </conditionalFormatting>
  <conditionalFormatting sqref="O106">
    <cfRule type="expression" dxfId="1248" priority="3246">
      <formula>$AC106=2</formula>
    </cfRule>
  </conditionalFormatting>
  <conditionalFormatting sqref="O107">
    <cfRule type="expression" dxfId="1247" priority="105">
      <formula>F107=0</formula>
    </cfRule>
  </conditionalFormatting>
  <conditionalFormatting sqref="O108:O117">
    <cfRule type="expression" dxfId="1246" priority="1067">
      <formula>$AC108=2</formula>
    </cfRule>
  </conditionalFormatting>
  <conditionalFormatting sqref="O108:O138 O140:O150">
    <cfRule type="expression" dxfId="1245" priority="3052">
      <formula>F108=0</formula>
    </cfRule>
  </conditionalFormatting>
  <conditionalFormatting sqref="O120:O138">
    <cfRule type="expression" dxfId="1244" priority="891">
      <formula>$AC120=2</formula>
    </cfRule>
  </conditionalFormatting>
  <conditionalFormatting sqref="O139">
    <cfRule type="expression" dxfId="1243" priority="56">
      <formula>F139=0</formula>
    </cfRule>
  </conditionalFormatting>
  <conditionalFormatting sqref="O140:O147">
    <cfRule type="expression" dxfId="1242" priority="1055">
      <formula>$AC140=2</formula>
    </cfRule>
  </conditionalFormatting>
  <conditionalFormatting sqref="O150">
    <cfRule type="expression" dxfId="1241" priority="3204">
      <formula>$AC150=2</formula>
    </cfRule>
  </conditionalFormatting>
  <conditionalFormatting sqref="O151">
    <cfRule type="expression" dxfId="1240" priority="64">
      <formula>F151=0</formula>
    </cfRule>
  </conditionalFormatting>
  <conditionalFormatting sqref="O152:O162">
    <cfRule type="expression" dxfId="1239" priority="214">
      <formula>$AC152=2</formula>
    </cfRule>
  </conditionalFormatting>
  <conditionalFormatting sqref="O152:O228">
    <cfRule type="expression" dxfId="1238" priority="178">
      <formula>F152=0</formula>
    </cfRule>
  </conditionalFormatting>
  <conditionalFormatting sqref="O165:O194">
    <cfRule type="expression" dxfId="1237" priority="235">
      <formula>$AC165=2</formula>
    </cfRule>
  </conditionalFormatting>
  <conditionalFormatting sqref="O197">
    <cfRule type="expression" dxfId="1236" priority="3162">
      <formula>$AC197=2</formula>
    </cfRule>
  </conditionalFormatting>
  <conditionalFormatting sqref="O202:O211">
    <cfRule type="expression" dxfId="1235" priority="1019">
      <formula>$AC202=2</formula>
    </cfRule>
  </conditionalFormatting>
  <conditionalFormatting sqref="O214:O228">
    <cfRule type="expression" dxfId="1234" priority="1007">
      <formula>$AC214=2</formula>
    </cfRule>
  </conditionalFormatting>
  <conditionalFormatting sqref="P37:P38">
    <cfRule type="expression" dxfId="1233" priority="661">
      <formula>$AE37=2</formula>
    </cfRule>
    <cfRule type="expression" dxfId="1231" priority="659">
      <formula>$AE37=4</formula>
    </cfRule>
    <cfRule type="expression" dxfId="1230" priority="660">
      <formula>$AE37=3</formula>
    </cfRule>
    <cfRule type="expression" dxfId="1229" priority="662">
      <formula>$AE37=1</formula>
    </cfRule>
  </conditionalFormatting>
  <conditionalFormatting sqref="P65:P66">
    <cfRule type="expression" dxfId="1228" priority="652">
      <formula>$AE65=4</formula>
    </cfRule>
    <cfRule type="expression" dxfId="1226" priority="654">
      <formula>$AE65=2</formula>
    </cfRule>
    <cfRule type="expression" dxfId="1225" priority="653">
      <formula>$AE65=3</formula>
    </cfRule>
    <cfRule type="expression" dxfId="1224" priority="655">
      <formula>$AE65=1</formula>
    </cfRule>
  </conditionalFormatting>
  <conditionalFormatting sqref="P95:P96">
    <cfRule type="expression" dxfId="1223" priority="645">
      <formula>$AE95=4</formula>
    </cfRule>
    <cfRule type="expression" dxfId="1221" priority="646">
      <formula>$AE95=3</formula>
    </cfRule>
    <cfRule type="expression" dxfId="1220" priority="647">
      <formula>$AE95=2</formula>
    </cfRule>
    <cfRule type="expression" dxfId="1219" priority="648">
      <formula>$AE95=1</formula>
    </cfRule>
  </conditionalFormatting>
  <conditionalFormatting sqref="P104:P105">
    <cfRule type="expression" dxfId="1218" priority="640">
      <formula>$AE104=2</formula>
    </cfRule>
    <cfRule type="expression" dxfId="1217" priority="641">
      <formula>$AE104=1</formula>
    </cfRule>
    <cfRule type="expression" dxfId="1216" priority="639">
      <formula>$AE104=3</formula>
    </cfRule>
    <cfRule type="expression" dxfId="1215" priority="638">
      <formula>$AE104=4</formula>
    </cfRule>
  </conditionalFormatting>
  <conditionalFormatting sqref="P118:P119">
    <cfRule type="expression" dxfId="1213" priority="634">
      <formula>$AE118=1</formula>
    </cfRule>
    <cfRule type="expression" dxfId="1212" priority="633">
      <formula>$AE118=2</formula>
    </cfRule>
    <cfRule type="expression" dxfId="1211" priority="632">
      <formula>$AE118=3</formula>
    </cfRule>
    <cfRule type="expression" dxfId="1209" priority="631">
      <formula>$AE118=4</formula>
    </cfRule>
  </conditionalFormatting>
  <conditionalFormatting sqref="P148:P149">
    <cfRule type="expression" dxfId="1208" priority="625">
      <formula>$AE148=3</formula>
    </cfRule>
    <cfRule type="expression" dxfId="1207" priority="626">
      <formula>$AE148=2</formula>
    </cfRule>
    <cfRule type="expression" dxfId="1205" priority="624">
      <formula>$AE148=4</formula>
    </cfRule>
    <cfRule type="expression" dxfId="1204" priority="627">
      <formula>$AE148=1</formula>
    </cfRule>
  </conditionalFormatting>
  <conditionalFormatting sqref="P163:P164">
    <cfRule type="expression" dxfId="1203" priority="619">
      <formula>$AE163=2</formula>
    </cfRule>
    <cfRule type="expression" dxfId="1202" priority="620">
      <formula>$AE163=1</formula>
    </cfRule>
    <cfRule type="expression" dxfId="1201" priority="617">
      <formula>$AE163=4</formula>
    </cfRule>
    <cfRule type="expression" dxfId="1200" priority="618">
      <formula>$AE163=3</formula>
    </cfRule>
  </conditionalFormatting>
  <conditionalFormatting sqref="P195:P196">
    <cfRule type="expression" dxfId="1198" priority="613">
      <formula>$AE195=1</formula>
    </cfRule>
    <cfRule type="expression" dxfId="1196" priority="612">
      <formula>$AE195=2</formula>
    </cfRule>
    <cfRule type="expression" dxfId="1195" priority="610">
      <formula>$AE195=4</formula>
    </cfRule>
    <cfRule type="expression" dxfId="1194" priority="611">
      <formula>$AE195=3</formula>
    </cfRule>
  </conditionalFormatting>
  <conditionalFormatting sqref="P212:P213">
    <cfRule type="expression" dxfId="1193" priority="605">
      <formula>$AE212=2</formula>
    </cfRule>
    <cfRule type="expression" dxfId="1192" priority="604">
      <formula>$AE212=3</formula>
    </cfRule>
    <cfRule type="expression" dxfId="1191" priority="603">
      <formula>$AE212=4</formula>
    </cfRule>
    <cfRule type="expression" dxfId="1189" priority="606">
      <formula>$AE212=1</formula>
    </cfRule>
  </conditionalFormatting>
  <conditionalFormatting sqref="Q167">
    <cfRule type="expression" dxfId="1188" priority="185">
      <formula>$AC167=2</formula>
    </cfRule>
  </conditionalFormatting>
  <conditionalFormatting sqref="Q10:R11 Q18:R21 Q28:R28 Q32:R32 Q36:R38 Q65:R66 Q88:R88 Q95:R96 Q104:R105 Q118:R119 Q148:R149 Q163:R164 Q174:R175 Q195:R196 Q198:R198 Q213:R222 Q238:R238 Q247:R250 Q253:R254 Q256:R261">
    <cfRule type="expression" dxfId="1186" priority="4631">
      <formula>$AE10=2</formula>
    </cfRule>
    <cfRule type="expression" dxfId="1185" priority="4632">
      <formula>$AE10=1</formula>
    </cfRule>
  </conditionalFormatting>
  <conditionalFormatting sqref="Q10:R11 Q18:R21 Q28:R28 Q32:R32 Q36:R38 Q65:R66 Q88:R88 Q95:R96 Q104:R105 Q118:R119 Q148:R149 Q163:R164 Q174:R175 Q195:R196 Q198:R198 Q238:R238 Q247:R250 Q253:R254 Q256:R261">
    <cfRule type="expression" dxfId="1184" priority="4630">
      <formula>$AE10=3</formula>
    </cfRule>
  </conditionalFormatting>
  <conditionalFormatting sqref="Q10:R11 Q18:R21 Q28:R28 Q32:R32 Q36:R38 Q65:R66 Q88:R88 Q95:R96 Q104:R105 Q118:R119 Q148:R149 Q163:R164 Q174:R175 Q195:R196 Q198:R198 Q247:R250 Q253:R254 Q256:R261 Q238:R238">
    <cfRule type="expression" dxfId="1183" priority="4629">
      <formula>$AE10=4</formula>
    </cfRule>
  </conditionalFormatting>
  <conditionalFormatting sqref="Q12:R13">
    <cfRule type="expression" dxfId="1181" priority="3591">
      <formula>$AE12=2</formula>
    </cfRule>
    <cfRule type="expression" dxfId="1180" priority="3592">
      <formula>$AE12=1</formula>
    </cfRule>
    <cfRule type="expression" dxfId="1179" priority="3590">
      <formula>$AE12=3</formula>
    </cfRule>
  </conditionalFormatting>
  <conditionalFormatting sqref="Q12:R17">
    <cfRule type="expression" dxfId="1178" priority="7">
      <formula>$AE12=4</formula>
    </cfRule>
  </conditionalFormatting>
  <conditionalFormatting sqref="Q14:R14">
    <cfRule type="expression" dxfId="1177" priority="8">
      <formula>$AE14=3</formula>
    </cfRule>
    <cfRule type="expression" dxfId="1176" priority="10">
      <formula>$AE14=1</formula>
    </cfRule>
    <cfRule type="expression" dxfId="1175" priority="9">
      <formula>$AE14=2</formula>
    </cfRule>
  </conditionalFormatting>
  <conditionalFormatting sqref="Q15:R17">
    <cfRule type="expression" dxfId="1174" priority="3624">
      <formula>$AE15=1</formula>
    </cfRule>
    <cfRule type="expression" dxfId="1173" priority="3622">
      <formula>$AE15=3</formula>
    </cfRule>
    <cfRule type="expression" dxfId="1172" priority="3623">
      <formula>$AE15=2</formula>
    </cfRule>
  </conditionalFormatting>
  <conditionalFormatting sqref="Q22:R27">
    <cfRule type="expression" dxfId="1171" priority="797">
      <formula>$AE22=3</formula>
    </cfRule>
    <cfRule type="expression" dxfId="1170" priority="798">
      <formula>$AE22=2</formula>
    </cfRule>
    <cfRule type="expression" dxfId="1169" priority="796">
      <formula>$AE22=4</formula>
    </cfRule>
    <cfRule type="expression" dxfId="1168" priority="799">
      <formula>$AE22=1</formula>
    </cfRule>
  </conditionalFormatting>
  <conditionalFormatting sqref="Q29:R31">
    <cfRule type="expression" dxfId="1167" priority="3477">
      <formula>$AE29=4</formula>
    </cfRule>
    <cfRule type="expression" dxfId="1166" priority="3480">
      <formula>$AE29=1</formula>
    </cfRule>
    <cfRule type="expression" dxfId="1165" priority="3478">
      <formula>$AE29=3</formula>
    </cfRule>
    <cfRule type="expression" dxfId="1164" priority="3479">
      <formula>$AE29=2</formula>
    </cfRule>
  </conditionalFormatting>
  <conditionalFormatting sqref="Q33:R35">
    <cfRule type="expression" dxfId="1163" priority="3431">
      <formula>$AE33=2</formula>
    </cfRule>
    <cfRule type="expression" dxfId="1162" priority="3430">
      <formula>$AE33=3</formula>
    </cfRule>
    <cfRule type="expression" dxfId="1161" priority="3429">
      <formula>$AE33=4</formula>
    </cfRule>
    <cfRule type="expression" dxfId="1160" priority="3432">
      <formula>$AE33=1</formula>
    </cfRule>
  </conditionalFormatting>
  <conditionalFormatting sqref="Q39:R41">
    <cfRule type="expression" dxfId="1158" priority="3322">
      <formula>$AE39=3</formula>
    </cfRule>
    <cfRule type="expression" dxfId="1157" priority="3323">
      <formula>$AE39=2</formula>
    </cfRule>
    <cfRule type="expression" dxfId="1156" priority="3324">
      <formula>$AE39=1</formula>
    </cfRule>
  </conditionalFormatting>
  <conditionalFormatting sqref="Q39:R64">
    <cfRule type="expression" dxfId="1155" priority="1110">
      <formula>$AE39=4</formula>
    </cfRule>
  </conditionalFormatting>
  <conditionalFormatting sqref="Q42:R46">
    <cfRule type="expression" dxfId="1154" priority="2434">
      <formula>$AE42=1</formula>
    </cfRule>
    <cfRule type="expression" dxfId="1153" priority="2433">
      <formula>$AE42=2</formula>
    </cfRule>
    <cfRule type="expression" dxfId="1152" priority="2432">
      <formula>$AE42=3</formula>
    </cfRule>
  </conditionalFormatting>
  <conditionalFormatting sqref="Q47:R47">
    <cfRule type="expression" dxfId="1151" priority="3160">
      <formula>$AE47=1</formula>
    </cfRule>
    <cfRule type="expression" dxfId="1150" priority="3158">
      <formula>$AE47=3</formula>
    </cfRule>
    <cfRule type="expression" dxfId="1149" priority="3159">
      <formula>$AE47=2</formula>
    </cfRule>
  </conditionalFormatting>
  <conditionalFormatting sqref="Q48:R51">
    <cfRule type="expression" dxfId="1147" priority="2405">
      <formula>$AE48=1</formula>
    </cfRule>
    <cfRule type="expression" dxfId="1146" priority="2404">
      <formula>$AE48=2</formula>
    </cfRule>
    <cfRule type="expression" dxfId="1145" priority="2403">
      <formula>$AE48=3</formula>
    </cfRule>
  </conditionalFormatting>
  <conditionalFormatting sqref="Q52:R52">
    <cfRule type="expression" dxfId="1144" priority="3137">
      <formula>$AE52=2</formula>
    </cfRule>
    <cfRule type="expression" dxfId="1143" priority="3136">
      <formula>$AE52=3</formula>
    </cfRule>
    <cfRule type="expression" dxfId="1141" priority="3138">
      <formula>$AE52=1</formula>
    </cfRule>
  </conditionalFormatting>
  <conditionalFormatting sqref="Q53:R55">
    <cfRule type="expression" dxfId="1140" priority="2375">
      <formula>$AE53=2</formula>
    </cfRule>
    <cfRule type="expression" dxfId="1139" priority="2376">
      <formula>$AE53=1</formula>
    </cfRule>
    <cfRule type="expression" dxfId="1138" priority="2374">
      <formula>$AE53=3</formula>
    </cfRule>
  </conditionalFormatting>
  <conditionalFormatting sqref="Q56:R56">
    <cfRule type="expression" dxfId="1137" priority="3116">
      <formula>$AE56=1</formula>
    </cfRule>
    <cfRule type="expression" dxfId="1136" priority="3115">
      <formula>$AE56=2</formula>
    </cfRule>
    <cfRule type="expression" dxfId="1135" priority="3114">
      <formula>$AE56=3</formula>
    </cfRule>
  </conditionalFormatting>
  <conditionalFormatting sqref="Q57:R58">
    <cfRule type="expression" dxfId="1133" priority="2345">
      <formula>$AE57=3</formula>
    </cfRule>
    <cfRule type="expression" dxfId="1132" priority="2346">
      <formula>$AE57=2</formula>
    </cfRule>
    <cfRule type="expression" dxfId="1131" priority="2347">
      <formula>$AE57=1</formula>
    </cfRule>
  </conditionalFormatting>
  <conditionalFormatting sqref="Q59:R59">
    <cfRule type="expression" dxfId="1130" priority="3094">
      <formula>$AE59=1</formula>
    </cfRule>
    <cfRule type="expression" dxfId="1129" priority="3093">
      <formula>$AE59=2</formula>
    </cfRule>
    <cfRule type="expression" dxfId="1128" priority="3092">
      <formula>$AE59=3</formula>
    </cfRule>
  </conditionalFormatting>
  <conditionalFormatting sqref="Q60:R61">
    <cfRule type="expression" dxfId="1126" priority="2318">
      <formula>$AE60=1</formula>
    </cfRule>
    <cfRule type="expression" dxfId="1125" priority="2317">
      <formula>$AE60=2</formula>
    </cfRule>
    <cfRule type="expression" dxfId="1124" priority="2316">
      <formula>$AE60=3</formula>
    </cfRule>
  </conditionalFormatting>
  <conditionalFormatting sqref="Q62:R62">
    <cfRule type="expression" dxfId="1122" priority="3071">
      <formula>$AE62=2</formula>
    </cfRule>
    <cfRule type="expression" dxfId="1121" priority="3070">
      <formula>$AE62=3</formula>
    </cfRule>
    <cfRule type="expression" dxfId="1120" priority="3072">
      <formula>$AE62=1</formula>
    </cfRule>
  </conditionalFormatting>
  <conditionalFormatting sqref="Q63:R64">
    <cfRule type="expression" dxfId="1119" priority="1112">
      <formula>$AE63=2</formula>
    </cfRule>
    <cfRule type="expression" dxfId="1118" priority="1113">
      <formula>$AE63=1</formula>
    </cfRule>
    <cfRule type="expression" dxfId="1117" priority="1111">
      <formula>$AE63=3</formula>
    </cfRule>
  </conditionalFormatting>
  <conditionalFormatting sqref="Q64:R64">
    <cfRule type="expression" dxfId="1116" priority="1109">
      <formula>$AC64=2</formula>
    </cfRule>
  </conditionalFormatting>
  <conditionalFormatting sqref="Q67:R67">
    <cfRule type="expression" dxfId="1114" priority="3303">
      <formula>$AE67=1</formula>
    </cfRule>
    <cfRule type="expression" dxfId="1113" priority="3302">
      <formula>$AE67=2</formula>
    </cfRule>
    <cfRule type="expression" dxfId="1112" priority="3301">
      <formula>$AE67=3</formula>
    </cfRule>
  </conditionalFormatting>
  <conditionalFormatting sqref="Q67:R87">
    <cfRule type="expression" dxfId="1110" priority="768">
      <formula>$AE67=4</formula>
    </cfRule>
  </conditionalFormatting>
  <conditionalFormatting sqref="Q68:R74">
    <cfRule type="expression" dxfId="1109" priority="2258">
      <formula>$AE68=3</formula>
    </cfRule>
    <cfRule type="expression" dxfId="1108" priority="2259">
      <formula>$AE68=2</formula>
    </cfRule>
    <cfRule type="expression" dxfId="1107" priority="2260">
      <formula>$AE68=1</formula>
    </cfRule>
  </conditionalFormatting>
  <conditionalFormatting sqref="Q75:R75">
    <cfRule type="expression" dxfId="1106" priority="3048">
      <formula>$AE75=3</formula>
    </cfRule>
    <cfRule type="expression" dxfId="1105" priority="3049">
      <formula>$AE75=2</formula>
    </cfRule>
    <cfRule type="expression" dxfId="1104" priority="3050">
      <formula>$AE75=1</formula>
    </cfRule>
  </conditionalFormatting>
  <conditionalFormatting sqref="Q76:R78">
    <cfRule type="expression" dxfId="1102" priority="2231">
      <formula>$AE76=1</formula>
    </cfRule>
    <cfRule type="expression" dxfId="1101" priority="2230">
      <formula>$AE76=2</formula>
    </cfRule>
    <cfRule type="expression" dxfId="1100" priority="2229">
      <formula>$AE76=3</formula>
    </cfRule>
  </conditionalFormatting>
  <conditionalFormatting sqref="Q79:R79">
    <cfRule type="expression" dxfId="1098" priority="3028">
      <formula>$AE79=1</formula>
    </cfRule>
    <cfRule type="expression" dxfId="1097" priority="3027">
      <formula>$AE79=2</formula>
    </cfRule>
    <cfRule type="expression" dxfId="1096" priority="3026">
      <formula>$AE79=3</formula>
    </cfRule>
  </conditionalFormatting>
  <conditionalFormatting sqref="Q80:R81">
    <cfRule type="expression" dxfId="1095" priority="2200">
      <formula>$AE80=3</formula>
    </cfRule>
    <cfRule type="expression" dxfId="1094" priority="2202">
      <formula>$AE80=1</formula>
    </cfRule>
    <cfRule type="expression" dxfId="1093" priority="2201">
      <formula>$AE80=2</formula>
    </cfRule>
  </conditionalFormatting>
  <conditionalFormatting sqref="Q82:R82">
    <cfRule type="expression" dxfId="1092" priority="3006">
      <formula>$AE82=1</formula>
    </cfRule>
    <cfRule type="expression" dxfId="1091" priority="3004">
      <formula>$AE82=3</formula>
    </cfRule>
    <cfRule type="expression" dxfId="1089" priority="3005">
      <formula>$AE82=2</formula>
    </cfRule>
  </conditionalFormatting>
  <conditionalFormatting sqref="Q83:R84">
    <cfRule type="expression" dxfId="1088" priority="2172">
      <formula>$AE83=2</formula>
    </cfRule>
    <cfRule type="expression" dxfId="1087" priority="2171">
      <formula>$AE83=3</formula>
    </cfRule>
    <cfRule type="expression" dxfId="1086" priority="2173">
      <formula>$AE83=1</formula>
    </cfRule>
  </conditionalFormatting>
  <conditionalFormatting sqref="Q85:R85">
    <cfRule type="expression" dxfId="1085" priority="2982">
      <formula>$AE85=3</formula>
    </cfRule>
    <cfRule type="expression" dxfId="1084" priority="2984">
      <formula>$AE85=1</formula>
    </cfRule>
    <cfRule type="expression" dxfId="1083" priority="2983">
      <formula>$AE85=2</formula>
    </cfRule>
  </conditionalFormatting>
  <conditionalFormatting sqref="Q86:R87">
    <cfRule type="expression" dxfId="1081" priority="771">
      <formula>$AE86=1</formula>
    </cfRule>
    <cfRule type="expression" dxfId="1080" priority="770">
      <formula>$AE86=2</formula>
    </cfRule>
    <cfRule type="expression" dxfId="1079" priority="769">
      <formula>$AE86=3</formula>
    </cfRule>
  </conditionalFormatting>
  <conditionalFormatting sqref="Q89:R89">
    <cfRule type="expression" dxfId="1078" priority="2962">
      <formula>$AE89=1</formula>
    </cfRule>
    <cfRule type="expression" dxfId="1077" priority="2961">
      <formula>$AE89=2</formula>
    </cfRule>
    <cfRule type="expression" dxfId="1076" priority="2960">
      <formula>$AE89=3</formula>
    </cfRule>
  </conditionalFormatting>
  <conditionalFormatting sqref="Q89:R94">
    <cfRule type="expression" dxfId="1074" priority="1098">
      <formula>$AE89=4</formula>
    </cfRule>
  </conditionalFormatting>
  <conditionalFormatting sqref="Q90:R91">
    <cfRule type="expression" dxfId="1073" priority="2113">
      <formula>$AE90=3</formula>
    </cfRule>
    <cfRule type="expression" dxfId="1072" priority="2114">
      <formula>$AE90=2</formula>
    </cfRule>
    <cfRule type="expression" dxfId="1071" priority="2115">
      <formula>$AE90=1</formula>
    </cfRule>
  </conditionalFormatting>
  <conditionalFormatting sqref="Q92:R92">
    <cfRule type="expression" dxfId="1069" priority="2939">
      <formula>$AE92=2</formula>
    </cfRule>
    <cfRule type="expression" dxfId="1068" priority="2940">
      <formula>$AE92=1</formula>
    </cfRule>
    <cfRule type="expression" dxfId="1067" priority="2938">
      <formula>$AE92=3</formula>
    </cfRule>
  </conditionalFormatting>
  <conditionalFormatting sqref="Q93:R94">
    <cfRule type="expression" dxfId="1066" priority="1100">
      <formula>$AE93=2</formula>
    </cfRule>
    <cfRule type="expression" dxfId="1065" priority="1101">
      <formula>$AE93=1</formula>
    </cfRule>
    <cfRule type="expression" dxfId="1064" priority="1099">
      <formula>$AE93=3</formula>
    </cfRule>
  </conditionalFormatting>
  <conditionalFormatting sqref="Q94:R94">
    <cfRule type="expression" dxfId="1062" priority="1097">
      <formula>$AC94=2</formula>
    </cfRule>
  </conditionalFormatting>
  <conditionalFormatting sqref="Q97:R97">
    <cfRule type="expression" dxfId="1061" priority="3282">
      <formula>$AE97=1</formula>
    </cfRule>
    <cfRule type="expression" dxfId="1060" priority="3281">
      <formula>$AE97=2</formula>
    </cfRule>
    <cfRule type="expression" dxfId="1058" priority="3280">
      <formula>$AE97=3</formula>
    </cfRule>
  </conditionalFormatting>
  <conditionalFormatting sqref="Q97:R101">
    <cfRule type="expression" dxfId="1057" priority="732">
      <formula>$AE97=4</formula>
    </cfRule>
  </conditionalFormatting>
  <conditionalFormatting sqref="Q98:R99">
    <cfRule type="expression" dxfId="1056" priority="2057">
      <formula>$AE98=1</formula>
    </cfRule>
    <cfRule type="expression" dxfId="1055" priority="2055">
      <formula>$AE98=3</formula>
    </cfRule>
    <cfRule type="expression" dxfId="1054" priority="2056">
      <formula>$AE98=2</formula>
    </cfRule>
  </conditionalFormatting>
  <conditionalFormatting sqref="Q100:R100">
    <cfRule type="expression" dxfId="1053" priority="2918">
      <formula>$AE100=1</formula>
    </cfRule>
    <cfRule type="expression" dxfId="1052" priority="2917">
      <formula>$AE100=2</formula>
    </cfRule>
    <cfRule type="expression" dxfId="1051" priority="2916">
      <formula>$AE100=3</formula>
    </cfRule>
  </conditionalFormatting>
  <conditionalFormatting sqref="Q101:R101">
    <cfRule type="expression" dxfId="1049" priority="735">
      <formula>$AE101=1</formula>
    </cfRule>
    <cfRule type="expression" dxfId="1048" priority="733">
      <formula>$AE101=3</formula>
    </cfRule>
    <cfRule type="expression" dxfId="1047" priority="734">
      <formula>$AE101=2</formula>
    </cfRule>
  </conditionalFormatting>
  <conditionalFormatting sqref="Q102:R103">
    <cfRule type="expression" dxfId="1046" priority="1088">
      <formula>$AE102=2</formula>
    </cfRule>
    <cfRule type="expression" dxfId="1045" priority="1087">
      <formula>$AE102=3</formula>
    </cfRule>
    <cfRule type="expression" dxfId="1044" priority="1086">
      <formula>$AE102=4</formula>
    </cfRule>
    <cfRule type="expression" dxfId="1043" priority="1089">
      <formula>$AE102=1</formula>
    </cfRule>
  </conditionalFormatting>
  <conditionalFormatting sqref="Q103:R103">
    <cfRule type="expression" dxfId="1042" priority="1085">
      <formula>$AC103=2</formula>
    </cfRule>
  </conditionalFormatting>
  <conditionalFormatting sqref="Q106:R106">
    <cfRule type="expression" dxfId="1040" priority="3259">
      <formula>$AE106=3</formula>
    </cfRule>
    <cfRule type="expression" dxfId="1039" priority="3260">
      <formula>$AE106=2</formula>
    </cfRule>
    <cfRule type="expression" dxfId="1038" priority="3261">
      <formula>$AE106=1</formula>
    </cfRule>
  </conditionalFormatting>
  <conditionalFormatting sqref="Q106:R107">
    <cfRule type="expression" dxfId="1037" priority="125">
      <formula>$AE106=4</formula>
    </cfRule>
  </conditionalFormatting>
  <conditionalFormatting sqref="Q107:R107">
    <cfRule type="expression" dxfId="1035" priority="128">
      <formula>$AE107=1</formula>
    </cfRule>
    <cfRule type="expression" dxfId="1034" priority="129">
      <formula>$AC107=2</formula>
    </cfRule>
    <cfRule type="expression" dxfId="1033" priority="127">
      <formula>$AE107=2</formula>
    </cfRule>
    <cfRule type="expression" dxfId="1032" priority="126">
      <formula>$AE107=3</formula>
    </cfRule>
  </conditionalFormatting>
  <conditionalFormatting sqref="Q108:R108">
    <cfRule type="expression" dxfId="1030" priority="1997">
      <formula>$AE108=3</formula>
    </cfRule>
    <cfRule type="expression" dxfId="1029" priority="1999">
      <formula>$AE108=1</formula>
    </cfRule>
    <cfRule type="expression" dxfId="1028" priority="1998">
      <formula>$AE108=2</formula>
    </cfRule>
  </conditionalFormatting>
  <conditionalFormatting sqref="Q108:R117">
    <cfRule type="expression" dxfId="1027" priority="1074">
      <formula>$AE108=4</formula>
    </cfRule>
  </conditionalFormatting>
  <conditionalFormatting sqref="Q109:R109">
    <cfRule type="expression" dxfId="1025" priority="2896">
      <formula>$AE109=1</formula>
    </cfRule>
    <cfRule type="expression" dxfId="1024" priority="2895">
      <formula>$AE109=2</formula>
    </cfRule>
    <cfRule type="expression" dxfId="1023" priority="2894">
      <formula>$AE109=3</formula>
    </cfRule>
  </conditionalFormatting>
  <conditionalFormatting sqref="Q110:R110">
    <cfRule type="expression" dxfId="1021" priority="1968">
      <formula>$AE110=3</formula>
    </cfRule>
    <cfRule type="expression" dxfId="1020" priority="1969">
      <formula>$AE110=2</formula>
    </cfRule>
    <cfRule type="expression" dxfId="1019" priority="1970">
      <formula>$AE110=1</formula>
    </cfRule>
  </conditionalFormatting>
  <conditionalFormatting sqref="Q111:R111">
    <cfRule type="expression" dxfId="1018" priority="2874">
      <formula>$AE111=1</formula>
    </cfRule>
    <cfRule type="expression" dxfId="1017" priority="2873">
      <formula>$AE111=2</formula>
    </cfRule>
    <cfRule type="expression" dxfId="1016" priority="2872">
      <formula>$AE111=3</formula>
    </cfRule>
  </conditionalFormatting>
  <conditionalFormatting sqref="Q112:R114">
    <cfRule type="expression" dxfId="1014" priority="1941">
      <formula>$AE112=1</formula>
    </cfRule>
    <cfRule type="expression" dxfId="1013" priority="1939">
      <formula>$AE112=3</formula>
    </cfRule>
    <cfRule type="expression" dxfId="1012" priority="1940">
      <formula>$AE112=2</formula>
    </cfRule>
  </conditionalFormatting>
  <conditionalFormatting sqref="Q115:R115">
    <cfRule type="expression" dxfId="1011" priority="2852">
      <formula>$AE115=1</formula>
    </cfRule>
    <cfRule type="expression" dxfId="1010" priority="2851">
      <formula>$AE115=2</formula>
    </cfRule>
    <cfRule type="expression" dxfId="1009" priority="2850">
      <formula>$AE115=3</formula>
    </cfRule>
  </conditionalFormatting>
  <conditionalFormatting sqref="Q116:R117">
    <cfRule type="expression" dxfId="1007" priority="1075">
      <formula>$AE116=3</formula>
    </cfRule>
    <cfRule type="expression" dxfId="1006" priority="1076">
      <formula>$AE116=2</formula>
    </cfRule>
    <cfRule type="expression" dxfId="1005" priority="1077">
      <formula>$AE116=1</formula>
    </cfRule>
  </conditionalFormatting>
  <conditionalFormatting sqref="Q117:R117">
    <cfRule type="expression" dxfId="1004" priority="1073">
      <formula>$AC117=2</formula>
    </cfRule>
  </conditionalFormatting>
  <conditionalFormatting sqref="Q120:R120">
    <cfRule type="expression" dxfId="1002" priority="3240">
      <formula>$AE120=1</formula>
    </cfRule>
    <cfRule type="expression" dxfId="1001" priority="3238">
      <formula>$AE120=3</formula>
    </cfRule>
    <cfRule type="expression" dxfId="999" priority="3239">
      <formula>$AE120=2</formula>
    </cfRule>
  </conditionalFormatting>
  <conditionalFormatting sqref="Q120:R139">
    <cfRule type="expression" dxfId="998" priority="51">
      <formula>$AE120=4</formula>
    </cfRule>
  </conditionalFormatting>
  <conditionalFormatting sqref="Q121:R123">
    <cfRule type="expression" dxfId="997" priority="1853">
      <formula>$AE121=2</formula>
    </cfRule>
    <cfRule type="expression" dxfId="996" priority="1854">
      <formula>$AE121=1</formula>
    </cfRule>
    <cfRule type="expression" dxfId="995" priority="1852">
      <formula>$AE121=3</formula>
    </cfRule>
  </conditionalFormatting>
  <conditionalFormatting sqref="Q124:R124">
    <cfRule type="expression" dxfId="994" priority="2829">
      <formula>$AE124=2</formula>
    </cfRule>
    <cfRule type="expression" dxfId="993" priority="2828">
      <formula>$AE124=3</formula>
    </cfRule>
    <cfRule type="expression" dxfId="991" priority="2830">
      <formula>$AE124=1</formula>
    </cfRule>
  </conditionalFormatting>
  <conditionalFormatting sqref="Q125:R127">
    <cfRule type="expression" dxfId="990" priority="1825">
      <formula>$AE125=1</formula>
    </cfRule>
    <cfRule type="expression" dxfId="989" priority="1824">
      <formula>$AE125=2</formula>
    </cfRule>
    <cfRule type="expression" dxfId="988" priority="1823">
      <formula>$AE125=3</formula>
    </cfRule>
  </conditionalFormatting>
  <conditionalFormatting sqref="Q128:R128">
    <cfRule type="expression" dxfId="987" priority="2806">
      <formula>$AE128=3</formula>
    </cfRule>
    <cfRule type="expression" dxfId="985" priority="2808">
      <formula>$AE128=1</formula>
    </cfRule>
    <cfRule type="expression" dxfId="984" priority="2807">
      <formula>$AE128=2</formula>
    </cfRule>
  </conditionalFormatting>
  <conditionalFormatting sqref="Q129:R131">
    <cfRule type="expression" dxfId="983" priority="1796">
      <formula>$AE129=1</formula>
    </cfRule>
    <cfRule type="expression" dxfId="982" priority="1795">
      <formula>$AE129=2</formula>
    </cfRule>
    <cfRule type="expression" dxfId="981" priority="1794">
      <formula>$AE129=3</formula>
    </cfRule>
  </conditionalFormatting>
  <conditionalFormatting sqref="Q132:R132">
    <cfRule type="expression" dxfId="979" priority="2785">
      <formula>$AE132=2</formula>
    </cfRule>
    <cfRule type="expression" dxfId="978" priority="2786">
      <formula>$AE132=1</formula>
    </cfRule>
    <cfRule type="expression" dxfId="977" priority="2784">
      <formula>$AE132=3</formula>
    </cfRule>
  </conditionalFormatting>
  <conditionalFormatting sqref="Q133:R137">
    <cfRule type="expression" dxfId="976" priority="913">
      <formula>$AE133=2</formula>
    </cfRule>
    <cfRule type="expression" dxfId="975" priority="912">
      <formula>$AE133=3</formula>
    </cfRule>
    <cfRule type="expression" dxfId="974" priority="914">
      <formula>$AE133=1</formula>
    </cfRule>
  </conditionalFormatting>
  <conditionalFormatting sqref="Q138:R138">
    <cfRule type="expression" dxfId="972" priority="2762">
      <formula>$AE138=3</formula>
    </cfRule>
    <cfRule type="expression" dxfId="971" priority="2763">
      <formula>$AE138=2</formula>
    </cfRule>
    <cfRule type="expression" dxfId="970" priority="2764">
      <formula>$AE138=1</formula>
    </cfRule>
  </conditionalFormatting>
  <conditionalFormatting sqref="Q139:R139 X139:Y139 H121:I139">
    <cfRule type="expression" dxfId="969" priority="58">
      <formula>$AC121=2</formula>
    </cfRule>
  </conditionalFormatting>
  <conditionalFormatting sqref="Q139:R139">
    <cfRule type="expression" dxfId="968" priority="52">
      <formula>$AE139=3</formula>
    </cfRule>
    <cfRule type="expression" dxfId="966" priority="54">
      <formula>$AE139=1</formula>
    </cfRule>
    <cfRule type="expression" dxfId="965" priority="53">
      <formula>$AE139=2</formula>
    </cfRule>
  </conditionalFormatting>
  <conditionalFormatting sqref="Q140:R142">
    <cfRule type="expression" dxfId="964" priority="1736">
      <formula>$AE140=3</formula>
    </cfRule>
    <cfRule type="expression" dxfId="963" priority="1738">
      <formula>$AE140=1</formula>
    </cfRule>
    <cfRule type="expression" dxfId="962" priority="1737">
      <formula>$AE140=2</formula>
    </cfRule>
  </conditionalFormatting>
  <conditionalFormatting sqref="Q140:R147">
    <cfRule type="expression" dxfId="961" priority="1062">
      <formula>$AE140=4</formula>
    </cfRule>
  </conditionalFormatting>
  <conditionalFormatting sqref="Q143:R143">
    <cfRule type="expression" dxfId="959" priority="2742">
      <formula>$AE143=1</formula>
    </cfRule>
    <cfRule type="expression" dxfId="958" priority="2741">
      <formula>$AE143=2</formula>
    </cfRule>
    <cfRule type="expression" dxfId="957" priority="2740">
      <formula>$AE143=3</formula>
    </cfRule>
  </conditionalFormatting>
  <conditionalFormatting sqref="Q144:R147">
    <cfRule type="expression" dxfId="955" priority="1065">
      <formula>$AE144=1</formula>
    </cfRule>
    <cfRule type="expression" dxfId="954" priority="1064">
      <formula>$AE144=2</formula>
    </cfRule>
    <cfRule type="expression" dxfId="953" priority="1063">
      <formula>$AE144=3</formula>
    </cfRule>
  </conditionalFormatting>
  <conditionalFormatting sqref="Q147:R147">
    <cfRule type="expression" dxfId="952" priority="1061">
      <formula>$AC147=2</formula>
    </cfRule>
  </conditionalFormatting>
  <conditionalFormatting sqref="Q150:R150">
    <cfRule type="expression" dxfId="950" priority="3217">
      <formula>$AE150=3</formula>
    </cfRule>
    <cfRule type="expression" dxfId="949" priority="3218">
      <formula>$AE150=2</formula>
    </cfRule>
    <cfRule type="expression" dxfId="948" priority="3219">
      <formula>$AE150=1</formula>
    </cfRule>
  </conditionalFormatting>
  <conditionalFormatting sqref="Q150:R155">
    <cfRule type="expression" dxfId="946" priority="84">
      <formula>$AE150=4</formula>
    </cfRule>
  </conditionalFormatting>
  <conditionalFormatting sqref="Q151:R151">
    <cfRule type="expression" dxfId="944" priority="88">
      <formula>$AC151=2</formula>
    </cfRule>
    <cfRule type="expression" dxfId="943" priority="87">
      <formula>$AE151=1</formula>
    </cfRule>
    <cfRule type="expression" dxfId="942" priority="86">
      <formula>$AE151=2</formula>
    </cfRule>
    <cfRule type="expression" dxfId="941" priority="85">
      <formula>$AE151=3</formula>
    </cfRule>
  </conditionalFormatting>
  <conditionalFormatting sqref="Q152:R155">
    <cfRule type="expression" dxfId="940" priority="218">
      <formula>$AE152=1</formula>
    </cfRule>
    <cfRule type="expression" dxfId="939" priority="216">
      <formula>$AE152=3</formula>
    </cfRule>
    <cfRule type="expression" dxfId="938" priority="217">
      <formula>$AE152=2</formula>
    </cfRule>
  </conditionalFormatting>
  <conditionalFormatting sqref="Q155:R155">
    <cfRule type="expression" dxfId="936" priority="221">
      <formula>$AC155=2</formula>
    </cfRule>
  </conditionalFormatting>
  <conditionalFormatting sqref="Q156:R156">
    <cfRule type="expression" dxfId="934" priority="2718">
      <formula>$AE156=3</formula>
    </cfRule>
    <cfRule type="expression" dxfId="933" priority="2719">
      <formula>$AE156=2</formula>
    </cfRule>
    <cfRule type="expression" dxfId="932" priority="2720">
      <formula>$AE156=1</formula>
    </cfRule>
  </conditionalFormatting>
  <conditionalFormatting sqref="Q156:R162">
    <cfRule type="expression" dxfId="931" priority="1050">
      <formula>$AE156=4</formula>
    </cfRule>
  </conditionalFormatting>
  <conditionalFormatting sqref="Q157:R157">
    <cfRule type="expression" dxfId="930" priority="1651">
      <formula>$AE157=1</formula>
    </cfRule>
    <cfRule type="expression" dxfId="929" priority="1650">
      <formula>$AE157=2</formula>
    </cfRule>
    <cfRule type="expression" dxfId="928" priority="1649">
      <formula>$AE157=3</formula>
    </cfRule>
  </conditionalFormatting>
  <conditionalFormatting sqref="Q158:R158">
    <cfRule type="expression" dxfId="926" priority="2698">
      <formula>$AE158=1</formula>
    </cfRule>
    <cfRule type="expression" dxfId="925" priority="2697">
      <formula>$AE158=2</formula>
    </cfRule>
    <cfRule type="expression" dxfId="924" priority="2696">
      <formula>$AE158=3</formula>
    </cfRule>
  </conditionalFormatting>
  <conditionalFormatting sqref="Q159:R159">
    <cfRule type="expression" dxfId="923" priority="1620">
      <formula>$AE159=3</formula>
    </cfRule>
    <cfRule type="expression" dxfId="922" priority="1621">
      <formula>$AE159=2</formula>
    </cfRule>
    <cfRule type="expression" dxfId="921" priority="1622">
      <formula>$AE159=1</formula>
    </cfRule>
  </conditionalFormatting>
  <conditionalFormatting sqref="Q160:R160">
    <cfRule type="expression" dxfId="920" priority="2674">
      <formula>$AE160=3</formula>
    </cfRule>
    <cfRule type="expression" dxfId="919" priority="2675">
      <formula>$AE160=2</formula>
    </cfRule>
    <cfRule type="expression" dxfId="918" priority="2676">
      <formula>$AE160=1</formula>
    </cfRule>
  </conditionalFormatting>
  <conditionalFormatting sqref="Q161:R162">
    <cfRule type="expression" dxfId="916" priority="1053">
      <formula>$AE161=1</formula>
    </cfRule>
    <cfRule type="expression" dxfId="915" priority="1052">
      <formula>$AE161=2</formula>
    </cfRule>
    <cfRule type="expression" dxfId="914" priority="1051">
      <formula>$AE161=3</formula>
    </cfRule>
  </conditionalFormatting>
  <conditionalFormatting sqref="Q162:R162">
    <cfRule type="expression" dxfId="913" priority="1049">
      <formula>$AC162=2</formula>
    </cfRule>
  </conditionalFormatting>
  <conditionalFormatting sqref="Q165:R165">
    <cfRule type="expression" dxfId="911" priority="3196">
      <formula>$AE165=3</formula>
    </cfRule>
    <cfRule type="expression" dxfId="909" priority="3198">
      <formula>$AE165=1</formula>
    </cfRule>
    <cfRule type="expression" dxfId="908" priority="3197">
      <formula>$AE165=2</formula>
    </cfRule>
  </conditionalFormatting>
  <conditionalFormatting sqref="Q165:R173">
    <cfRule type="expression" dxfId="907" priority="179">
      <formula>$AE165=4</formula>
    </cfRule>
  </conditionalFormatting>
  <conditionalFormatting sqref="Q166:R167">
    <cfRule type="expression" dxfId="906" priority="180">
      <formula>$AE166=3</formula>
    </cfRule>
    <cfRule type="expression" dxfId="905" priority="181">
      <formula>$AE166=2</formula>
    </cfRule>
    <cfRule type="expression" dxfId="904" priority="182">
      <formula>$AE166=1</formula>
    </cfRule>
  </conditionalFormatting>
  <conditionalFormatting sqref="Q168:R168">
    <cfRule type="expression" dxfId="903" priority="2652">
      <formula>$AE168=3</formula>
    </cfRule>
    <cfRule type="expression" dxfId="901" priority="2653">
      <formula>$AE168=2</formula>
    </cfRule>
    <cfRule type="expression" dxfId="900" priority="2654">
      <formula>$AE168=1</formula>
    </cfRule>
  </conditionalFormatting>
  <conditionalFormatting sqref="Q169:R171">
    <cfRule type="expression" dxfId="899" priority="1535">
      <formula>$AE169=1</formula>
    </cfRule>
    <cfRule type="expression" dxfId="898" priority="1534">
      <formula>$AE169=2</formula>
    </cfRule>
    <cfRule type="expression" dxfId="897" priority="1533">
      <formula>$AE169=3</formula>
    </cfRule>
  </conditionalFormatting>
  <conditionalFormatting sqref="Q172:R173">
    <cfRule type="expression" dxfId="895" priority="2630">
      <formula>$AE172=3</formula>
    </cfRule>
    <cfRule type="expression" dxfId="894" priority="2631">
      <formula>$AE172=2</formula>
    </cfRule>
    <cfRule type="expression" dxfId="893" priority="2632">
      <formula>$AE172=1</formula>
    </cfRule>
  </conditionalFormatting>
  <conditionalFormatting sqref="Q176:R176">
    <cfRule type="expression" dxfId="892" priority="2609">
      <formula>$AE176=2</formula>
    </cfRule>
    <cfRule type="expression" dxfId="891" priority="2610">
      <formula>$AE176=1</formula>
    </cfRule>
    <cfRule type="expression" dxfId="889" priority="2608">
      <formula>$AE176=3</formula>
    </cfRule>
  </conditionalFormatting>
  <conditionalFormatting sqref="Q176:R194">
    <cfRule type="expression" dxfId="888" priority="1038">
      <formula>$AE176=4</formula>
    </cfRule>
  </conditionalFormatting>
  <conditionalFormatting sqref="Q177:R179">
    <cfRule type="expression" dxfId="887" priority="1477">
      <formula>$AE177=1</formula>
    </cfRule>
    <cfRule type="expression" dxfId="886" priority="1475">
      <formula>$AE177=3</formula>
    </cfRule>
    <cfRule type="expression" dxfId="885" priority="1476">
      <formula>$AE177=2</formula>
    </cfRule>
  </conditionalFormatting>
  <conditionalFormatting sqref="Q180:R180">
    <cfRule type="expression" dxfId="884" priority="2588">
      <formula>$AE180=1</formula>
    </cfRule>
    <cfRule type="expression" dxfId="882" priority="2586">
      <formula>$AE180=3</formula>
    </cfRule>
    <cfRule type="expression" dxfId="881" priority="2587">
      <formula>$AE180=2</formula>
    </cfRule>
  </conditionalFormatting>
  <conditionalFormatting sqref="Q181:R183">
    <cfRule type="expression" dxfId="880" priority="1446">
      <formula>$AE181=3</formula>
    </cfRule>
    <cfRule type="expression" dxfId="879" priority="1447">
      <formula>$AE181=2</formula>
    </cfRule>
    <cfRule type="expression" dxfId="878" priority="1448">
      <formula>$AE181=1</formula>
    </cfRule>
  </conditionalFormatting>
  <conditionalFormatting sqref="Q184:R184">
    <cfRule type="expression" dxfId="877" priority="2565">
      <formula>$AE184=2</formula>
    </cfRule>
    <cfRule type="expression" dxfId="876" priority="2566">
      <formula>$AE184=1</formula>
    </cfRule>
    <cfRule type="expression" dxfId="875" priority="2564">
      <formula>$AE184=3</formula>
    </cfRule>
  </conditionalFormatting>
  <conditionalFormatting sqref="Q185:R185">
    <cfRule type="expression" dxfId="873" priority="1419">
      <formula>$AE185=1</formula>
    </cfRule>
    <cfRule type="expression" dxfId="872" priority="1418">
      <formula>$AE185=2</formula>
    </cfRule>
    <cfRule type="expression" dxfId="871" priority="1417">
      <formula>$AE185=3</formula>
    </cfRule>
  </conditionalFormatting>
  <conditionalFormatting sqref="Q186:R186">
    <cfRule type="expression" dxfId="870" priority="2542">
      <formula>$AE186=3</formula>
    </cfRule>
    <cfRule type="expression" dxfId="868" priority="2544">
      <formula>$AE186=1</formula>
    </cfRule>
    <cfRule type="expression" dxfId="867" priority="2543">
      <formula>$AE186=2</formula>
    </cfRule>
  </conditionalFormatting>
  <conditionalFormatting sqref="Q187:R188">
    <cfRule type="expression" dxfId="866" priority="1389">
      <formula>$AE187=2</formula>
    </cfRule>
    <cfRule type="expression" dxfId="865" priority="1388">
      <formula>$AE187=3</formula>
    </cfRule>
    <cfRule type="expression" dxfId="864" priority="1390">
      <formula>$AE187=1</formula>
    </cfRule>
  </conditionalFormatting>
  <conditionalFormatting sqref="Q189:R189">
    <cfRule type="expression" dxfId="863" priority="2521">
      <formula>$AE189=2</formula>
    </cfRule>
    <cfRule type="expression" dxfId="861" priority="2520">
      <formula>$AE189=3</formula>
    </cfRule>
    <cfRule type="expression" dxfId="860" priority="2522">
      <formula>$AE189=1</formula>
    </cfRule>
  </conditionalFormatting>
  <conditionalFormatting sqref="Q190:R194">
    <cfRule type="expression" dxfId="859" priority="1041">
      <formula>$AE190=1</formula>
    </cfRule>
    <cfRule type="expression" dxfId="858" priority="1040">
      <formula>$AE190=2</formula>
    </cfRule>
    <cfRule type="expression" dxfId="857" priority="1039">
      <formula>$AE190=3</formula>
    </cfRule>
  </conditionalFormatting>
  <conditionalFormatting sqref="Q194:R194">
    <cfRule type="expression" dxfId="856" priority="1037">
      <formula>$AC194=2</formula>
    </cfRule>
  </conditionalFormatting>
  <conditionalFormatting sqref="Q197:R197">
    <cfRule type="expression" dxfId="854" priority="3174">
      <formula>$AE197=4</formula>
    </cfRule>
    <cfRule type="expression" dxfId="853" priority="3177">
      <formula>$AE197=1</formula>
    </cfRule>
    <cfRule type="expression" dxfId="852" priority="3176">
      <formula>$AE197=2</formula>
    </cfRule>
    <cfRule type="expression" dxfId="851" priority="3175">
      <formula>$AE197=3</formula>
    </cfRule>
  </conditionalFormatting>
  <conditionalFormatting sqref="Q199:R200">
    <cfRule type="expression" dxfId="848" priority="858">
      <formula>$AE199=4</formula>
    </cfRule>
    <cfRule type="expression" dxfId="847" priority="859">
      <formula>$AE199=3</formula>
    </cfRule>
    <cfRule type="expression" dxfId="846" priority="860">
      <formula>$AE199=2</formula>
    </cfRule>
    <cfRule type="expression" dxfId="845" priority="861">
      <formula>$AE199=1</formula>
    </cfRule>
  </conditionalFormatting>
  <conditionalFormatting sqref="Q201:R201">
    <cfRule type="expression" dxfId="844" priority="1136">
      <formula>$AE201=3</formula>
    </cfRule>
    <cfRule type="expression" dxfId="843" priority="1137">
      <formula>$AE201=2</formula>
    </cfRule>
    <cfRule type="expression" dxfId="842" priority="1138">
      <formula>$AE201=1</formula>
    </cfRule>
  </conditionalFormatting>
  <conditionalFormatting sqref="Q201:R211">
    <cfRule type="expression" dxfId="841" priority="1026">
      <formula>$AE201=4</formula>
    </cfRule>
  </conditionalFormatting>
  <conditionalFormatting sqref="Q202:R202">
    <cfRule type="expression" dxfId="840" priority="2500">
      <formula>$AE202=1</formula>
    </cfRule>
    <cfRule type="expression" dxfId="839" priority="2499">
      <formula>$AE202=2</formula>
    </cfRule>
    <cfRule type="expression" dxfId="837" priority="2498">
      <formula>$AE202=3</formula>
    </cfRule>
  </conditionalFormatting>
  <conditionalFormatting sqref="Q203:R204">
    <cfRule type="expression" dxfId="836" priority="1301">
      <formula>$AE203=3</formula>
    </cfRule>
    <cfRule type="expression" dxfId="835" priority="1302">
      <formula>$AE203=2</formula>
    </cfRule>
    <cfRule type="expression" dxfId="834" priority="1303">
      <formula>$AE203=1</formula>
    </cfRule>
  </conditionalFormatting>
  <conditionalFormatting sqref="Q205:R205">
    <cfRule type="expression" dxfId="833" priority="2478">
      <formula>$AE205=1</formula>
    </cfRule>
    <cfRule type="expression" dxfId="831" priority="2476">
      <formula>$AE205=3</formula>
    </cfRule>
    <cfRule type="expression" dxfId="830" priority="2477">
      <formula>$AE205=2</formula>
    </cfRule>
  </conditionalFormatting>
  <conditionalFormatting sqref="Q206:R207">
    <cfRule type="expression" dxfId="829" priority="1273">
      <formula>$AE206=2</formula>
    </cfRule>
    <cfRule type="expression" dxfId="828" priority="1274">
      <formula>$AE206=1</formula>
    </cfRule>
    <cfRule type="expression" dxfId="827" priority="1272">
      <formula>$AE206=3</formula>
    </cfRule>
  </conditionalFormatting>
  <conditionalFormatting sqref="Q208:R208">
    <cfRule type="expression" dxfId="826" priority="2455">
      <formula>$AE208=2</formula>
    </cfRule>
    <cfRule type="expression" dxfId="824" priority="2456">
      <formula>$AE208=1</formula>
    </cfRule>
    <cfRule type="expression" dxfId="823" priority="2454">
      <formula>$AE208=3</formula>
    </cfRule>
  </conditionalFormatting>
  <conditionalFormatting sqref="Q209:R211">
    <cfRule type="expression" dxfId="822" priority="1028">
      <formula>$AE209=2</formula>
    </cfRule>
    <cfRule type="expression" dxfId="821" priority="1029">
      <formula>$AE209=1</formula>
    </cfRule>
    <cfRule type="expression" dxfId="820" priority="1027">
      <formula>$AE209=3</formula>
    </cfRule>
  </conditionalFormatting>
  <conditionalFormatting sqref="Q211:R211">
    <cfRule type="expression" dxfId="819" priority="1025">
      <formula>$AC211=2</formula>
    </cfRule>
  </conditionalFormatting>
  <conditionalFormatting sqref="Q212:R212">
    <cfRule type="expression" dxfId="817" priority="4535">
      <formula>$AE212=2</formula>
    </cfRule>
    <cfRule type="expression" dxfId="816" priority="4536">
      <formula>$AE212=1</formula>
    </cfRule>
  </conditionalFormatting>
  <conditionalFormatting sqref="Q212:R222">
    <cfRule type="expression" dxfId="815" priority="4533">
      <formula>$AE212=4</formula>
    </cfRule>
    <cfRule type="expression" dxfId="814" priority="4534">
      <formula>$AE212=3</formula>
    </cfRule>
  </conditionalFormatting>
  <conditionalFormatting sqref="Q212:R227 X209:Y228 N238:P238 U238:W238 U253:Z254 U256:W256 U257:Z260 U261:W261 N247:R249 U247:Z247 U248:W249 U250:Z250 Q11:R63 X11:Y15 X17:Y46 Q65:R93 Q95:R102 Q104:R106 X102:Y106 Q118:R138 Q148:R150 X144:Y150 Q163:R166 Q195:R210 X190:Y201 Q108:R116 Q140:R146 Q156:R161 G10:L10 N10:S10 U10:Y10 Z10:Z11 AZ10:AZ11 AZ18:AZ21 N19:N20 G22:G25 AZ28 G29:G31 AZ32 G33:G35 G36:L38 U36:V38 AZ36:AZ47 AZ52:AZ67 G64:L66 N88:O88 U88:V88 G94:L96 G103:L105 G117:L119 AZ124 AZ128 AZ143 G147:L149 AZ147:AZ151 Q152:R154 X152:Y154 X161:Y166 G162:L164 R167 Q168:R193 G194:L196 N198:O198 U198:V198 G200:L201 N200:O201 U200:V201 N214:N228 U214:U228 S216:S227 Q228:S228 G238 G247:L247 AZ247 S247:S248 G248:G249 K248:K249 AZ249:AZ250 G250:L250 N250:S250 G253:L254 N253:S254 AZ253:AZ254 G256 N256:S261 AZ256:AZ261 G257:L260 G261">
    <cfRule type="expression" dxfId="813" priority="4516">
      <formula>$AC10=2</formula>
    </cfRule>
  </conditionalFormatting>
  <conditionalFormatting sqref="Q223:R223">
    <cfRule type="expression" dxfId="812" priority="4310">
      <formula>$AE223=1</formula>
    </cfRule>
  </conditionalFormatting>
  <conditionalFormatting sqref="Q223:R229">
    <cfRule type="expression" dxfId="811" priority="1015">
      <formula>$AE223=3</formula>
    </cfRule>
    <cfRule type="expression" dxfId="810" priority="1016">
      <formula>$AE223=2</formula>
    </cfRule>
    <cfRule type="expression" dxfId="809" priority="1014">
      <formula>$AE223=4</formula>
    </cfRule>
  </conditionalFormatting>
  <conditionalFormatting sqref="Q224:R228">
    <cfRule type="expression" dxfId="808" priority="1017">
      <formula>$AE224=1</formula>
    </cfRule>
  </conditionalFormatting>
  <conditionalFormatting sqref="Q229:R229">
    <cfRule type="expression" dxfId="807" priority="4524">
      <formula>$AE229=1</formula>
    </cfRule>
  </conditionalFormatting>
  <conditionalFormatting sqref="S11">
    <cfRule type="expression" dxfId="806" priority="3753">
      <formula>$AC11=2</formula>
    </cfRule>
  </conditionalFormatting>
  <conditionalFormatting sqref="S12:S106">
    <cfRule type="expression" dxfId="805" priority="373">
      <formula>$AA12=2</formula>
    </cfRule>
  </conditionalFormatting>
  <conditionalFormatting sqref="S107">
    <cfRule type="expression" dxfId="804" priority="103">
      <formula>$AA107=2</formula>
    </cfRule>
  </conditionalFormatting>
  <conditionalFormatting sqref="S108:S138">
    <cfRule type="expression" dxfId="803" priority="374">
      <formula>$AA108=2</formula>
    </cfRule>
  </conditionalFormatting>
  <conditionalFormatting sqref="S139">
    <cfRule type="expression" dxfId="802" priority="24">
      <formula>$AA139=2</formula>
    </cfRule>
  </conditionalFormatting>
  <conditionalFormatting sqref="S140:S150">
    <cfRule type="expression" dxfId="801" priority="391">
      <formula>$AA140=2</formula>
    </cfRule>
  </conditionalFormatting>
  <conditionalFormatting sqref="S151">
    <cfRule type="expression" dxfId="800" priority="62">
      <formula>$AA151=2</formula>
    </cfRule>
  </conditionalFormatting>
  <conditionalFormatting sqref="S152:S215">
    <cfRule type="expression" dxfId="799" priority="376">
      <formula>$AA152=2</formula>
    </cfRule>
  </conditionalFormatting>
  <conditionalFormatting sqref="S249">
    <cfRule type="expression" dxfId="798" priority="3686">
      <formula>$AC28=2</formula>
    </cfRule>
  </conditionalFormatting>
  <conditionalFormatting sqref="U12:U15">
    <cfRule type="expression" dxfId="797" priority="3352">
      <formula>$AC12=2</formula>
    </cfRule>
    <cfRule type="expression" dxfId="796" priority="3351">
      <formula>U12&gt;F12</formula>
    </cfRule>
  </conditionalFormatting>
  <conditionalFormatting sqref="U16">
    <cfRule type="expression" dxfId="793" priority="691">
      <formula>$AC16=2</formula>
    </cfRule>
    <cfRule type="expression" dxfId="792" priority="690">
      <formula>U16&gt;F16</formula>
    </cfRule>
  </conditionalFormatting>
  <conditionalFormatting sqref="U17">
    <cfRule type="expression" dxfId="791" priority="3347">
      <formula>U17&gt;F17</formula>
    </cfRule>
    <cfRule type="expression" dxfId="790" priority="3348">
      <formula>$AC17=2</formula>
    </cfRule>
  </conditionalFormatting>
  <conditionalFormatting sqref="U19:U20">
    <cfRule type="expression" dxfId="787" priority="3343">
      <formula>U19&gt;F19</formula>
    </cfRule>
    <cfRule type="expression" dxfId="786" priority="3344">
      <formula>$AC19=2</formula>
    </cfRule>
  </conditionalFormatting>
  <conditionalFormatting sqref="U22:U25">
    <cfRule type="expression" dxfId="785" priority="3339">
      <formula>U22&gt;F22</formula>
    </cfRule>
    <cfRule type="expression" dxfId="784" priority="3340">
      <formula>$AC22=2</formula>
    </cfRule>
  </conditionalFormatting>
  <conditionalFormatting sqref="U26">
    <cfRule type="expression" dxfId="781" priority="811">
      <formula>$AC26=2</formula>
    </cfRule>
    <cfRule type="expression" dxfId="780" priority="810">
      <formula>U26&gt;F26</formula>
    </cfRule>
  </conditionalFormatting>
  <conditionalFormatting sqref="U27">
    <cfRule type="expression" dxfId="779" priority="782">
      <formula>$AC27=2</formula>
    </cfRule>
    <cfRule type="expression" dxfId="778" priority="781">
      <formula>U27&gt;F27</formula>
    </cfRule>
  </conditionalFormatting>
  <conditionalFormatting sqref="U29:U31">
    <cfRule type="expression" dxfId="775" priority="3335">
      <formula>U29&gt;F29</formula>
    </cfRule>
    <cfRule type="expression" dxfId="774" priority="3336">
      <formula>$AC29=2</formula>
    </cfRule>
  </conditionalFormatting>
  <conditionalFormatting sqref="U33:U35">
    <cfRule type="expression" dxfId="772" priority="3332">
      <formula>$AC33=2</formula>
    </cfRule>
  </conditionalFormatting>
  <conditionalFormatting sqref="U33:U36">
    <cfRule type="expression" dxfId="770" priority="3331">
      <formula>U33&gt;F33</formula>
    </cfRule>
  </conditionalFormatting>
  <conditionalFormatting sqref="U40:U41">
    <cfRule type="expression" dxfId="769" priority="241">
      <formula>U40&gt;F40</formula>
    </cfRule>
    <cfRule type="expression" dxfId="768" priority="242">
      <formula>$AC40=2</formula>
    </cfRule>
  </conditionalFormatting>
  <conditionalFormatting sqref="U42:U46">
    <cfRule type="expression" dxfId="765" priority="2409">
      <formula>$AC42=2</formula>
    </cfRule>
    <cfRule type="expression" dxfId="764" priority="2408">
      <formula>U42&gt;F42</formula>
    </cfRule>
  </conditionalFormatting>
  <conditionalFormatting sqref="U48:U51">
    <cfRule type="expression" dxfId="763" priority="2380">
      <formula>$AC48=2</formula>
    </cfRule>
    <cfRule type="expression" dxfId="762" priority="2379">
      <formula>U48&gt;F48</formula>
    </cfRule>
  </conditionalFormatting>
  <conditionalFormatting sqref="U53:U55">
    <cfRule type="expression" dxfId="758" priority="2351">
      <formula>$AC53=2</formula>
    </cfRule>
    <cfRule type="expression" dxfId="757" priority="2350">
      <formula>U53&gt;F53</formula>
    </cfRule>
  </conditionalFormatting>
  <conditionalFormatting sqref="U57">
    <cfRule type="expression" dxfId="755" priority="960">
      <formula>U57&gt;F57</formula>
    </cfRule>
    <cfRule type="expression" dxfId="754" priority="961">
      <formula>$AC57=2</formula>
    </cfRule>
  </conditionalFormatting>
  <conditionalFormatting sqref="U58">
    <cfRule type="expression" dxfId="751" priority="2322">
      <formula>$AC58=2</formula>
    </cfRule>
    <cfRule type="expression" dxfId="750" priority="2321">
      <formula>U58&gt;F58</formula>
    </cfRule>
  </conditionalFormatting>
  <conditionalFormatting sqref="U60:U61">
    <cfRule type="expression" dxfId="749" priority="2292">
      <formula>U60&gt;F60</formula>
    </cfRule>
    <cfRule type="expression" dxfId="746" priority="2293">
      <formula>$AC60=2</formula>
    </cfRule>
  </conditionalFormatting>
  <conditionalFormatting sqref="U63">
    <cfRule type="expression" dxfId="745" priority="2263">
      <formula>U63&gt;F63</formula>
    </cfRule>
  </conditionalFormatting>
  <conditionalFormatting sqref="U63:U64">
    <cfRule type="expression" dxfId="744" priority="2264">
      <formula>$AC63=2</formula>
    </cfRule>
  </conditionalFormatting>
  <conditionalFormatting sqref="U64">
    <cfRule type="expression" dxfId="741" priority="1108">
      <formula>U64&gt;F64</formula>
    </cfRule>
  </conditionalFormatting>
  <conditionalFormatting sqref="U68:U70 U72:U74">
    <cfRule type="expression" dxfId="739" priority="2234">
      <formula>U68&gt;F68</formula>
    </cfRule>
    <cfRule type="expression" dxfId="738" priority="2235">
      <formula>$AC68=2</formula>
    </cfRule>
  </conditionalFormatting>
  <conditionalFormatting sqref="U71">
    <cfRule type="expression" dxfId="736" priority="139">
      <formula>$AC71=2</formula>
    </cfRule>
    <cfRule type="expression" dxfId="735" priority="138">
      <formula>U71&gt;F71</formula>
    </cfRule>
  </conditionalFormatting>
  <conditionalFormatting sqref="U76:U78">
    <cfRule type="expression" dxfId="731" priority="2205">
      <formula>U76&gt;F76</formula>
    </cfRule>
    <cfRule type="expression" dxfId="730" priority="2206">
      <formula>$AC76=2</formula>
    </cfRule>
  </conditionalFormatting>
  <conditionalFormatting sqref="U80:U81">
    <cfRule type="expression" dxfId="729" priority="2177">
      <formula>$AC80=2</formula>
    </cfRule>
    <cfRule type="expression" dxfId="728" priority="2176">
      <formula>U80&gt;F80</formula>
    </cfRule>
  </conditionalFormatting>
  <conditionalFormatting sqref="U83:U84">
    <cfRule type="expression" dxfId="725" priority="2147">
      <formula>U83&gt;F83</formula>
    </cfRule>
    <cfRule type="expression" dxfId="722" priority="2148">
      <formula>$AC83=2</formula>
    </cfRule>
  </conditionalFormatting>
  <conditionalFormatting sqref="U86">
    <cfRule type="expression" dxfId="721" priority="2118">
      <formula>U86&gt;F86</formula>
    </cfRule>
    <cfRule type="expression" dxfId="720" priority="2119">
      <formula>$AC86=2</formula>
    </cfRule>
  </conditionalFormatting>
  <conditionalFormatting sqref="U87">
    <cfRule type="expression" dxfId="717" priority="746">
      <formula>$AC87=2</formula>
    </cfRule>
  </conditionalFormatting>
  <conditionalFormatting sqref="U87:U88">
    <cfRule type="expression" dxfId="716" priority="745">
      <formula>U87&gt;F87</formula>
    </cfRule>
  </conditionalFormatting>
  <conditionalFormatting sqref="U90:U91">
    <cfRule type="expression" dxfId="715" priority="2090">
      <formula>$AC90=2</formula>
    </cfRule>
    <cfRule type="expression" dxfId="714" priority="2089">
      <formula>U90&gt;F90</formula>
    </cfRule>
  </conditionalFormatting>
  <conditionalFormatting sqref="U93">
    <cfRule type="expression" dxfId="711" priority="2060">
      <formula>U93&gt;F93</formula>
    </cfRule>
  </conditionalFormatting>
  <conditionalFormatting sqref="U93:U94">
    <cfRule type="expression" dxfId="710" priority="2061">
      <formula>$AC93=2</formula>
    </cfRule>
  </conditionalFormatting>
  <conditionalFormatting sqref="U94">
    <cfRule type="expression" dxfId="707" priority="1096">
      <formula>U94&gt;F94</formula>
    </cfRule>
  </conditionalFormatting>
  <conditionalFormatting sqref="U98:U99">
    <cfRule type="expression" dxfId="704" priority="2031">
      <formula>U98&gt;F98</formula>
    </cfRule>
    <cfRule type="expression" dxfId="703" priority="2032">
      <formula>$AC98=2</formula>
    </cfRule>
  </conditionalFormatting>
  <conditionalFormatting sqref="U101">
    <cfRule type="expression" dxfId="702" priority="706">
      <formula>U101&gt;F101</formula>
    </cfRule>
    <cfRule type="expression" dxfId="701" priority="707">
      <formula>$AC101=2</formula>
    </cfRule>
  </conditionalFormatting>
  <conditionalFormatting sqref="U102">
    <cfRule type="expression" dxfId="698" priority="2002">
      <formula>U102&gt;F102</formula>
    </cfRule>
  </conditionalFormatting>
  <conditionalFormatting sqref="U102:U103">
    <cfRule type="expression" dxfId="697" priority="2003">
      <formula>$AC102=2</formula>
    </cfRule>
  </conditionalFormatting>
  <conditionalFormatting sqref="U103">
    <cfRule type="expression" dxfId="696" priority="1084">
      <formula>U103&gt;F103</formula>
    </cfRule>
  </conditionalFormatting>
  <conditionalFormatting sqref="U107">
    <cfRule type="expression" dxfId="694" priority="108">
      <formula>U107&gt;F107</formula>
    </cfRule>
  </conditionalFormatting>
  <conditionalFormatting sqref="U108">
    <cfRule type="expression" dxfId="691" priority="1974">
      <formula>$AC108=2</formula>
    </cfRule>
    <cfRule type="expression" dxfId="690" priority="1973">
      <formula>U108&gt;F108</formula>
    </cfRule>
  </conditionalFormatting>
  <conditionalFormatting sqref="U110">
    <cfRule type="expression" dxfId="689" priority="1945">
      <formula>$AC110=2</formula>
    </cfRule>
    <cfRule type="expression" dxfId="688" priority="1944">
      <formula>U110&gt;F110</formula>
    </cfRule>
  </conditionalFormatting>
  <conditionalFormatting sqref="U112:U114">
    <cfRule type="expression" dxfId="685" priority="1916">
      <formula>$AC112=2</formula>
    </cfRule>
    <cfRule type="expression" dxfId="684" priority="1915">
      <formula>U112&gt;F112</formula>
    </cfRule>
  </conditionalFormatting>
  <conditionalFormatting sqref="U116">
    <cfRule type="expression" dxfId="681" priority="1886">
      <formula>U116&gt;F116</formula>
    </cfRule>
  </conditionalFormatting>
  <conditionalFormatting sqref="U116:U117">
    <cfRule type="expression" dxfId="678" priority="1887">
      <formula>$AC116=2</formula>
    </cfRule>
  </conditionalFormatting>
  <conditionalFormatting sqref="U117">
    <cfRule type="expression" dxfId="677" priority="1072">
      <formula>U117&gt;F117</formula>
    </cfRule>
  </conditionalFormatting>
  <conditionalFormatting sqref="U121">
    <cfRule type="expression" dxfId="676" priority="957">
      <formula>$AC121=2</formula>
    </cfRule>
    <cfRule type="expression" dxfId="675" priority="956">
      <formula>U121&gt;F121</formula>
    </cfRule>
  </conditionalFormatting>
  <conditionalFormatting sqref="U122">
    <cfRule type="expression" dxfId="672" priority="1857">
      <formula>U122&gt;F122</formula>
    </cfRule>
    <cfRule type="expression" dxfId="671" priority="1858">
      <formula>$AC122=2</formula>
    </cfRule>
  </conditionalFormatting>
  <conditionalFormatting sqref="U123">
    <cfRule type="expression" dxfId="670" priority="1828">
      <formula>U123&gt;F123</formula>
    </cfRule>
    <cfRule type="expression" dxfId="669" priority="1829">
      <formula>$AC123=2</formula>
    </cfRule>
  </conditionalFormatting>
  <conditionalFormatting sqref="U125">
    <cfRule type="expression" dxfId="668" priority="953">
      <formula>$AC125=2</formula>
    </cfRule>
    <cfRule type="expression" dxfId="667" priority="952">
      <formula>U125&gt;F125</formula>
    </cfRule>
  </conditionalFormatting>
  <conditionalFormatting sqref="U126:U127">
    <cfRule type="expression" dxfId="664" priority="1799">
      <formula>U126&gt;F126</formula>
    </cfRule>
    <cfRule type="expression" dxfId="663" priority="1800">
      <formula>$AC126=2</formula>
    </cfRule>
  </conditionalFormatting>
  <conditionalFormatting sqref="U129">
    <cfRule type="expression" dxfId="662" priority="948">
      <formula>U129&gt;F129</formula>
    </cfRule>
    <cfRule type="expression" dxfId="661" priority="949">
      <formula>$AC129=2</formula>
    </cfRule>
  </conditionalFormatting>
  <conditionalFormatting sqref="U130:U131">
    <cfRule type="expression" dxfId="658" priority="1771">
      <formula>$AC130=2</formula>
    </cfRule>
    <cfRule type="expression" dxfId="657" priority="1770">
      <formula>U130&gt;F130</formula>
    </cfRule>
  </conditionalFormatting>
  <conditionalFormatting sqref="U133">
    <cfRule type="expression" dxfId="656" priority="945">
      <formula>$AC133=2</formula>
    </cfRule>
    <cfRule type="expression" dxfId="655" priority="944">
      <formula>U133&gt;F133</formula>
    </cfRule>
  </conditionalFormatting>
  <conditionalFormatting sqref="U134:U136">
    <cfRule type="expression" dxfId="652" priority="1741">
      <formula>U134&gt;F134</formula>
    </cfRule>
    <cfRule type="expression" dxfId="651" priority="1742">
      <formula>$AC134=2</formula>
    </cfRule>
  </conditionalFormatting>
  <conditionalFormatting sqref="U137">
    <cfRule type="expression" dxfId="650" priority="889">
      <formula>$AC137=2</formula>
    </cfRule>
    <cfRule type="expression" dxfId="649" priority="888">
      <formula>U137&gt;F137</formula>
    </cfRule>
  </conditionalFormatting>
  <conditionalFormatting sqref="U139">
    <cfRule type="expression" dxfId="647" priority="29">
      <formula>U139&gt;F139</formula>
    </cfRule>
  </conditionalFormatting>
  <conditionalFormatting sqref="U140:U142">
    <cfRule type="expression" dxfId="645" priority="1712">
      <formula>U140&gt;F140</formula>
    </cfRule>
    <cfRule type="expression" dxfId="643" priority="1713">
      <formula>$AC140=2</formula>
    </cfRule>
  </conditionalFormatting>
  <conditionalFormatting sqref="U144:U146">
    <cfRule type="expression" dxfId="642" priority="1683">
      <formula>U144&gt;F144</formula>
    </cfRule>
  </conditionalFormatting>
  <conditionalFormatting sqref="U144:U147">
    <cfRule type="expression" dxfId="639" priority="1684">
      <formula>$AC144=2</formula>
    </cfRule>
  </conditionalFormatting>
  <conditionalFormatting sqref="U147">
    <cfRule type="expression" dxfId="638" priority="1060">
      <formula>U147&gt;F147</formula>
    </cfRule>
  </conditionalFormatting>
  <conditionalFormatting sqref="U151">
    <cfRule type="expression" dxfId="637" priority="67">
      <formula>U151&gt;F151</formula>
    </cfRule>
  </conditionalFormatting>
  <conditionalFormatting sqref="U152:U154">
    <cfRule type="expression" dxfId="634" priority="1654">
      <formula>U152&gt;F152</formula>
    </cfRule>
  </conditionalFormatting>
  <conditionalFormatting sqref="U155">
    <cfRule type="expression" dxfId="632" priority="200">
      <formula>$AC155=2</formula>
    </cfRule>
    <cfRule type="expression" dxfId="631" priority="199">
      <formula>U155&gt;F155</formula>
    </cfRule>
  </conditionalFormatting>
  <conditionalFormatting sqref="U157">
    <cfRule type="expression" dxfId="630" priority="1626">
      <formula>$AC157=2</formula>
    </cfRule>
    <cfRule type="expression" dxfId="629" priority="1625">
      <formula>U157&gt;F157</formula>
    </cfRule>
  </conditionalFormatting>
  <conditionalFormatting sqref="U159">
    <cfRule type="expression" dxfId="625" priority="1597">
      <formula>$AC159=2</formula>
    </cfRule>
    <cfRule type="expression" dxfId="624" priority="1596">
      <formula>U159&gt;F159</formula>
    </cfRule>
  </conditionalFormatting>
  <conditionalFormatting sqref="U161">
    <cfRule type="expression" dxfId="622" priority="1567">
      <formula>U161&gt;F161</formula>
    </cfRule>
  </conditionalFormatting>
  <conditionalFormatting sqref="U161:U162">
    <cfRule type="expression" dxfId="621" priority="1568">
      <formula>$AC161=2</formula>
    </cfRule>
  </conditionalFormatting>
  <conditionalFormatting sqref="U162">
    <cfRule type="expression" dxfId="618" priority="1048">
      <formula>U162&gt;F162</formula>
    </cfRule>
  </conditionalFormatting>
  <conditionalFormatting sqref="U166">
    <cfRule type="expression" dxfId="617" priority="1539">
      <formula>$AC166=2</formula>
    </cfRule>
    <cfRule type="expression" dxfId="616" priority="1538">
      <formula>U166&gt;F166</formula>
    </cfRule>
  </conditionalFormatting>
  <conditionalFormatting sqref="U167">
    <cfRule type="expression" dxfId="613" priority="164">
      <formula>$AC167=2</formula>
    </cfRule>
    <cfRule type="expression" dxfId="612" priority="163">
      <formula>U167&gt;F167</formula>
    </cfRule>
  </conditionalFormatting>
  <conditionalFormatting sqref="U169">
    <cfRule type="expression" dxfId="611" priority="940">
      <formula>U169&gt;F169</formula>
    </cfRule>
    <cfRule type="expression" dxfId="610" priority="941">
      <formula>$AC169=2</formula>
    </cfRule>
  </conditionalFormatting>
  <conditionalFormatting sqref="U170:U171">
    <cfRule type="expression" dxfId="607" priority="1510">
      <formula>$AC170=2</formula>
    </cfRule>
    <cfRule type="expression" dxfId="606" priority="1509">
      <formula>U170&gt;F170</formula>
    </cfRule>
  </conditionalFormatting>
  <conditionalFormatting sqref="U174:U175">
    <cfRule type="expression" dxfId="603" priority="1481">
      <formula>$AC174=2</formula>
    </cfRule>
    <cfRule type="expression" dxfId="602" priority="1480">
      <formula>U174&gt;F174</formula>
    </cfRule>
  </conditionalFormatting>
  <conditionalFormatting sqref="U177">
    <cfRule type="expression" dxfId="601" priority="932">
      <formula>U177&gt;F177</formula>
    </cfRule>
    <cfRule type="expression" dxfId="600" priority="933">
      <formula>$AC177=2</formula>
    </cfRule>
  </conditionalFormatting>
  <conditionalFormatting sqref="U178:U179">
    <cfRule type="expression" dxfId="597" priority="1451">
      <formula>U178&gt;F178</formula>
    </cfRule>
    <cfRule type="expression" dxfId="596" priority="1452">
      <formula>$AC178=2</formula>
    </cfRule>
  </conditionalFormatting>
  <conditionalFormatting sqref="U181">
    <cfRule type="expression" dxfId="595" priority="928">
      <formula>U181&gt;F181</formula>
    </cfRule>
    <cfRule type="expression" dxfId="594" priority="929">
      <formula>$AC181=2</formula>
    </cfRule>
  </conditionalFormatting>
  <conditionalFormatting sqref="U182:U183">
    <cfRule type="expression" dxfId="591" priority="1423">
      <formula>$AC182=2</formula>
    </cfRule>
    <cfRule type="expression" dxfId="590" priority="1422">
      <formula>U182&gt;F182</formula>
    </cfRule>
  </conditionalFormatting>
  <conditionalFormatting sqref="U185">
    <cfRule type="expression" dxfId="589" priority="1393">
      <formula>U185&gt;F185</formula>
    </cfRule>
    <cfRule type="expression" dxfId="588" priority="1394">
      <formula>$AC185=2</formula>
    </cfRule>
  </conditionalFormatting>
  <conditionalFormatting sqref="U187">
    <cfRule type="expression" dxfId="585" priority="924">
      <formula>U187&gt;F187</formula>
    </cfRule>
    <cfRule type="expression" dxfId="584" priority="925">
      <formula>$AC187=2</formula>
    </cfRule>
  </conditionalFormatting>
  <conditionalFormatting sqref="U188">
    <cfRule type="expression" dxfId="581" priority="1365">
      <formula>$AC188=2</formula>
    </cfRule>
    <cfRule type="expression" dxfId="580" priority="1364">
      <formula>U188&gt;F188</formula>
    </cfRule>
  </conditionalFormatting>
  <conditionalFormatting sqref="U190">
    <cfRule type="expression" dxfId="579" priority="921">
      <formula>$AC190=2</formula>
    </cfRule>
    <cfRule type="expression" dxfId="578" priority="920">
      <formula>U190&gt;F190</formula>
    </cfRule>
  </conditionalFormatting>
  <conditionalFormatting sqref="U191:U193">
    <cfRule type="expression" dxfId="575" priority="1335">
      <formula>U191&gt;F191</formula>
    </cfRule>
  </conditionalFormatting>
  <conditionalFormatting sqref="U191:U194">
    <cfRule type="expression" dxfId="574" priority="1336">
      <formula>$AC191=2</formula>
    </cfRule>
  </conditionalFormatting>
  <conditionalFormatting sqref="U194">
    <cfRule type="expression" dxfId="573" priority="1036">
      <formula>U194&gt;F194</formula>
    </cfRule>
  </conditionalFormatting>
  <conditionalFormatting sqref="U199">
    <cfRule type="expression" dxfId="570" priority="839">
      <formula>U199&gt;F199</formula>
    </cfRule>
  </conditionalFormatting>
  <conditionalFormatting sqref="U200">
    <cfRule type="expression" dxfId="569" priority="870">
      <formula>U200&gt;F200</formula>
    </cfRule>
  </conditionalFormatting>
  <conditionalFormatting sqref="U201">
    <cfRule type="expression" dxfId="568" priority="1127">
      <formula>U201&gt;F201</formula>
    </cfRule>
  </conditionalFormatting>
  <conditionalFormatting sqref="U203:U204">
    <cfRule type="expression" dxfId="566" priority="1277">
      <formula>U203&gt;F203</formula>
    </cfRule>
    <cfRule type="expression" dxfId="564" priority="1278">
      <formula>$AC203=2</formula>
    </cfRule>
  </conditionalFormatting>
  <conditionalFormatting sqref="U206:U207">
    <cfRule type="expression" dxfId="561" priority="1248">
      <formula>U206&gt;F206</formula>
    </cfRule>
    <cfRule type="expression" dxfId="560" priority="1249">
      <formula>$AC206=2</formula>
    </cfRule>
  </conditionalFormatting>
  <conditionalFormatting sqref="U209:U210">
    <cfRule type="expression" dxfId="559" priority="1219">
      <formula>U209&gt;F209</formula>
    </cfRule>
  </conditionalFormatting>
  <conditionalFormatting sqref="U209:U211">
    <cfRule type="expression" dxfId="557" priority="1220">
      <formula>$AC209=2</formula>
    </cfRule>
  </conditionalFormatting>
  <conditionalFormatting sqref="U211">
    <cfRule type="expression" dxfId="555" priority="1024">
      <formula>U211&gt;F211</formula>
    </cfRule>
  </conditionalFormatting>
  <conditionalFormatting sqref="U214:U223">
    <cfRule type="expression" dxfId="554" priority="4299">
      <formula>U214&gt;F214</formula>
    </cfRule>
  </conditionalFormatting>
  <conditionalFormatting sqref="U224">
    <cfRule type="expression" dxfId="551" priority="4279">
      <formula>U224&gt;F224</formula>
    </cfRule>
  </conditionalFormatting>
  <conditionalFormatting sqref="U225">
    <cfRule type="expression" dxfId="550" priority="4259">
      <formula>U225&gt;F225</formula>
    </cfRule>
  </conditionalFormatting>
  <conditionalFormatting sqref="U226">
    <cfRule type="expression" dxfId="549" priority="4239">
      <formula>U226&gt;F226</formula>
    </cfRule>
  </conditionalFormatting>
  <conditionalFormatting sqref="U227">
    <cfRule type="expression" dxfId="548" priority="1177">
      <formula>U227&gt;F227</formula>
    </cfRule>
  </conditionalFormatting>
  <conditionalFormatting sqref="U228">
    <cfRule type="expression" dxfId="547" priority="1012">
      <formula>U228&gt;F228</formula>
    </cfRule>
  </conditionalFormatting>
  <conditionalFormatting sqref="U37:V38 U65:V66 U95:V96 U104:V105 U118:V119 U148:V149 U163:V164 U195:V196 U212:V213 U198 U10:W10">
    <cfRule type="expression" dxfId="546" priority="4511">
      <formula>U10&gt;F10</formula>
    </cfRule>
  </conditionalFormatting>
  <conditionalFormatting sqref="U107:V107">
    <cfRule type="expression" dxfId="545" priority="109">
      <formula>$AC107=2</formula>
    </cfRule>
  </conditionalFormatting>
  <conditionalFormatting sqref="U139:V139">
    <cfRule type="expression" dxfId="544" priority="30">
      <formula>$AC139=2</formula>
    </cfRule>
  </conditionalFormatting>
  <conditionalFormatting sqref="U151:V151">
    <cfRule type="expression" dxfId="543" priority="68">
      <formula>$AC151=2</formula>
    </cfRule>
  </conditionalFormatting>
  <conditionalFormatting sqref="U152:V154">
    <cfRule type="expression" dxfId="542" priority="1655">
      <formula>$AC152=2</formula>
    </cfRule>
  </conditionalFormatting>
  <conditionalFormatting sqref="U199:V199">
    <cfRule type="expression" dxfId="541" priority="840">
      <formula>$AC199=2</formula>
    </cfRule>
  </conditionalFormatting>
  <conditionalFormatting sqref="U4:W4">
    <cfRule type="expression" dxfId="540" priority="4504">
      <formula>$Z$8="No"</formula>
    </cfRule>
  </conditionalFormatting>
  <conditionalFormatting sqref="U65:W66">
    <cfRule type="expression" dxfId="539" priority="566">
      <formula>$AC65=2</formula>
    </cfRule>
  </conditionalFormatting>
  <conditionalFormatting sqref="U95:W96">
    <cfRule type="expression" dxfId="538" priority="559">
      <formula>$AC95=2</formula>
    </cfRule>
  </conditionalFormatting>
  <conditionalFormatting sqref="U104:W105">
    <cfRule type="expression" dxfId="537" priority="552">
      <formula>$AC104=2</formula>
    </cfRule>
  </conditionalFormatting>
  <conditionalFormatting sqref="U118:W119">
    <cfRule type="expression" dxfId="536" priority="545">
      <formula>$AC118=2</formula>
    </cfRule>
  </conditionalFormatting>
  <conditionalFormatting sqref="U148:W149">
    <cfRule type="expression" dxfId="535" priority="538">
      <formula>$AC148=2</formula>
    </cfRule>
  </conditionalFormatting>
  <conditionalFormatting sqref="U163:W164">
    <cfRule type="expression" dxfId="534" priority="531">
      <formula>$AC163=2</formula>
    </cfRule>
  </conditionalFormatting>
  <conditionalFormatting sqref="U195:W196">
    <cfRule type="expression" dxfId="533" priority="524">
      <formula>$AC195=2</formula>
    </cfRule>
  </conditionalFormatting>
  <conditionalFormatting sqref="U212:W213">
    <cfRule type="expression" dxfId="532" priority="517">
      <formula>$AC212=2</formula>
    </cfRule>
  </conditionalFormatting>
  <conditionalFormatting sqref="U247:W247">
    <cfRule type="expression" dxfId="529" priority="4138">
      <formula>U247&gt;F247</formula>
    </cfRule>
  </conditionalFormatting>
  <conditionalFormatting sqref="U250:W250">
    <cfRule type="expression" dxfId="528" priority="4062">
      <formula>U250&gt;F250</formula>
    </cfRule>
  </conditionalFormatting>
  <conditionalFormatting sqref="U253:W253">
    <cfRule type="expression" dxfId="527" priority="4127">
      <formula>U253&gt;F253</formula>
    </cfRule>
  </conditionalFormatting>
  <conditionalFormatting sqref="U254:W254">
    <cfRule type="expression" dxfId="525" priority="4036">
      <formula>U254&gt;F254</formula>
    </cfRule>
  </conditionalFormatting>
  <conditionalFormatting sqref="U257:W258">
    <cfRule type="expression" dxfId="524" priority="4219">
      <formula>U257&gt;F257</formula>
    </cfRule>
  </conditionalFormatting>
  <conditionalFormatting sqref="U259:W259">
    <cfRule type="expression" dxfId="523" priority="3950">
      <formula>U259&gt;F259</formula>
    </cfRule>
  </conditionalFormatting>
  <conditionalFormatting sqref="U260:W260">
    <cfRule type="expression" dxfId="522" priority="3928">
      <formula>U260&gt;F260</formula>
    </cfRule>
  </conditionalFormatting>
  <conditionalFormatting sqref="U4:Z7">
    <cfRule type="expression" dxfId="515" priority="158">
      <formula>$Z$8=AD_no</formula>
    </cfRule>
  </conditionalFormatting>
  <conditionalFormatting sqref="V11:V35">
    <cfRule type="expression" dxfId="512" priority="692">
      <formula>$AC11=2</formula>
    </cfRule>
  </conditionalFormatting>
  <conditionalFormatting sqref="V11:V106">
    <cfRule type="expression" dxfId="511" priority="238">
      <formula>F11=0</formula>
    </cfRule>
  </conditionalFormatting>
  <conditionalFormatting sqref="V39:V64">
    <cfRule type="expression" dxfId="510" priority="243">
      <formula>$AC39=2</formula>
    </cfRule>
  </conditionalFormatting>
  <conditionalFormatting sqref="V67:V87">
    <cfRule type="expression" dxfId="509" priority="747">
      <formula>$AC67=2</formula>
    </cfRule>
  </conditionalFormatting>
  <conditionalFormatting sqref="V89:V94">
    <cfRule type="expression" dxfId="508" priority="1090">
      <formula>$AC89=2</formula>
    </cfRule>
  </conditionalFormatting>
  <conditionalFormatting sqref="V97:V103">
    <cfRule type="expression" dxfId="507" priority="714">
      <formula>$AC97=2</formula>
    </cfRule>
  </conditionalFormatting>
  <conditionalFormatting sqref="V106">
    <cfRule type="expression" dxfId="506" priority="3245">
      <formula>$AC106=2</formula>
    </cfRule>
  </conditionalFormatting>
  <conditionalFormatting sqref="V107">
    <cfRule type="expression" dxfId="505" priority="104">
      <formula>F107=0</formula>
    </cfRule>
  </conditionalFormatting>
  <conditionalFormatting sqref="V108:V117">
    <cfRule type="expression" dxfId="504" priority="1066">
      <formula>$AC108=2</formula>
    </cfRule>
  </conditionalFormatting>
  <conditionalFormatting sqref="V108:V138 V140:V150">
    <cfRule type="expression" dxfId="503" priority="2265">
      <formula>F108=0</formula>
    </cfRule>
  </conditionalFormatting>
  <conditionalFormatting sqref="V120:V138">
    <cfRule type="expression" dxfId="502" priority="890">
      <formula>$AC120=2</formula>
    </cfRule>
  </conditionalFormatting>
  <conditionalFormatting sqref="V139">
    <cfRule type="expression" dxfId="501" priority="55">
      <formula>F139=0</formula>
    </cfRule>
  </conditionalFormatting>
  <conditionalFormatting sqref="V140:V147">
    <cfRule type="expression" dxfId="500" priority="1054">
      <formula>$AC140=2</formula>
    </cfRule>
  </conditionalFormatting>
  <conditionalFormatting sqref="V150">
    <cfRule type="expression" dxfId="499" priority="3203">
      <formula>$AC150=2</formula>
    </cfRule>
  </conditionalFormatting>
  <conditionalFormatting sqref="V151">
    <cfRule type="expression" dxfId="498" priority="63">
      <formula>F151=0</formula>
    </cfRule>
  </conditionalFormatting>
  <conditionalFormatting sqref="V152:V228">
    <cfRule type="expression" dxfId="497" priority="165">
      <formula>F152=0</formula>
    </cfRule>
  </conditionalFormatting>
  <conditionalFormatting sqref="V155:V162">
    <cfRule type="expression" dxfId="496" priority="201">
      <formula>$AC155=2</formula>
    </cfRule>
  </conditionalFormatting>
  <conditionalFormatting sqref="V165:V194">
    <cfRule type="expression" dxfId="495" priority="233">
      <formula>$AC165=2</formula>
    </cfRule>
  </conditionalFormatting>
  <conditionalFormatting sqref="V197">
    <cfRule type="expression" dxfId="494" priority="3161">
      <formula>$AC197=2</formula>
    </cfRule>
  </conditionalFormatting>
  <conditionalFormatting sqref="V202:V211">
    <cfRule type="expression" dxfId="493" priority="1018">
      <formula>$AC202=2</formula>
    </cfRule>
  </conditionalFormatting>
  <conditionalFormatting sqref="V214:V228">
    <cfRule type="expression" dxfId="492" priority="1006">
      <formula>$AC214=2</formula>
    </cfRule>
  </conditionalFormatting>
  <conditionalFormatting sqref="W37:W38">
    <cfRule type="expression" dxfId="489" priority="573">
      <formula>$AC37=2</formula>
    </cfRule>
    <cfRule type="expression" dxfId="488" priority="574">
      <formula>$AE37=4</formula>
    </cfRule>
    <cfRule type="expression" dxfId="487" priority="576">
      <formula>$AE37=2</formula>
    </cfRule>
    <cfRule type="expression" dxfId="486" priority="577">
      <formula>$AE37=1</formula>
    </cfRule>
    <cfRule type="expression" dxfId="485" priority="575">
      <formula>$AE37=3</formula>
    </cfRule>
  </conditionalFormatting>
  <conditionalFormatting sqref="W65:W66">
    <cfRule type="expression" dxfId="484" priority="570">
      <formula>$AE65=1</formula>
    </cfRule>
    <cfRule type="expression" dxfId="481" priority="567">
      <formula>$AE65=4</formula>
    </cfRule>
    <cfRule type="expression" dxfId="480" priority="568">
      <formula>$AE65=3</formula>
    </cfRule>
    <cfRule type="expression" dxfId="479" priority="569">
      <formula>$AE65=2</formula>
    </cfRule>
  </conditionalFormatting>
  <conditionalFormatting sqref="W95:W96">
    <cfRule type="expression" dxfId="478" priority="563">
      <formula>$AE95=1</formula>
    </cfRule>
    <cfRule type="expression" dxfId="476" priority="562">
      <formula>$AE95=2</formula>
    </cfRule>
    <cfRule type="expression" dxfId="475" priority="561">
      <formula>$AE95=3</formula>
    </cfRule>
    <cfRule type="expression" dxfId="474" priority="560">
      <formula>$AE95=4</formula>
    </cfRule>
  </conditionalFormatting>
  <conditionalFormatting sqref="W104:W105">
    <cfRule type="expression" dxfId="471" priority="554">
      <formula>$AE104=3</formula>
    </cfRule>
    <cfRule type="expression" dxfId="470" priority="555">
      <formula>$AE104=2</formula>
    </cfRule>
    <cfRule type="expression" dxfId="468" priority="553">
      <formula>$AE104=4</formula>
    </cfRule>
    <cfRule type="expression" dxfId="467" priority="556">
      <formula>$AE104=1</formula>
    </cfRule>
  </conditionalFormatting>
  <conditionalFormatting sqref="W118:W119">
    <cfRule type="expression" dxfId="464" priority="546">
      <formula>$AE118=4</formula>
    </cfRule>
    <cfRule type="expression" dxfId="463" priority="547">
      <formula>$AE118=3</formula>
    </cfRule>
    <cfRule type="expression" dxfId="462" priority="548">
      <formula>$AE118=2</formula>
    </cfRule>
    <cfRule type="expression" dxfId="461" priority="549">
      <formula>$AE118=1</formula>
    </cfRule>
  </conditionalFormatting>
  <conditionalFormatting sqref="W148:W149">
    <cfRule type="expression" dxfId="460" priority="540">
      <formula>$AE148=3</formula>
    </cfRule>
    <cfRule type="expression" dxfId="459" priority="541">
      <formula>$AE148=2</formula>
    </cfRule>
    <cfRule type="expression" dxfId="458" priority="542">
      <formula>$AE148=1</formula>
    </cfRule>
    <cfRule type="expression" dxfId="455" priority="539">
      <formula>$AE148=4</formula>
    </cfRule>
  </conditionalFormatting>
  <conditionalFormatting sqref="W163:W164">
    <cfRule type="expression" dxfId="452" priority="532">
      <formula>$AE163=4</formula>
    </cfRule>
    <cfRule type="expression" dxfId="451" priority="533">
      <formula>$AE163=3</formula>
    </cfRule>
    <cfRule type="expression" dxfId="450" priority="534">
      <formula>$AE163=2</formula>
    </cfRule>
    <cfRule type="expression" dxfId="449" priority="535">
      <formula>$AE163=1</formula>
    </cfRule>
  </conditionalFormatting>
  <conditionalFormatting sqref="W195:W196">
    <cfRule type="expression" dxfId="447" priority="528">
      <formula>$AE195=1</formula>
    </cfRule>
    <cfRule type="expression" dxfId="446" priority="527">
      <formula>$AE195=2</formula>
    </cfRule>
    <cfRule type="expression" dxfId="444" priority="526">
      <formula>$AE195=3</formula>
    </cfRule>
    <cfRule type="expression" dxfId="443" priority="525">
      <formula>$AE195=4</formula>
    </cfRule>
  </conditionalFormatting>
  <conditionalFormatting sqref="W212:W213">
    <cfRule type="expression" dxfId="442" priority="521">
      <formula>$AE212=1</formula>
    </cfRule>
    <cfRule type="expression" dxfId="441" priority="520">
      <formula>$AE212=2</formula>
    </cfRule>
    <cfRule type="expression" dxfId="440" priority="519">
      <formula>$AE212=3</formula>
    </cfRule>
    <cfRule type="expression" dxfId="439" priority="518">
      <formula>$AE212=4</formula>
    </cfRule>
  </conditionalFormatting>
  <conditionalFormatting sqref="X14">
    <cfRule type="expression" dxfId="436" priority="6">
      <formula>$AF14=1</formula>
    </cfRule>
    <cfRule type="expression" dxfId="434" priority="4">
      <formula>$AF14=3</formula>
    </cfRule>
    <cfRule type="expression" dxfId="433" priority="5">
      <formula>$AF14=2</formula>
    </cfRule>
  </conditionalFormatting>
  <conditionalFormatting sqref="X10:Y11 X18:Y21 X28:Y28 X32:Y32 X36:Y38 X64:Y66 X88:Y88 X94:Y96 X103:Y105 X117:Y119 X147:Y149 X162:Y164 X174:Y175 X194:Y196 X198:Y198 X213:Y222 X238:Y238 X247:Y250 X253:Y254 X256:Y261">
    <cfRule type="expression" dxfId="432" priority="4627">
      <formula>$AF10=2</formula>
    </cfRule>
    <cfRule type="expression" dxfId="431" priority="4628">
      <formula>$AF10=1</formula>
    </cfRule>
  </conditionalFormatting>
  <conditionalFormatting sqref="X10:Y11 X18:Y21 X28:Y28 X32:Y32 X36:Y38 X64:Y66 X88:Y88 X94:Y96 X103:Y105 X117:Y119 X147:Y149 X162:Y164 X174:Y175 X194:Y196 X198:Y198 X238:Y238 X247:Y250 X253:Y254 X256:Y261">
    <cfRule type="expression" dxfId="430" priority="4626">
      <formula>$AF10=3</formula>
    </cfRule>
  </conditionalFormatting>
  <conditionalFormatting sqref="X10:Y11 X18:Y21 X28:Y28 X32:Y32 X36:Y38 X64:Y66 X94:Y96 X103:Y105 X117:Y119 X147:Y149 X162:Y164 X194:Y196 X198:Y198 X247:Y250 X253:Y254 X256:Y261 X238:Y238 X88:Y88">
    <cfRule type="expression" dxfId="429" priority="4625">
      <formula>$AF10=4</formula>
    </cfRule>
  </conditionalFormatting>
  <conditionalFormatting sqref="X12:Y13">
    <cfRule type="expression" dxfId="427" priority="3587">
      <formula>$AF12=2</formula>
    </cfRule>
    <cfRule type="expression" dxfId="426" priority="3588">
      <formula>$AF12=1</formula>
    </cfRule>
    <cfRule type="expression" dxfId="425" priority="3586">
      <formula>$AF12=3</formula>
    </cfRule>
  </conditionalFormatting>
  <conditionalFormatting sqref="X12:Y14">
    <cfRule type="expression" dxfId="424" priority="3">
      <formula>$AF12=4</formula>
    </cfRule>
  </conditionalFormatting>
  <conditionalFormatting sqref="X15:Y17">
    <cfRule type="expression" dxfId="422" priority="699">
      <formula>$AF15=1</formula>
    </cfRule>
    <cfRule type="expression" dxfId="421" priority="698">
      <formula>$AF15=2</formula>
    </cfRule>
    <cfRule type="expression" dxfId="420" priority="697">
      <formula>$AF15=3</formula>
    </cfRule>
    <cfRule type="expression" dxfId="419" priority="696">
      <formula>$AF15=4</formula>
    </cfRule>
  </conditionalFormatting>
  <conditionalFormatting sqref="X16:Y16">
    <cfRule type="expression" dxfId="417" priority="695">
      <formula>$AC16=2</formula>
    </cfRule>
  </conditionalFormatting>
  <conditionalFormatting sqref="X22:Y27">
    <cfRule type="expression" dxfId="415" priority="792">
      <formula>$AF22=4</formula>
    </cfRule>
    <cfRule type="expression" dxfId="414" priority="793">
      <formula>$AF22=3</formula>
    </cfRule>
    <cfRule type="expression" dxfId="413" priority="794">
      <formula>$AF22=2</formula>
    </cfRule>
    <cfRule type="expression" dxfId="412" priority="795">
      <formula>$AF22=1</formula>
    </cfRule>
  </conditionalFormatting>
  <conditionalFormatting sqref="X29:Y31">
    <cfRule type="expression" dxfId="411" priority="3474">
      <formula>$AF29=3</formula>
    </cfRule>
    <cfRule type="expression" dxfId="410" priority="3473">
      <formula>$AF29=4</formula>
    </cfRule>
    <cfRule type="expression" dxfId="409" priority="3475">
      <formula>$AF29=2</formula>
    </cfRule>
    <cfRule type="expression" dxfId="408" priority="3476">
      <formula>$AF29=1</formula>
    </cfRule>
  </conditionalFormatting>
  <conditionalFormatting sqref="X33:Y35">
    <cfRule type="expression" dxfId="406" priority="3428">
      <formula>$AF33=1</formula>
    </cfRule>
    <cfRule type="expression" dxfId="405" priority="3427">
      <formula>$AF33=2</formula>
    </cfRule>
    <cfRule type="expression" dxfId="404" priority="3426">
      <formula>$AF33=3</formula>
    </cfRule>
    <cfRule type="expression" dxfId="403" priority="3425">
      <formula>$AF33=4</formula>
    </cfRule>
  </conditionalFormatting>
  <conditionalFormatting sqref="X39:Y46">
    <cfRule type="expression" dxfId="401" priority="2429">
      <formula>$AF39=2</formula>
    </cfRule>
    <cfRule type="expression" dxfId="400" priority="2428">
      <formula>$AF39=3</formula>
    </cfRule>
    <cfRule type="expression" dxfId="399" priority="2427">
      <formula>$AF39=4</formula>
    </cfRule>
    <cfRule type="expression" dxfId="398" priority="2430">
      <formula>$AF39=1</formula>
    </cfRule>
  </conditionalFormatting>
  <conditionalFormatting sqref="X47:Y47">
    <cfRule type="expression" dxfId="396" priority="3153">
      <formula>$AF47=4</formula>
    </cfRule>
    <cfRule type="expression" dxfId="395" priority="3154">
      <formula>$AF47=3</formula>
    </cfRule>
    <cfRule type="expression" dxfId="394" priority="3156">
      <formula>$AF47=1</formula>
    </cfRule>
    <cfRule type="expression" dxfId="393" priority="3155">
      <formula>$AF47=2</formula>
    </cfRule>
  </conditionalFormatting>
  <conditionalFormatting sqref="X47:Y100">
    <cfRule type="expression" dxfId="392" priority="2910">
      <formula>$AC47=2</formula>
    </cfRule>
  </conditionalFormatting>
  <conditionalFormatting sqref="X48:Y51">
    <cfRule type="expression" dxfId="391" priority="2401">
      <formula>$AF48=1</formula>
    </cfRule>
    <cfRule type="expression" dxfId="390" priority="2400">
      <formula>$AF48=2</formula>
    </cfRule>
    <cfRule type="expression" dxfId="389" priority="2399">
      <formula>$AF48=3</formula>
    </cfRule>
    <cfRule type="expression" dxfId="388" priority="2398">
      <formula>$AF48=4</formula>
    </cfRule>
  </conditionalFormatting>
  <conditionalFormatting sqref="X52:Y52">
    <cfRule type="expression" dxfId="387" priority="3131">
      <formula>$AF52=4</formula>
    </cfRule>
    <cfRule type="expression" dxfId="386" priority="3133">
      <formula>$AF52=2</formula>
    </cfRule>
    <cfRule type="expression" dxfId="385" priority="3134">
      <formula>$AF52=1</formula>
    </cfRule>
    <cfRule type="expression" dxfId="384" priority="3132">
      <formula>$AF52=3</formula>
    </cfRule>
  </conditionalFormatting>
  <conditionalFormatting sqref="X53:Y55">
    <cfRule type="expression" dxfId="383" priority="2370">
      <formula>$AF53=3</formula>
    </cfRule>
    <cfRule type="expression" dxfId="382" priority="2371">
      <formula>$AF53=2</formula>
    </cfRule>
    <cfRule type="expression" dxfId="381" priority="2372">
      <formula>$AF53=1</formula>
    </cfRule>
    <cfRule type="expression" dxfId="380" priority="2369">
      <formula>$AF53=4</formula>
    </cfRule>
  </conditionalFormatting>
  <conditionalFormatting sqref="X56:Y56">
    <cfRule type="expression" dxfId="379" priority="3111">
      <formula>$AF56=2</formula>
    </cfRule>
    <cfRule type="expression" dxfId="378" priority="3112">
      <formula>$AF56=1</formula>
    </cfRule>
    <cfRule type="expression" dxfId="377" priority="3109">
      <formula>$AF56=4</formula>
    </cfRule>
    <cfRule type="expression" dxfId="376" priority="3110">
      <formula>$AF56=3</formula>
    </cfRule>
  </conditionalFormatting>
  <conditionalFormatting sqref="X57:Y58">
    <cfRule type="expression" dxfId="375" priority="2341">
      <formula>$AF57=3</formula>
    </cfRule>
    <cfRule type="expression" dxfId="374" priority="2340">
      <formula>$AF57=4</formula>
    </cfRule>
    <cfRule type="expression" dxfId="373" priority="2343">
      <formula>$AF57=1</formula>
    </cfRule>
    <cfRule type="expression" dxfId="372" priority="2342">
      <formula>$AF57=2</formula>
    </cfRule>
  </conditionalFormatting>
  <conditionalFormatting sqref="X59:Y59">
    <cfRule type="expression" dxfId="371" priority="3087">
      <formula>$AF59=4</formula>
    </cfRule>
    <cfRule type="expression" dxfId="370" priority="3088">
      <formula>$AF59=3</formula>
    </cfRule>
    <cfRule type="expression" dxfId="369" priority="3089">
      <formula>$AF59=2</formula>
    </cfRule>
    <cfRule type="expression" dxfId="368" priority="3090">
      <formula>$AF59=1</formula>
    </cfRule>
  </conditionalFormatting>
  <conditionalFormatting sqref="X60:Y61">
    <cfRule type="expression" dxfId="367" priority="2314">
      <formula>$AF60=1</formula>
    </cfRule>
    <cfRule type="expression" dxfId="366" priority="2311">
      <formula>$AF60=4</formula>
    </cfRule>
    <cfRule type="expression" dxfId="365" priority="2312">
      <formula>$AF60=3</formula>
    </cfRule>
    <cfRule type="expression" dxfId="364" priority="2313">
      <formula>$AF60=2</formula>
    </cfRule>
  </conditionalFormatting>
  <conditionalFormatting sqref="X62:Y62">
    <cfRule type="expression" dxfId="363" priority="3068">
      <formula>$AF62=1</formula>
    </cfRule>
    <cfRule type="expression" dxfId="362" priority="3065">
      <formula>$AF62=4</formula>
    </cfRule>
    <cfRule type="expression" dxfId="361" priority="3067">
      <formula>$AF62=2</formula>
    </cfRule>
    <cfRule type="expression" dxfId="360" priority="3066">
      <formula>$AF62=3</formula>
    </cfRule>
  </conditionalFormatting>
  <conditionalFormatting sqref="X63:Y63">
    <cfRule type="expression" dxfId="359" priority="2284">
      <formula>$AF63=2</formula>
    </cfRule>
    <cfRule type="expression" dxfId="358" priority="2285">
      <formula>$AF63=1</formula>
    </cfRule>
    <cfRule type="expression" dxfId="357" priority="2283">
      <formula>$AF63=3</formula>
    </cfRule>
    <cfRule type="expression" dxfId="356" priority="2282">
      <formula>$AF63=4</formula>
    </cfRule>
  </conditionalFormatting>
  <conditionalFormatting sqref="X67:Y74">
    <cfRule type="expression" dxfId="355" priority="2255">
      <formula>$AF67=2</formula>
    </cfRule>
    <cfRule type="expression" dxfId="354" priority="2254">
      <formula>$AF67=3</formula>
    </cfRule>
    <cfRule type="expression" dxfId="353" priority="2253">
      <formula>$AF67=4</formula>
    </cfRule>
    <cfRule type="expression" dxfId="352" priority="2256">
      <formula>$AF67=1</formula>
    </cfRule>
  </conditionalFormatting>
  <conditionalFormatting sqref="X75:Y75">
    <cfRule type="expression" dxfId="350" priority="3043">
      <formula>$AF75=4</formula>
    </cfRule>
    <cfRule type="expression" dxfId="349" priority="3046">
      <formula>$AF75=1</formula>
    </cfRule>
    <cfRule type="expression" dxfId="348" priority="3045">
      <formula>$AF75=2</formula>
    </cfRule>
    <cfRule type="expression" dxfId="347" priority="3044">
      <formula>$AF75=3</formula>
    </cfRule>
  </conditionalFormatting>
  <conditionalFormatting sqref="X76:Y78">
    <cfRule type="expression" dxfId="346" priority="2224">
      <formula>$AF76=4</formula>
    </cfRule>
    <cfRule type="expression" dxfId="345" priority="2225">
      <formula>$AF76=3</formula>
    </cfRule>
    <cfRule type="expression" dxfId="344" priority="2226">
      <formula>$AF76=2</formula>
    </cfRule>
    <cfRule type="expression" dxfId="343" priority="2227">
      <formula>$AF76=1</formula>
    </cfRule>
  </conditionalFormatting>
  <conditionalFormatting sqref="X79:Y79">
    <cfRule type="expression" dxfId="342" priority="3022">
      <formula>$AF79=3</formula>
    </cfRule>
    <cfRule type="expression" dxfId="341" priority="3021">
      <formula>$AF79=4</formula>
    </cfRule>
    <cfRule type="expression" dxfId="340" priority="3023">
      <formula>$AF79=2</formula>
    </cfRule>
    <cfRule type="expression" dxfId="339" priority="3024">
      <formula>$AF79=1</formula>
    </cfRule>
  </conditionalFormatting>
  <conditionalFormatting sqref="X80:Y81">
    <cfRule type="expression" dxfId="338" priority="2196">
      <formula>$AF80=3</formula>
    </cfRule>
    <cfRule type="expression" dxfId="337" priority="2198">
      <formula>$AF80=1</formula>
    </cfRule>
    <cfRule type="expression" dxfId="336" priority="2197">
      <formula>$AF80=2</formula>
    </cfRule>
    <cfRule type="expression" dxfId="335" priority="2195">
      <formula>$AF80=4</formula>
    </cfRule>
  </conditionalFormatting>
  <conditionalFormatting sqref="X82:Y82">
    <cfRule type="expression" dxfId="334" priority="3002">
      <formula>$AF82=1</formula>
    </cfRule>
    <cfRule type="expression" dxfId="333" priority="2999">
      <formula>$AF82=4</formula>
    </cfRule>
    <cfRule type="expression" dxfId="332" priority="3000">
      <formula>$AF82=3</formula>
    </cfRule>
    <cfRule type="expression" dxfId="331" priority="3001">
      <formula>$AF82=2</formula>
    </cfRule>
  </conditionalFormatting>
  <conditionalFormatting sqref="X83:Y84">
    <cfRule type="expression" dxfId="330" priority="2167">
      <formula>$AF83=3</formula>
    </cfRule>
    <cfRule type="expression" dxfId="329" priority="2169">
      <formula>$AF83=1</formula>
    </cfRule>
    <cfRule type="expression" dxfId="328" priority="2166">
      <formula>$AF83=4</formula>
    </cfRule>
    <cfRule type="expression" dxfId="327" priority="2168">
      <formula>$AF83=2</formula>
    </cfRule>
  </conditionalFormatting>
  <conditionalFormatting sqref="X85:Y85">
    <cfRule type="expression" dxfId="326" priority="2980">
      <formula>$AF85=1</formula>
    </cfRule>
    <cfRule type="expression" dxfId="325" priority="2979">
      <formula>$AF85=2</formula>
    </cfRule>
    <cfRule type="expression" dxfId="324" priority="2978">
      <formula>$AF85=3</formula>
    </cfRule>
    <cfRule type="expression" dxfId="323" priority="2977">
      <formula>$AF85=4</formula>
    </cfRule>
  </conditionalFormatting>
  <conditionalFormatting sqref="X86:Y87">
    <cfRule type="expression" dxfId="322" priority="765">
      <formula>$AF86=3</formula>
    </cfRule>
    <cfRule type="expression" dxfId="321" priority="764">
      <formula>$AF86=4</formula>
    </cfRule>
    <cfRule type="expression" dxfId="320" priority="767">
      <formula>$AF86=1</formula>
    </cfRule>
    <cfRule type="expression" dxfId="319" priority="766">
      <formula>$AF86=2</formula>
    </cfRule>
  </conditionalFormatting>
  <conditionalFormatting sqref="X89:Y89">
    <cfRule type="expression" dxfId="318" priority="2957">
      <formula>$AF89=2</formula>
    </cfRule>
    <cfRule type="expression" dxfId="317" priority="2958">
      <formula>$AF89=1</formula>
    </cfRule>
    <cfRule type="expression" dxfId="316" priority="2955">
      <formula>$AF89=4</formula>
    </cfRule>
    <cfRule type="expression" dxfId="315" priority="2956">
      <formula>$AF89=3</formula>
    </cfRule>
  </conditionalFormatting>
  <conditionalFormatting sqref="X90:Y91">
    <cfRule type="expression" dxfId="313" priority="2108">
      <formula>$AF90=4</formula>
    </cfRule>
    <cfRule type="expression" dxfId="312" priority="2109">
      <formula>$AF90=3</formula>
    </cfRule>
    <cfRule type="expression" dxfId="311" priority="2111">
      <formula>$AF90=1</formula>
    </cfRule>
    <cfRule type="expression" dxfId="310" priority="2110">
      <formula>$AF90=2</formula>
    </cfRule>
  </conditionalFormatting>
  <conditionalFormatting sqref="X92:Y92">
    <cfRule type="expression" dxfId="309" priority="2935">
      <formula>$AF92=2</formula>
    </cfRule>
    <cfRule type="expression" dxfId="308" priority="2934">
      <formula>$AF92=3</formula>
    </cfRule>
    <cfRule type="expression" dxfId="307" priority="2933">
      <formula>$AF92=4</formula>
    </cfRule>
    <cfRule type="expression" dxfId="306" priority="2936">
      <formula>$AF92=1</formula>
    </cfRule>
  </conditionalFormatting>
  <conditionalFormatting sqref="X93:Y93">
    <cfRule type="expression" dxfId="305" priority="2081">
      <formula>$AF93=2</formula>
    </cfRule>
    <cfRule type="expression" dxfId="304" priority="2082">
      <formula>$AF93=1</formula>
    </cfRule>
    <cfRule type="expression" dxfId="303" priority="2079">
      <formula>$AF93=4</formula>
    </cfRule>
    <cfRule type="expression" dxfId="302" priority="2080">
      <formula>$AF93=3</formula>
    </cfRule>
  </conditionalFormatting>
  <conditionalFormatting sqref="X97:Y99">
    <cfRule type="expression" dxfId="301" priority="2053">
      <formula>$AF97=1</formula>
    </cfRule>
    <cfRule type="expression" dxfId="300" priority="2050">
      <formula>$AF97=4</formula>
    </cfRule>
    <cfRule type="expression" dxfId="299" priority="2052">
      <formula>$AF97=2</formula>
    </cfRule>
    <cfRule type="expression" dxfId="298" priority="2051">
      <formula>$AF97=3</formula>
    </cfRule>
  </conditionalFormatting>
  <conditionalFormatting sqref="X100:Y100">
    <cfRule type="expression" dxfId="296" priority="2912">
      <formula>$AF100=3</formula>
    </cfRule>
    <cfRule type="expression" dxfId="295" priority="2911">
      <formula>$AF100=4</formula>
    </cfRule>
    <cfRule type="expression" dxfId="294" priority="2914">
      <formula>$AF100=1</formula>
    </cfRule>
    <cfRule type="expression" dxfId="293" priority="2913">
      <formula>$AF100=2</formula>
    </cfRule>
  </conditionalFormatting>
  <conditionalFormatting sqref="X101:Y101">
    <cfRule type="expression" dxfId="292" priority="727">
      <formula>$AC101=2</formula>
    </cfRule>
  </conditionalFormatting>
  <conditionalFormatting sqref="X101:Y102">
    <cfRule type="expression" dxfId="291" priority="728">
      <formula>$AF101=4</formula>
    </cfRule>
    <cfRule type="expression" dxfId="290" priority="731">
      <formula>$AF101=1</formula>
    </cfRule>
    <cfRule type="expression" dxfId="289" priority="729">
      <formula>$AF101=3</formula>
    </cfRule>
    <cfRule type="expression" dxfId="288" priority="730">
      <formula>$AF101=2</formula>
    </cfRule>
  </conditionalFormatting>
  <conditionalFormatting sqref="X106:Y106">
    <cfRule type="expression" dxfId="287" priority="3257">
      <formula>$AF106=1</formula>
    </cfRule>
    <cfRule type="expression" dxfId="286" priority="3255">
      <formula>$AF106=3</formula>
    </cfRule>
    <cfRule type="expression" dxfId="285" priority="3256">
      <formula>$AF106=2</formula>
    </cfRule>
  </conditionalFormatting>
  <conditionalFormatting sqref="X106:Y108">
    <cfRule type="expression" dxfId="284" priority="121">
      <formula>$AF106=4</formula>
    </cfRule>
  </conditionalFormatting>
  <conditionalFormatting sqref="X107:Y107">
    <cfRule type="expression" dxfId="282" priority="123">
      <formula>$AF107=2</formula>
    </cfRule>
    <cfRule type="expression" dxfId="281" priority="122">
      <formula>$AF107=3</formula>
    </cfRule>
    <cfRule type="expression" dxfId="280" priority="120">
      <formula>$AC107=2</formula>
    </cfRule>
    <cfRule type="expression" dxfId="279" priority="124">
      <formula>$AF107=1</formula>
    </cfRule>
  </conditionalFormatting>
  <conditionalFormatting sqref="X108:Y108">
    <cfRule type="expression" dxfId="277" priority="1995">
      <formula>$AF108=1</formula>
    </cfRule>
    <cfRule type="expression" dxfId="276" priority="1993">
      <formula>$AF108=3</formula>
    </cfRule>
    <cfRule type="expression" dxfId="275" priority="1994">
      <formula>$AF108=2</formula>
    </cfRule>
  </conditionalFormatting>
  <conditionalFormatting sqref="X108:Y138">
    <cfRule type="expression" dxfId="274" priority="2756">
      <formula>$AC108=2</formula>
    </cfRule>
  </conditionalFormatting>
  <conditionalFormatting sqref="X109:Y109">
    <cfRule type="expression" dxfId="272" priority="2889">
      <formula>$AF109=4</formula>
    </cfRule>
    <cfRule type="expression" dxfId="271" priority="2890">
      <formula>$AF109=3</formula>
    </cfRule>
    <cfRule type="expression" dxfId="270" priority="2892">
      <formula>$AF109=1</formula>
    </cfRule>
    <cfRule type="expression" dxfId="269" priority="2891">
      <formula>$AF109=2</formula>
    </cfRule>
  </conditionalFormatting>
  <conditionalFormatting sqref="X110:Y110">
    <cfRule type="expression" dxfId="268" priority="1964">
      <formula>$AF110=3</formula>
    </cfRule>
    <cfRule type="expression" dxfId="267" priority="1966">
      <formula>$AF110=1</formula>
    </cfRule>
    <cfRule type="expression" dxfId="266" priority="1963">
      <formula>$AF110=4</formula>
    </cfRule>
    <cfRule type="expression" dxfId="265" priority="1965">
      <formula>$AF110=2</formula>
    </cfRule>
  </conditionalFormatting>
  <conditionalFormatting sqref="X111:Y111">
    <cfRule type="expression" dxfId="264" priority="2870">
      <formula>$AF111=1</formula>
    </cfRule>
    <cfRule type="expression" dxfId="263" priority="2867">
      <formula>$AF111=4</formula>
    </cfRule>
    <cfRule type="expression" dxfId="262" priority="2868">
      <formula>$AF111=3</formula>
    </cfRule>
    <cfRule type="expression" dxfId="261" priority="2869">
      <formula>$AF111=2</formula>
    </cfRule>
  </conditionalFormatting>
  <conditionalFormatting sqref="X112:Y114">
    <cfRule type="expression" dxfId="260" priority="1935">
      <formula>$AF112=3</formula>
    </cfRule>
    <cfRule type="expression" dxfId="259" priority="1936">
      <formula>$AF112=2</formula>
    </cfRule>
    <cfRule type="expression" dxfId="258" priority="1934">
      <formula>$AF112=4</formula>
    </cfRule>
    <cfRule type="expression" dxfId="257" priority="1937">
      <formula>$AF112=1</formula>
    </cfRule>
  </conditionalFormatting>
  <conditionalFormatting sqref="X115:Y115">
    <cfRule type="expression" dxfId="256" priority="2845">
      <formula>$AF115=4</formula>
    </cfRule>
    <cfRule type="expression" dxfId="255" priority="2846">
      <formula>$AF115=3</formula>
    </cfRule>
    <cfRule type="expression" dxfId="254" priority="2847">
      <formula>$AF115=2</formula>
    </cfRule>
    <cfRule type="expression" dxfId="253" priority="2848">
      <formula>$AF115=1</formula>
    </cfRule>
  </conditionalFormatting>
  <conditionalFormatting sqref="X116:Y116">
    <cfRule type="expression" dxfId="252" priority="1908">
      <formula>$AF116=1</formula>
    </cfRule>
    <cfRule type="expression" dxfId="251" priority="1907">
      <formula>$AF116=2</formula>
    </cfRule>
    <cfRule type="expression" dxfId="250" priority="1906">
      <formula>$AF116=3</formula>
    </cfRule>
    <cfRule type="expression" dxfId="249" priority="1905">
      <formula>$AF116=4</formula>
    </cfRule>
  </conditionalFormatting>
  <conditionalFormatting sqref="X120:Y123">
    <cfRule type="expression" dxfId="248" priority="1850">
      <formula>$AF120=1</formula>
    </cfRule>
    <cfRule type="expression" dxfId="247" priority="1849">
      <formula>$AF120=2</formula>
    </cfRule>
    <cfRule type="expression" dxfId="246" priority="1847">
      <formula>$AF120=4</formula>
    </cfRule>
    <cfRule type="expression" dxfId="245" priority="1848">
      <formula>$AF120=3</formula>
    </cfRule>
  </conditionalFormatting>
  <conditionalFormatting sqref="X124:Y124">
    <cfRule type="expression" dxfId="243" priority="2823">
      <formula>$AF124=4</formula>
    </cfRule>
    <cfRule type="expression" dxfId="242" priority="2826">
      <formula>$AF124=1</formula>
    </cfRule>
    <cfRule type="expression" dxfId="241" priority="2825">
      <formula>$AF124=2</formula>
    </cfRule>
    <cfRule type="expression" dxfId="240" priority="2824">
      <formula>$AF124=3</formula>
    </cfRule>
  </conditionalFormatting>
  <conditionalFormatting sqref="X125:Y127">
    <cfRule type="expression" dxfId="239" priority="1819">
      <formula>$AF125=3</formula>
    </cfRule>
    <cfRule type="expression" dxfId="238" priority="1820">
      <formula>$AF125=2</formula>
    </cfRule>
    <cfRule type="expression" dxfId="237" priority="1821">
      <formula>$AF125=1</formula>
    </cfRule>
    <cfRule type="expression" dxfId="236" priority="1818">
      <formula>$AF125=4</formula>
    </cfRule>
  </conditionalFormatting>
  <conditionalFormatting sqref="X128:Y128">
    <cfRule type="expression" dxfId="235" priority="2804">
      <formula>$AF128=1</formula>
    </cfRule>
    <cfRule type="expression" dxfId="234" priority="2803">
      <formula>$AF128=2</formula>
    </cfRule>
    <cfRule type="expression" dxfId="233" priority="2801">
      <formula>$AF128=4</formula>
    </cfRule>
    <cfRule type="expression" dxfId="232" priority="2802">
      <formula>$AF128=3</formula>
    </cfRule>
  </conditionalFormatting>
  <conditionalFormatting sqref="X129:Y131">
    <cfRule type="expression" dxfId="231" priority="1790">
      <formula>$AF129=3</formula>
    </cfRule>
    <cfRule type="expression" dxfId="230" priority="1791">
      <formula>$AF129=2</formula>
    </cfRule>
    <cfRule type="expression" dxfId="229" priority="1789">
      <formula>$AF129=4</formula>
    </cfRule>
    <cfRule type="expression" dxfId="228" priority="1792">
      <formula>$AF129=1</formula>
    </cfRule>
  </conditionalFormatting>
  <conditionalFormatting sqref="X132:Y132">
    <cfRule type="expression" dxfId="227" priority="2779">
      <formula>$AF132=4</formula>
    </cfRule>
    <cfRule type="expression" dxfId="226" priority="2781">
      <formula>$AF132=2</formula>
    </cfRule>
    <cfRule type="expression" dxfId="225" priority="2780">
      <formula>$AF132=3</formula>
    </cfRule>
    <cfRule type="expression" dxfId="224" priority="2782">
      <formula>$AF132=1</formula>
    </cfRule>
  </conditionalFormatting>
  <conditionalFormatting sqref="X133:Y137">
    <cfRule type="expression" dxfId="223" priority="907">
      <formula>$AF133=4</formula>
    </cfRule>
    <cfRule type="expression" dxfId="222" priority="910">
      <formula>$AF133=1</formula>
    </cfRule>
    <cfRule type="expression" dxfId="221" priority="909">
      <formula>$AF133=2</formula>
    </cfRule>
    <cfRule type="expression" dxfId="220" priority="908">
      <formula>$AF133=3</formula>
    </cfRule>
  </conditionalFormatting>
  <conditionalFormatting sqref="X138:Y138">
    <cfRule type="expression" dxfId="219" priority="2760">
      <formula>$AF138=1</formula>
    </cfRule>
    <cfRule type="expression" dxfId="218" priority="2759">
      <formula>$AF138=2</formula>
    </cfRule>
    <cfRule type="expression" dxfId="217" priority="2758">
      <formula>$AF138=3</formula>
    </cfRule>
    <cfRule type="expression" dxfId="216" priority="2757">
      <formula>$AF138=4</formula>
    </cfRule>
  </conditionalFormatting>
  <conditionalFormatting sqref="X139:Y139">
    <cfRule type="expression" dxfId="214" priority="48">
      <formula>$AF139=3</formula>
    </cfRule>
    <cfRule type="expression" dxfId="213" priority="49">
      <formula>$AF139=2</formula>
    </cfRule>
    <cfRule type="expression" dxfId="212" priority="50">
      <formula>$AF139=1</formula>
    </cfRule>
  </conditionalFormatting>
  <conditionalFormatting sqref="X139:Y142">
    <cfRule type="expression" dxfId="211" priority="47">
      <formula>$AF139=4</formula>
    </cfRule>
  </conditionalFormatting>
  <conditionalFormatting sqref="X140:Y142">
    <cfRule type="expression" dxfId="210" priority="1732">
      <formula>$AF140=3</formula>
    </cfRule>
    <cfRule type="expression" dxfId="209" priority="1733">
      <formula>$AF140=2</formula>
    </cfRule>
    <cfRule type="expression" dxfId="208" priority="1734">
      <formula>$AF140=1</formula>
    </cfRule>
  </conditionalFormatting>
  <conditionalFormatting sqref="X140:Y143">
    <cfRule type="expression" dxfId="207" priority="2734">
      <formula>$AC140=2</formula>
    </cfRule>
  </conditionalFormatting>
  <conditionalFormatting sqref="X143:Y143">
    <cfRule type="expression" dxfId="205" priority="2738">
      <formula>$AF143=1</formula>
    </cfRule>
    <cfRule type="expression" dxfId="204" priority="2736">
      <formula>$AF143=3</formula>
    </cfRule>
    <cfRule type="expression" dxfId="203" priority="2735">
      <formula>$AF143=4</formula>
    </cfRule>
    <cfRule type="expression" dxfId="202" priority="2737">
      <formula>$AF143=2</formula>
    </cfRule>
  </conditionalFormatting>
  <conditionalFormatting sqref="X144:Y146">
    <cfRule type="expression" dxfId="201" priority="1704">
      <formula>$AF144=2</formula>
    </cfRule>
    <cfRule type="expression" dxfId="200" priority="1705">
      <formula>$AF144=1</formula>
    </cfRule>
    <cfRule type="expression" dxfId="199" priority="1703">
      <formula>$AF144=3</formula>
    </cfRule>
    <cfRule type="expression" dxfId="198" priority="1702">
      <formula>$AF144=4</formula>
    </cfRule>
  </conditionalFormatting>
  <conditionalFormatting sqref="X150:Y150">
    <cfRule type="expression" dxfId="197" priority="3213">
      <formula>$AF150=3</formula>
    </cfRule>
    <cfRule type="expression" dxfId="196" priority="3215">
      <formula>$AF150=1</formula>
    </cfRule>
    <cfRule type="expression" dxfId="195" priority="3214">
      <formula>$AF150=2</formula>
    </cfRule>
  </conditionalFormatting>
  <conditionalFormatting sqref="X150:Y155">
    <cfRule type="expression" dxfId="194" priority="80">
      <formula>$AF150=4</formula>
    </cfRule>
  </conditionalFormatting>
  <conditionalFormatting sqref="X151:Y151">
    <cfRule type="expression" dxfId="191" priority="83">
      <formula>$AF151=1</formula>
    </cfRule>
    <cfRule type="expression" dxfId="190" priority="82">
      <formula>$AF151=2</formula>
    </cfRule>
    <cfRule type="expression" dxfId="189" priority="79">
      <formula>$AC151=2</formula>
    </cfRule>
    <cfRule type="expression" dxfId="188" priority="81">
      <formula>$AF151=3</formula>
    </cfRule>
  </conditionalFormatting>
  <conditionalFormatting sqref="X152:Y155">
    <cfRule type="expression" dxfId="187" priority="207">
      <formula>$AF152=1</formula>
    </cfRule>
    <cfRule type="expression" dxfId="186" priority="206">
      <formula>$AF152=2</formula>
    </cfRule>
    <cfRule type="expression" dxfId="185" priority="205">
      <formula>$AF152=3</formula>
    </cfRule>
  </conditionalFormatting>
  <conditionalFormatting sqref="X155:Y155">
    <cfRule type="expression" dxfId="183" priority="208">
      <formula>$AC155=2</formula>
    </cfRule>
  </conditionalFormatting>
  <conditionalFormatting sqref="X156:Y156">
    <cfRule type="expression" dxfId="182" priority="2716">
      <formula>$AF156=1</formula>
    </cfRule>
    <cfRule type="expression" dxfId="181" priority="2715">
      <formula>$AF156=2</formula>
    </cfRule>
    <cfRule type="expression" dxfId="180" priority="2714">
      <formula>$AF156=3</formula>
    </cfRule>
    <cfRule type="expression" dxfId="179" priority="2713">
      <formula>$AF156=4</formula>
    </cfRule>
  </conditionalFormatting>
  <conditionalFormatting sqref="X156:Y157">
    <cfRule type="expression" dxfId="178" priority="2712">
      <formula>$AC156=2</formula>
    </cfRule>
  </conditionalFormatting>
  <conditionalFormatting sqref="X157:Y157">
    <cfRule type="expression" dxfId="177" priority="1647">
      <formula>$AF157=1</formula>
    </cfRule>
    <cfRule type="expression" dxfId="176" priority="1644">
      <formula>$AF157=4</formula>
    </cfRule>
    <cfRule type="expression" dxfId="175" priority="1645">
      <formula>$AF157=3</formula>
    </cfRule>
    <cfRule type="expression" dxfId="174" priority="1646">
      <formula>$AF157=2</formula>
    </cfRule>
  </conditionalFormatting>
  <conditionalFormatting sqref="X158:Y158">
    <cfRule type="expression" dxfId="173" priority="2692">
      <formula>$AF158=3</formula>
    </cfRule>
    <cfRule type="expression" dxfId="172" priority="2691">
      <formula>$AF158=4</formula>
    </cfRule>
    <cfRule type="expression" dxfId="171" priority="2694">
      <formula>$AF158=1</formula>
    </cfRule>
    <cfRule type="expression" dxfId="170" priority="2693">
      <formula>$AF158=2</formula>
    </cfRule>
  </conditionalFormatting>
  <conditionalFormatting sqref="X158:Y159">
    <cfRule type="expression" dxfId="169" priority="2690">
      <formula>$AC158=2</formula>
    </cfRule>
  </conditionalFormatting>
  <conditionalFormatting sqref="X159:Y159">
    <cfRule type="expression" dxfId="168" priority="1616">
      <formula>$AF159=3</formula>
    </cfRule>
    <cfRule type="expression" dxfId="167" priority="1615">
      <formula>$AF159=4</formula>
    </cfRule>
    <cfRule type="expression" dxfId="166" priority="1617">
      <formula>$AF159=2</formula>
    </cfRule>
    <cfRule type="expression" dxfId="165" priority="1618">
      <formula>$AF159=1</formula>
    </cfRule>
  </conditionalFormatting>
  <conditionalFormatting sqref="X160:Y160">
    <cfRule type="expression" dxfId="164" priority="2670">
      <formula>$AF160=3</formula>
    </cfRule>
    <cfRule type="expression" dxfId="163" priority="2668">
      <formula>$AC160=2</formula>
    </cfRule>
    <cfRule type="expression" dxfId="162" priority="2672">
      <formula>$AF160=1</formula>
    </cfRule>
    <cfRule type="expression" dxfId="161" priority="2671">
      <formula>$AF160=2</formula>
    </cfRule>
    <cfRule type="expression" dxfId="160" priority="2669">
      <formula>$AF160=4</formula>
    </cfRule>
  </conditionalFormatting>
  <conditionalFormatting sqref="X161:Y161">
    <cfRule type="expression" dxfId="159" priority="1589">
      <formula>$AF161=1</formula>
    </cfRule>
    <cfRule type="expression" dxfId="158" priority="1588">
      <formula>$AF161=2</formula>
    </cfRule>
    <cfRule type="expression" dxfId="157" priority="1587">
      <formula>$AF161=3</formula>
    </cfRule>
    <cfRule type="expression" dxfId="156" priority="1586">
      <formula>$AF161=4</formula>
    </cfRule>
  </conditionalFormatting>
  <conditionalFormatting sqref="X165:Y167">
    <cfRule type="expression" dxfId="155" priority="170">
      <formula>$AF165=2</formula>
    </cfRule>
    <cfRule type="expression" dxfId="154" priority="168">
      <formula>$AF165=4</formula>
    </cfRule>
    <cfRule type="expression" dxfId="153" priority="169">
      <formula>$AF165=3</formula>
    </cfRule>
    <cfRule type="expression" dxfId="152" priority="171">
      <formula>$AF165=1</formula>
    </cfRule>
  </conditionalFormatting>
  <conditionalFormatting sqref="X167:Y167">
    <cfRule type="expression" dxfId="150" priority="172">
      <formula>$AC167=2</formula>
    </cfRule>
  </conditionalFormatting>
  <conditionalFormatting sqref="X168:Y168">
    <cfRule type="expression" dxfId="149" priority="2649">
      <formula>$AF168=2</formula>
    </cfRule>
    <cfRule type="expression" dxfId="148" priority="2647">
      <formula>$AF168=4</formula>
    </cfRule>
    <cfRule type="expression" dxfId="147" priority="2648">
      <formula>$AF168=3</formula>
    </cfRule>
    <cfRule type="expression" dxfId="146" priority="2650">
      <formula>$AF168=1</formula>
    </cfRule>
  </conditionalFormatting>
  <conditionalFormatting sqref="X168:Y171">
    <cfRule type="expression" dxfId="145" priority="2646">
      <formula>$AC168=2</formula>
    </cfRule>
  </conditionalFormatting>
  <conditionalFormatting sqref="X169:Y171">
    <cfRule type="expression" dxfId="144" priority="1529">
      <formula>$AF169=3</formula>
    </cfRule>
    <cfRule type="expression" dxfId="143" priority="1530">
      <formula>$AF169=2</formula>
    </cfRule>
    <cfRule type="expression" dxfId="142" priority="1528">
      <formula>$AF169=4</formula>
    </cfRule>
    <cfRule type="expression" dxfId="141" priority="1531">
      <formula>$AF169=1</formula>
    </cfRule>
  </conditionalFormatting>
  <conditionalFormatting sqref="X172:Y173">
    <cfRule type="expression" dxfId="140" priority="2626">
      <formula>$AF172=3</formula>
    </cfRule>
    <cfRule type="expression" dxfId="139" priority="2627">
      <formula>$AF172=2</formula>
    </cfRule>
    <cfRule type="expression" dxfId="138" priority="2628">
      <formula>$AF172=1</formula>
    </cfRule>
  </conditionalFormatting>
  <conditionalFormatting sqref="X172:Y175">
    <cfRule type="expression" dxfId="137" priority="2624">
      <formula>$AC172=2</formula>
    </cfRule>
    <cfRule type="expression" dxfId="136" priority="2625">
      <formula>$AF172=4</formula>
    </cfRule>
  </conditionalFormatting>
  <conditionalFormatting sqref="X176:Y176">
    <cfRule type="expression" dxfId="135" priority="2603">
      <formula>$AF176=4</formula>
    </cfRule>
    <cfRule type="expression" dxfId="134" priority="2605">
      <formula>$AF176=2</formula>
    </cfRule>
    <cfRule type="expression" dxfId="133" priority="2606">
      <formula>$AF176=1</formula>
    </cfRule>
    <cfRule type="expression" dxfId="132" priority="2604">
      <formula>$AF176=3</formula>
    </cfRule>
  </conditionalFormatting>
  <conditionalFormatting sqref="X176:Y179">
    <cfRule type="expression" dxfId="131" priority="2602">
      <formula>$AC176=2</formula>
    </cfRule>
  </conditionalFormatting>
  <conditionalFormatting sqref="X177:Y179">
    <cfRule type="expression" dxfId="129" priority="1470">
      <formula>$AF177=4</formula>
    </cfRule>
    <cfRule type="expression" dxfId="128" priority="1473">
      <formula>$AF177=1</formula>
    </cfRule>
    <cfRule type="expression" dxfId="127" priority="1472">
      <formula>$AF177=2</formula>
    </cfRule>
    <cfRule type="expression" dxfId="126" priority="1471">
      <formula>$AF177=3</formula>
    </cfRule>
  </conditionalFormatting>
  <conditionalFormatting sqref="X180:Y180">
    <cfRule type="expression" dxfId="125" priority="2584">
      <formula>$AF180=1</formula>
    </cfRule>
    <cfRule type="expression" dxfId="124" priority="2583">
      <formula>$AF180=2</formula>
    </cfRule>
    <cfRule type="expression" dxfId="123" priority="2582">
      <formula>$AF180=3</formula>
    </cfRule>
    <cfRule type="expression" dxfId="122" priority="2581">
      <formula>$AF180=4</formula>
    </cfRule>
  </conditionalFormatting>
  <conditionalFormatting sqref="X180:Y183">
    <cfRule type="expression" dxfId="121" priority="2580">
      <formula>$AC180=2</formula>
    </cfRule>
  </conditionalFormatting>
  <conditionalFormatting sqref="X181:Y183">
    <cfRule type="expression" dxfId="120" priority="1442">
      <formula>$AF181=3</formula>
    </cfRule>
    <cfRule type="expression" dxfId="119" priority="1441">
      <formula>$AF181=4</formula>
    </cfRule>
    <cfRule type="expression" dxfId="118" priority="1444">
      <formula>$AF181=1</formula>
    </cfRule>
    <cfRule type="expression" dxfId="117" priority="1443">
      <formula>$AF181=2</formula>
    </cfRule>
  </conditionalFormatting>
  <conditionalFormatting sqref="X184:Y184">
    <cfRule type="expression" dxfId="116" priority="2559">
      <formula>$AF184=4</formula>
    </cfRule>
    <cfRule type="expression" dxfId="115" priority="2562">
      <formula>$AF184=1</formula>
    </cfRule>
    <cfRule type="expression" dxfId="114" priority="2561">
      <formula>$AF184=2</formula>
    </cfRule>
    <cfRule type="expression" dxfId="113" priority="2560">
      <formula>$AF184=3</formula>
    </cfRule>
  </conditionalFormatting>
  <conditionalFormatting sqref="X184:Y185">
    <cfRule type="expression" dxfId="112" priority="2558">
      <formula>$AC184=2</formula>
    </cfRule>
  </conditionalFormatting>
  <conditionalFormatting sqref="X185:Y185">
    <cfRule type="expression" dxfId="111" priority="1415">
      <formula>$AF185=1</formula>
    </cfRule>
    <cfRule type="expression" dxfId="110" priority="1414">
      <formula>$AF185=2</formula>
    </cfRule>
    <cfRule type="expression" dxfId="109" priority="1413">
      <formula>$AF185=3</formula>
    </cfRule>
    <cfRule type="expression" dxfId="108" priority="1412">
      <formula>$AF185=4</formula>
    </cfRule>
  </conditionalFormatting>
  <conditionalFormatting sqref="X186:Y186">
    <cfRule type="expression" dxfId="107" priority="2538">
      <formula>$AF186=3</formula>
    </cfRule>
    <cfRule type="expression" dxfId="106" priority="2539">
      <formula>$AF186=2</formula>
    </cfRule>
    <cfRule type="expression" dxfId="105" priority="2540">
      <formula>$AF186=1</formula>
    </cfRule>
    <cfRule type="expression" dxfId="104" priority="2537">
      <formula>$AF186=4</formula>
    </cfRule>
  </conditionalFormatting>
  <conditionalFormatting sqref="X186:Y188">
    <cfRule type="expression" dxfId="103" priority="2536">
      <formula>$AC186=2</formula>
    </cfRule>
  </conditionalFormatting>
  <conditionalFormatting sqref="X187:Y188">
    <cfRule type="expression" dxfId="102" priority="1384">
      <formula>$AF187=3</formula>
    </cfRule>
    <cfRule type="expression" dxfId="101" priority="1383">
      <formula>$AF187=4</formula>
    </cfRule>
    <cfRule type="expression" dxfId="100" priority="1386">
      <formula>$AF187=1</formula>
    </cfRule>
    <cfRule type="expression" dxfId="99" priority="1385">
      <formula>$AF187=2</formula>
    </cfRule>
  </conditionalFormatting>
  <conditionalFormatting sqref="X189:Y189">
    <cfRule type="expression" dxfId="98" priority="2518">
      <formula>$AF189=1</formula>
    </cfRule>
    <cfRule type="expression" dxfId="97" priority="2515">
      <formula>$AF189=4</formula>
    </cfRule>
    <cfRule type="expression" dxfId="96" priority="2514">
      <formula>$AC189=2</formula>
    </cfRule>
    <cfRule type="expression" dxfId="95" priority="2517">
      <formula>$AF189=2</formula>
    </cfRule>
    <cfRule type="expression" dxfId="94" priority="2516">
      <formula>$AF189=3</formula>
    </cfRule>
  </conditionalFormatting>
  <conditionalFormatting sqref="X190:Y193">
    <cfRule type="expression" dxfId="93" priority="1355">
      <formula>$AF190=3</formula>
    </cfRule>
    <cfRule type="expression" dxfId="92" priority="1357">
      <formula>$AF190=1</formula>
    </cfRule>
    <cfRule type="expression" dxfId="91" priority="1356">
      <formula>$AF190=2</formula>
    </cfRule>
    <cfRule type="expression" dxfId="90" priority="1354">
      <formula>$AF190=4</formula>
    </cfRule>
  </conditionalFormatting>
  <conditionalFormatting sqref="X197:Y197">
    <cfRule type="expression" dxfId="89" priority="3171">
      <formula>$AF197=3</formula>
    </cfRule>
    <cfRule type="expression" dxfId="88" priority="3172">
      <formula>$AF197=2</formula>
    </cfRule>
    <cfRule type="expression" dxfId="87" priority="3173">
      <formula>$AF197=1</formula>
    </cfRule>
    <cfRule type="expression" dxfId="86" priority="3170">
      <formula>$AF197=4</formula>
    </cfRule>
  </conditionalFormatting>
  <conditionalFormatting sqref="X199:Y201">
    <cfRule type="expression" dxfId="84" priority="874">
      <formula>$AF199=4</formula>
    </cfRule>
    <cfRule type="expression" dxfId="83" priority="875">
      <formula>$AF199=3</formula>
    </cfRule>
    <cfRule type="expression" dxfId="82" priority="876">
      <formula>$AF199=2</formula>
    </cfRule>
    <cfRule type="expression" dxfId="81" priority="877">
      <formula>$AF199=1</formula>
    </cfRule>
  </conditionalFormatting>
  <conditionalFormatting sqref="X202:Y202">
    <cfRule type="expression" dxfId="80" priority="2496">
      <formula>$AF202=1</formula>
    </cfRule>
    <cfRule type="expression" dxfId="79" priority="2495">
      <formula>$AF202=2</formula>
    </cfRule>
    <cfRule type="expression" dxfId="78" priority="2494">
      <formula>$AF202=3</formula>
    </cfRule>
    <cfRule type="expression" dxfId="77" priority="2493">
      <formula>$AF202=4</formula>
    </cfRule>
  </conditionalFormatting>
  <conditionalFormatting sqref="X202:Y204">
    <cfRule type="expression" dxfId="76" priority="2492">
      <formula>$AC202=2</formula>
    </cfRule>
  </conditionalFormatting>
  <conditionalFormatting sqref="X203:Y204">
    <cfRule type="expression" dxfId="75" priority="1297">
      <formula>$AF203=3</formula>
    </cfRule>
    <cfRule type="expression" dxfId="74" priority="1296">
      <formula>$AF203=4</formula>
    </cfRule>
    <cfRule type="expression" dxfId="73" priority="1298">
      <formula>$AF203=2</formula>
    </cfRule>
    <cfRule type="expression" dxfId="72" priority="1299">
      <formula>$AF203=1</formula>
    </cfRule>
  </conditionalFormatting>
  <conditionalFormatting sqref="X205:Y205">
    <cfRule type="expression" dxfId="71" priority="2471">
      <formula>$AF205=4</formula>
    </cfRule>
    <cfRule type="expression" dxfId="70" priority="2472">
      <formula>$AF205=3</formula>
    </cfRule>
    <cfRule type="expression" dxfId="69" priority="2473">
      <formula>$AF205=2</formula>
    </cfRule>
    <cfRule type="expression" dxfId="68" priority="2474">
      <formula>$AF205=1</formula>
    </cfRule>
  </conditionalFormatting>
  <conditionalFormatting sqref="X205:Y207">
    <cfRule type="expression" dxfId="67" priority="2470">
      <formula>$AC205=2</formula>
    </cfRule>
  </conditionalFormatting>
  <conditionalFormatting sqref="X206:Y207">
    <cfRule type="expression" dxfId="66" priority="1270">
      <formula>$AF206=1</formula>
    </cfRule>
    <cfRule type="expression" dxfId="65" priority="1267">
      <formula>$AF206=4</formula>
    </cfRule>
    <cfRule type="expression" dxfId="64" priority="1269">
      <formula>$AF206=2</formula>
    </cfRule>
    <cfRule type="expression" dxfId="63" priority="1268">
      <formula>$AF206=3</formula>
    </cfRule>
  </conditionalFormatting>
  <conditionalFormatting sqref="X208:Y208">
    <cfRule type="expression" dxfId="62" priority="2452">
      <formula>$AF208=1</formula>
    </cfRule>
    <cfRule type="expression" dxfId="61" priority="2451">
      <formula>$AF208=2</formula>
    </cfRule>
    <cfRule type="expression" dxfId="60" priority="2449">
      <formula>$AF208=4</formula>
    </cfRule>
    <cfRule type="expression" dxfId="59" priority="2448">
      <formula>$AC208=2</formula>
    </cfRule>
    <cfRule type="expression" dxfId="58" priority="2450">
      <formula>$AF208=3</formula>
    </cfRule>
  </conditionalFormatting>
  <conditionalFormatting sqref="X209:Y210">
    <cfRule type="expression" dxfId="57" priority="1241">
      <formula>$AF209=1</formula>
    </cfRule>
    <cfRule type="expression" dxfId="56" priority="1240">
      <formula>$AF209=2</formula>
    </cfRule>
    <cfRule type="expression" dxfId="55" priority="1239">
      <formula>$AF209=3</formula>
    </cfRule>
    <cfRule type="expression" dxfId="54" priority="1238">
      <formula>$AF209=4</formula>
    </cfRule>
  </conditionalFormatting>
  <conditionalFormatting sqref="X211:Y212">
    <cfRule type="expression" dxfId="53" priority="4531">
      <formula>$AF211=2</formula>
    </cfRule>
    <cfRule type="expression" dxfId="52" priority="4532">
      <formula>$AF211=1</formula>
    </cfRule>
  </conditionalFormatting>
  <conditionalFormatting sqref="X211:Y222">
    <cfRule type="expression" dxfId="51" priority="4530">
      <formula>$AF211=3</formula>
    </cfRule>
    <cfRule type="expression" dxfId="50" priority="4529">
      <formula>$AF211=4</formula>
    </cfRule>
  </conditionalFormatting>
  <conditionalFormatting sqref="X223:Y223">
    <cfRule type="expression" dxfId="49" priority="4306">
      <formula>$AF223=1</formula>
    </cfRule>
    <cfRule type="expression" dxfId="48" priority="4305">
      <formula>$AF223=2</formula>
    </cfRule>
  </conditionalFormatting>
  <conditionalFormatting sqref="X223:Y227">
    <cfRule type="expression" dxfId="47" priority="1180">
      <formula>$AF223=4</formula>
    </cfRule>
    <cfRule type="expression" dxfId="46" priority="1181">
      <formula>$AF223=3</formula>
    </cfRule>
  </conditionalFormatting>
  <conditionalFormatting sqref="X224:Y224">
    <cfRule type="expression" dxfId="45" priority="4286">
      <formula>$AF224=1</formula>
    </cfRule>
  </conditionalFormatting>
  <conditionalFormatting sqref="X224:Y227">
    <cfRule type="expression" dxfId="44" priority="1182">
      <formula>$AF224=2</formula>
    </cfRule>
  </conditionalFormatting>
  <conditionalFormatting sqref="X225:Y227">
    <cfRule type="expression" dxfId="43" priority="1183">
      <formula>$AF225=1</formula>
    </cfRule>
  </conditionalFormatting>
  <conditionalFormatting sqref="X228:Y229">
    <cfRule type="expression" dxfId="42" priority="4517">
      <formula>$AF228=4</formula>
    </cfRule>
    <cfRule type="expression" dxfId="41" priority="4519">
      <formula>$AF228=2</formula>
    </cfRule>
    <cfRule type="expression" dxfId="40" priority="4520">
      <formula>$AF228=1</formula>
    </cfRule>
    <cfRule type="expression" dxfId="39" priority="4518">
      <formula>$AF228=3</formula>
    </cfRule>
  </conditionalFormatting>
  <conditionalFormatting sqref="X249:Y249">
    <cfRule type="expression" dxfId="36" priority="3700">
      <formula>$AC28=2</formula>
    </cfRule>
  </conditionalFormatting>
  <conditionalFormatting sqref="X256:Y256 H256:L256">
    <cfRule type="expression" dxfId="34" priority="3982">
      <formula>$AC120=2</formula>
    </cfRule>
  </conditionalFormatting>
  <conditionalFormatting sqref="X261:Y261">
    <cfRule type="expression" dxfId="33" priority="4198">
      <formula>$AC150=2</formula>
    </cfRule>
  </conditionalFormatting>
  <conditionalFormatting sqref="X248:Z248">
    <cfRule type="expression" dxfId="32" priority="3834">
      <formula>$AC21=2</formula>
    </cfRule>
  </conditionalFormatting>
  <conditionalFormatting sqref="Y14">
    <cfRule type="expression" dxfId="31" priority="3603">
      <formula>$AF14=2</formula>
    </cfRule>
    <cfRule type="expression" dxfId="29" priority="3604">
      <formula>$AF14=1</formula>
    </cfRule>
    <cfRule type="expression" dxfId="28" priority="3602">
      <formula>$AF14=3</formula>
    </cfRule>
  </conditionalFormatting>
  <conditionalFormatting sqref="Z12:Z106">
    <cfRule type="expression" dxfId="27" priority="255">
      <formula>$AA12=2</formula>
    </cfRule>
  </conditionalFormatting>
  <conditionalFormatting sqref="Z107">
    <cfRule type="expression" dxfId="26" priority="102">
      <formula>$AA107=2</formula>
    </cfRule>
  </conditionalFormatting>
  <conditionalFormatting sqref="Z108:Z138">
    <cfRule type="expression" dxfId="25" priority="261">
      <formula>$AA108=2</formula>
    </cfRule>
  </conditionalFormatting>
  <conditionalFormatting sqref="Z139">
    <cfRule type="expression" dxfId="24" priority="23">
      <formula>$AA139=2</formula>
    </cfRule>
  </conditionalFormatting>
  <conditionalFormatting sqref="Z140:Z150">
    <cfRule type="expression" dxfId="23" priority="290">
      <formula>$AA140=2</formula>
    </cfRule>
  </conditionalFormatting>
  <conditionalFormatting sqref="Z151">
    <cfRule type="expression" dxfId="22" priority="61">
      <formula>$AA151=2</formula>
    </cfRule>
  </conditionalFormatting>
  <conditionalFormatting sqref="Z152:Z215">
    <cfRule type="expression" dxfId="21" priority="263">
      <formula>$AA152=2</formula>
    </cfRule>
  </conditionalFormatting>
  <conditionalFormatting sqref="Z216:Z228">
    <cfRule type="expression" dxfId="20" priority="1167">
      <formula>$AC216=2</formula>
    </cfRule>
  </conditionalFormatting>
  <conditionalFormatting sqref="Z249">
    <cfRule type="expression" dxfId="19" priority="3685">
      <formula>$AC28=2</formula>
    </cfRule>
  </conditionalFormatting>
  <conditionalFormatting sqref="Z256">
    <cfRule type="expression" dxfId="18" priority="3830">
      <formula>$AC120=2</formula>
    </cfRule>
  </conditionalFormatting>
  <conditionalFormatting sqref="Z261">
    <cfRule type="expression" dxfId="17" priority="3831">
      <formula>$AC150=2</formula>
    </cfRule>
  </conditionalFormatting>
  <conditionalFormatting sqref="AB4">
    <cfRule type="expression" dxfId="16" priority="4437">
      <formula>$AJ$4=ais_nei</formula>
    </cfRule>
  </conditionalFormatting>
  <conditionalFormatting sqref="AB10:AB11 AB18:AB21 AB28 AB32 AB52:AB67 AB124 AB128 AB143 AB147:AB151 AB156:AB228 AB238 AB247:AB250 AB253:AB254 AB256:AB261 AB36:AB39 AB42:AB47 AB75:AB86 AB88:AB97 AB100 AB102:AB122 AB132:AB136 AB138:AB139">
    <cfRule type="expression" dxfId="13" priority="4440">
      <formula>$AC10=2</formula>
    </cfRule>
  </conditionalFormatting>
  <conditionalFormatting sqref="AB10:AB11 AB18:AB21 AB28 AB32 AB52:AB67 AB124 AB128 AB143 AB147:AB151 AB156:AB228 AB238 AB247:AB250 AB253:AB254 AB256:AB261">
    <cfRule type="expression" dxfId="12" priority="4439">
      <formula>$AJ$4="Nei"</formula>
    </cfRule>
  </conditionalFormatting>
  <conditionalFormatting sqref="AB36:AB47">
    <cfRule type="expression" dxfId="11" priority="236">
      <formula>$AJ$4="Nei"</formula>
    </cfRule>
  </conditionalFormatting>
  <conditionalFormatting sqref="AB40:AB41">
    <cfRule type="expression" dxfId="10" priority="237">
      <formula>$AC40=2</formula>
    </cfRule>
  </conditionalFormatting>
  <conditionalFormatting sqref="AB75:AB97">
    <cfRule type="expression" dxfId="9" priority="772">
      <formula>$AJ$4="Nei"</formula>
    </cfRule>
  </conditionalFormatting>
  <conditionalFormatting sqref="AB87">
    <cfRule type="expression" dxfId="8" priority="773">
      <formula>$AC87=2</formula>
    </cfRule>
  </conditionalFormatting>
  <conditionalFormatting sqref="AB100:AB122">
    <cfRule type="expression" dxfId="7" priority="736">
      <formula>$AJ$4="Nei"</formula>
    </cfRule>
  </conditionalFormatting>
  <conditionalFormatting sqref="AB101">
    <cfRule type="expression" dxfId="6" priority="737">
      <formula>$AC101=2</formula>
    </cfRule>
  </conditionalFormatting>
  <conditionalFormatting sqref="AB132:AB139">
    <cfRule type="expression" dxfId="5" priority="915">
      <formula>$AJ$4="Nei"</formula>
    </cfRule>
  </conditionalFormatting>
  <conditionalFormatting sqref="AB137">
    <cfRule type="expression" dxfId="4" priority="916">
      <formula>$AC137=2</formula>
    </cfRule>
  </conditionalFormatting>
  <conditionalFormatting sqref="AZ75:AZ97">
    <cfRule type="expression" dxfId="3" priority="774">
      <formula>$AC75=2</formula>
    </cfRule>
  </conditionalFormatting>
  <conditionalFormatting sqref="AZ100:AZ122">
    <cfRule type="expression" dxfId="2" priority="738">
      <formula>$AC100=2</formula>
    </cfRule>
  </conditionalFormatting>
  <conditionalFormatting sqref="AZ132:AZ139">
    <cfRule type="expression" dxfId="1" priority="917">
      <formula>$AC132=2</formula>
    </cfRule>
  </conditionalFormatting>
  <conditionalFormatting sqref="AZ156:AZ228">
    <cfRule type="expression" dxfId="0" priority="873">
      <formula>$AC156=2</formula>
    </cfRule>
  </conditionalFormatting>
  <dataValidations count="19">
    <dataValidation type="decimal" operator="lessThanOrEqual" allowBlank="1" showInputMessage="1" showErrorMessage="1" errorTitle="Invalid entry" error="Cannot award more credits than available" sqref="G144:G146 G191:G193 G214:G227 G58 G130:G131 G157 U156:U161 G112:G114 U42:U47 G159 G93 G110 N58:N63 G206:G207 N156:N161 G33:G35 G29:G31 G174:G175 G116 G122:G123 G126:G127 U140:U146 G19:G20 U200:U210 U102 U58:U63 G42:G46 G140:G142 G203:G204 G53:G55 U214:U227 G49:G51 G60:G61 N191:N193 G63 U168 G76:G78 U134:U138 G80:G81 G188 G83:G84 G185 G182:G183 G90:G91 G22:G27 G98:G99 G102 G170:G171 G15:G17 G161 G178:G179 G74 U108:U116 U72:U93 U191:U193 G209:G210 N214:N227 G134:G137 G151 N42:N47 N49:N56 N120 N122:N124 N126:N128 N130:N132 G166 N170:N176 N178:N180 N182:N186 N188:N189 U49:U56 U120 U122:U124 U126:U128 U130:U132 N168 U170:U176 U178:U180 U182:U186 U188:U189 N140:N146 N152:N154 G200:G201 N200:N210 N197:N198 G198 U197:U198 N102 N11:N35 N72:N93 G86:G88 U97:U100 N97:N100 N39 U39 U152:U154 N108:N116 N165:N166 U165:U166 G68:G70 N67:N70 U67:U70 U106 N106 U150 N150 N134:N138 G153:G154 G72 G12:G13 U11:U35" xr:uid="{00000000-0002-0000-0200-000000000000}">
      <formula1>$F11</formula1>
    </dataValidation>
    <dataValidation allowBlank="1" showInputMessage="1" showErrorMessage="1" promptTitle="Sorting" prompt="Sort from smallest to largest to get original sorting" sqref="A9" xr:uid="{00000000-0002-0000-0200-000001000000}"/>
    <dataValidation type="list" allowBlank="1" showInputMessage="1" showErrorMessage="1" sqref="S8 Z8" xr:uid="{00000000-0002-0000-0200-000002000000}">
      <formula1>AD_YesNo</formula1>
    </dataValidation>
    <dataValidation type="list" allowBlank="1" showInputMessage="1" showErrorMessage="1" sqref="N257:P257 G257 U257:W257 G247 N247:P247 U247:W247 G250 N250:P250 U250:W250 G253:G254 N253:P254 U253:W254 N259:P260 G259:G260 U259:W260 G187 G190" xr:uid="{00000000-0002-0000-0200-000003000000}">
      <formula1>janei</formula1>
    </dataValidation>
    <dataValidation type="list" operator="lessThanOrEqual" allowBlank="1" showInputMessage="1" showErrorMessage="1" errorTitle="Invalid entry" error="Cannot award more credits than available" sqref="N258:P258 G258 U258:W258 N48 U48 N57 N121 N125 N129 N133 N169 N177 N181 N187 N190 U57 U121 U125 U129 U133 U169 U177 U181 U187 U190 N199 U199 N101 U101 N40:N41 U40:U41 N155 U155 N167 U167 N71 U71 N107 U107 N151 U151 N139 U139" xr:uid="{00000000-0002-0000-0200-000004000000}">
      <formula1>janei</formula1>
    </dataValidation>
    <dataValidation type="list" allowBlank="1" showInputMessage="1" showErrorMessage="1" sqref="K214:K227 Y214:Y227 R253:R254 Y256:Y261 K247:K250 Y247:Y250 R247:R250 R197:R210 K256:K261 Y67:Y93 R256:R261 Y39:Y63 R39:R63 K39:K63 R120:R146 Y165:Y193 K106:K116 K165:K193 R214:R227 K238 K253:K254 Y238 Y253:Y254 R238 R150:R161 Y197:Y210 K197:K210 K11:K35 K97:K102 K67:K93 R67:R93 Y97:Y102 R97:R102 Y11:Y35 R106:R116 R165:R193 Y106:Y116 Y150:Y161 K150:K161 Y120:Y146 K120:K146 R11:R35" xr:uid="{00000000-0002-0000-0200-000009000000}">
      <formula1>status</formula1>
    </dataValidation>
    <dataValidation type="list" allowBlank="1" showInputMessage="1" showErrorMessage="1" sqref="AB11" xr:uid="{DB3CADF3-8BC5-476F-81CA-6BDA2C5277F8}">
      <formula1>$AS$11:$AT$11</formula1>
    </dataValidation>
    <dataValidation type="list" allowBlank="1" showInputMessage="1" showErrorMessage="1" sqref="AB18:AB20" xr:uid="{9350211D-61B2-4DA7-BE0E-7C11E1E6B433}">
      <formula1>AS11:AT11</formula1>
    </dataValidation>
    <dataValidation type="list" allowBlank="1" showInputMessage="1" showErrorMessage="1" sqref="AB202:AB210 AB109:AB110 AB79:AB84 AB52:AB55 AB92:AB93 AB28 AB143 AB249 AB132:AB139" xr:uid="{F0C1D095-7E66-46D9-A85F-66F520A2EB89}">
      <formula1>AR28:AU28</formula1>
    </dataValidation>
    <dataValidation type="list" allowBlank="1" showInputMessage="1" showErrorMessage="1" sqref="AB247 AB67 AB106:AB108 AB250 AB32 AB253:AB254 AB85:AB88" xr:uid="{D98CD08E-0EE3-4406-9E21-0FBC679D511E}">
      <formula1>AR32:AT32</formula1>
    </dataValidation>
    <dataValidation type="list" allowBlank="1" showInputMessage="1" showErrorMessage="1" sqref="AB56:AB58" xr:uid="{4C2207EF-568B-47C8-9151-2773F5E6F66A}">
      <formula1>$AS$56:$AT$56</formula1>
    </dataValidation>
    <dataValidation type="list" allowBlank="1" showInputMessage="1" showErrorMessage="1" sqref="AB75:AB78" xr:uid="{1331576C-E601-4F1C-A204-89C25D50F13A}">
      <formula1>$AR$75:$AW$75</formula1>
    </dataValidation>
    <dataValidation type="list" allowBlank="1" showInputMessage="1" showErrorMessage="1" sqref="AB156:AB159" xr:uid="{1D790340-B611-4D8C-807E-51EA2B2982E1}">
      <formula1>$AS$156:$AT$156</formula1>
    </dataValidation>
    <dataValidation type="list" allowBlank="1" showInputMessage="1" showErrorMessage="1" sqref="AB160:AB161" xr:uid="{B6D98BD2-E44A-45F0-85A9-DD6C63C7B0A6}">
      <formula1>$AS$160:$AT$160</formula1>
    </dataValidation>
    <dataValidation type="list" allowBlank="1" showInputMessage="1" showErrorMessage="1" sqref="AB39:AB46" xr:uid="{C3729FE3-E8D4-44CC-A21D-4515CC7AAB60}">
      <formula1>$AR$39:$AX$39</formula1>
    </dataValidation>
    <dataValidation type="list" allowBlank="1" showInputMessage="1" showErrorMessage="1" sqref="AB197:AB201" xr:uid="{BB53C0A7-3B79-4BA3-8464-4D5B1B5FF110}">
      <formula1>$AR$197:$AV$197</formula1>
    </dataValidation>
    <dataValidation type="list" allowBlank="1" showInputMessage="1" showErrorMessage="1" sqref="AB111:AB114" xr:uid="{75B977C5-2350-4159-ABB6-5AEF25C36DC6}">
      <formula1>$AR$111:$AV$111</formula1>
    </dataValidation>
    <dataValidation type="list" allowBlank="1" showInputMessage="1" showErrorMessage="1" sqref="AB47" xr:uid="{392145BC-95C6-4582-97CF-A0374FD78752}">
      <formula1>$AR$47:$AW$47</formula1>
    </dataValidation>
    <dataValidation type="list" allowBlank="1" showInputMessage="1" showErrorMessage="1" sqref="AB238 AB89:AB91 AB115:AB116 AB59:AB63 AB150:AB151 AB214:AB227 AB97 AB248 AB21 AB120:AB122 AB124 AB128 AB256:AB261 AB100:AB102 AB165:AB193" xr:uid="{023AEDB0-0A68-4401-A6A1-3F72B4EA8505}">
      <formula1>AIS_NA</formula1>
    </dataValidation>
  </dataValidations>
  <pageMargins left="0.25" right="0.25" top="0.75" bottom="0.75" header="0.3" footer="0.3"/>
  <pageSetup paperSize="9" scale="48" fitToHeight="0" orientation="landscape" r:id="rId1"/>
  <headerFooter>
    <oddFooter xml:space="preserve">&amp;L&amp;F&amp;C&amp;D&amp;RPage &amp;P of &amp;N  </oddFooter>
  </headerFooter>
  <ignoredErrors>
    <ignoredError sqref="V42:BE52 H229:T337 V18:W18 Z18:BE18 O18:P18 O19:Q19 S18:T19 V174:BE337 V53:X53 Z53:BE53 O127:Q127 S127:T127 V140:BE150 V54:BE70 F71 V116:BE138 O128:T138 Y108:BE115 F107 AA152:BE154 F151 V74:BE106 V107:X107 V151:Z151 O74:T107 O140:T151 H74:M107 H140:M151 H175:M202 H174:K174 M174 H210:M228 H209:K209 M209 H207:M208 H206:K206 M206 H204:M205 H203:K203 M203 O20:T40 H18:M40 V19:BE40 F109:F115 H109:M138 J108:M108 O109:T126 Q108:T108 V109:X115 X108 F153:F154 H153:M172 J152:M152 O174:T228 Q152:T152 V153:Z154 X152:Z152 O153:T172 V155:BE172 H42:M72 O42:T72 V71:Z72 AA72:BE72" formula="1"/>
  </ignoredError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expression" priority="3687" id="{B4E5A23B-2AC0-4018-8372-E7EB8F6F5B77}">
            <xm:f>$F$250='Assessment Details'!$O$65</xm:f>
            <x14:dxf>
              <font>
                <color theme="0" tint="-0.14996795556505021"/>
              </font>
              <fill>
                <patternFill>
                  <bgColor theme="0" tint="-0.14996795556505021"/>
                </patternFill>
              </fill>
            </x14:dxf>
          </x14:cfRule>
          <xm:sqref>G250:L250 N250:S250 U250:Z250</xm:sqref>
        </x14:conditionalFormatting>
        <x14:conditionalFormatting xmlns:xm="http://schemas.microsoft.com/office/excel/2006/main">
          <x14:cfRule type="expression" priority="3581" id="{EE1182E8-19AC-462C-9F32-CDAAC6DB7DB9}">
            <xm:f>$S$8='Assessment Details'!$Q$23</xm:f>
            <x14:dxf>
              <font>
                <color theme="0"/>
              </font>
              <fill>
                <patternFill>
                  <bgColor theme="0"/>
                </patternFill>
              </fill>
              <border>
                <vertical/>
                <horizontal/>
              </border>
            </x14:dxf>
          </x14:cfRule>
          <x14:cfRule type="expression" priority="3580" id="{FEEA52F8-97DF-4F8A-B310-885F91244739}">
            <xm:f>$S$8='Assessment Details'!$Q$23</xm:f>
            <x14:dxf>
              <border>
                <left style="thin">
                  <color theme="0"/>
                </left>
                <right style="thin">
                  <color theme="0"/>
                </right>
                <top style="thin">
                  <color theme="0"/>
                </top>
                <bottom style="thin">
                  <color theme="0"/>
                </bottom>
                <vertical/>
                <horizontal/>
              </border>
            </x14:dxf>
          </x14:cfRule>
          <xm:sqref>N12:N17</xm:sqref>
        </x14:conditionalFormatting>
        <x14:conditionalFormatting xmlns:xm="http://schemas.microsoft.com/office/excel/2006/main">
          <x14:cfRule type="expression" priority="789" id="{056CBADF-F4D1-40B8-A066-F2B999D51E32}">
            <xm:f>$S$8='Assessment Details'!$Q$23</xm:f>
            <x14:dxf>
              <font>
                <color theme="0"/>
              </font>
              <fill>
                <patternFill>
                  <bgColor theme="0"/>
                </patternFill>
              </fill>
              <border>
                <vertical/>
                <horizontal/>
              </border>
            </x14:dxf>
          </x14:cfRule>
          <x14:cfRule type="expression" priority="788" id="{D8E3BCA5-64FC-4B4A-85B4-098B22AC9517}">
            <xm:f>$S$8='Assessment Details'!$Q$23</xm:f>
            <x14:dxf>
              <border>
                <left style="thin">
                  <color theme="0"/>
                </left>
                <right style="thin">
                  <color theme="0"/>
                </right>
                <top style="thin">
                  <color theme="0"/>
                </top>
                <bottom style="thin">
                  <color theme="0"/>
                </bottom>
                <vertical/>
                <horizontal/>
              </border>
            </x14:dxf>
          </x14:cfRule>
          <xm:sqref>N22:N27</xm:sqref>
        </x14:conditionalFormatting>
        <x14:conditionalFormatting xmlns:xm="http://schemas.microsoft.com/office/excel/2006/main">
          <x14:cfRule type="expression" priority="3468" id="{918BB4E2-D352-49A3-9681-A831A9DDE801}">
            <xm:f>$S$8='Assessment Details'!$Q$23</xm:f>
            <x14:dxf>
              <border>
                <left style="thin">
                  <color theme="0"/>
                </left>
                <right style="thin">
                  <color theme="0"/>
                </right>
                <top style="thin">
                  <color theme="0"/>
                </top>
                <bottom style="thin">
                  <color theme="0"/>
                </bottom>
                <vertical/>
                <horizontal/>
              </border>
            </x14:dxf>
          </x14:cfRule>
          <x14:cfRule type="expression" priority="3469" id="{9E69F7EB-8E3F-40ED-B49A-5F2566E23221}">
            <xm:f>$S$8='Assessment Details'!$Q$23</xm:f>
            <x14:dxf>
              <font>
                <color theme="0"/>
              </font>
              <fill>
                <patternFill>
                  <bgColor theme="0"/>
                </patternFill>
              </fill>
              <border>
                <vertical/>
                <horizontal/>
              </border>
            </x14:dxf>
          </x14:cfRule>
          <xm:sqref>N29:N31</xm:sqref>
        </x14:conditionalFormatting>
        <x14:conditionalFormatting xmlns:xm="http://schemas.microsoft.com/office/excel/2006/main">
          <x14:cfRule type="expression" priority="3421" id="{9D40A64A-1A5D-47C4-85D0-414185D1DDD7}">
            <xm:f>$S$8='Assessment Details'!$Q$23</xm:f>
            <x14:dxf>
              <font>
                <color theme="0"/>
              </font>
              <fill>
                <patternFill>
                  <bgColor theme="0"/>
                </patternFill>
              </fill>
              <border>
                <vertical/>
                <horizontal/>
              </border>
            </x14:dxf>
          </x14:cfRule>
          <xm:sqref>N33:N35</xm:sqref>
        </x14:conditionalFormatting>
        <x14:conditionalFormatting xmlns:xm="http://schemas.microsoft.com/office/excel/2006/main">
          <x14:cfRule type="expression" priority="3420" id="{17F35FEC-BD80-4030-8F69-22539DD26437}">
            <xm:f>$S$8='Assessment Details'!$Q$23</xm:f>
            <x14:dxf>
              <border>
                <left style="thin">
                  <color theme="0"/>
                </left>
                <right style="thin">
                  <color theme="0"/>
                </right>
                <top style="thin">
                  <color theme="0"/>
                </top>
                <bottom style="thin">
                  <color theme="0"/>
                </bottom>
                <vertical/>
                <horizontal/>
              </border>
            </x14:dxf>
          </x14:cfRule>
          <xm:sqref>N33:N36</xm:sqref>
        </x14:conditionalFormatting>
        <x14:conditionalFormatting xmlns:xm="http://schemas.microsoft.com/office/excel/2006/main">
          <x14:cfRule type="expression" priority="246" id="{349D7929-A46C-4B01-9FA8-9196D94CB8E9}">
            <xm:f>$S$8='Assessment Details'!$Q$23</xm:f>
            <x14:dxf>
              <border>
                <left style="thin">
                  <color theme="0"/>
                </left>
                <right style="thin">
                  <color theme="0"/>
                </right>
                <top style="thin">
                  <color theme="0"/>
                </top>
                <bottom style="thin">
                  <color theme="0"/>
                </bottom>
                <vertical/>
                <horizontal/>
              </border>
            </x14:dxf>
          </x14:cfRule>
          <x14:cfRule type="expression" priority="247" id="{316732AE-0C92-4BAF-87A4-73920F4C29A8}">
            <xm:f>$S$8='Assessment Details'!$Q$23</xm:f>
            <x14:dxf>
              <font>
                <color theme="0"/>
              </font>
              <fill>
                <patternFill>
                  <bgColor theme="0"/>
                </patternFill>
              </fill>
              <border>
                <vertical/>
                <horizontal/>
              </border>
            </x14:dxf>
          </x14:cfRule>
          <xm:sqref>N40:N46</xm:sqref>
        </x14:conditionalFormatting>
        <x14:conditionalFormatting xmlns:xm="http://schemas.microsoft.com/office/excel/2006/main">
          <x14:cfRule type="expression" priority="2394" id="{D00DE627-09B7-4C4E-AD68-6B294F08EA63}">
            <xm:f>$S$8='Assessment Details'!$Q$23</xm:f>
            <x14:dxf>
              <border>
                <left style="thin">
                  <color theme="0"/>
                </left>
                <right style="thin">
                  <color theme="0"/>
                </right>
                <top style="thin">
                  <color theme="0"/>
                </top>
                <bottom style="thin">
                  <color theme="0"/>
                </bottom>
                <vertical/>
                <horizontal/>
              </border>
            </x14:dxf>
          </x14:cfRule>
          <x14:cfRule type="expression" priority="2395" id="{EBA401F8-FFB6-48F9-A694-9CEBDB9352D6}">
            <xm:f>$S$8='Assessment Details'!$Q$23</xm:f>
            <x14:dxf>
              <font>
                <color theme="0"/>
              </font>
              <fill>
                <patternFill>
                  <bgColor theme="0"/>
                </patternFill>
              </fill>
              <border>
                <vertical/>
                <horizontal/>
              </border>
            </x14:dxf>
          </x14:cfRule>
          <xm:sqref>N48:N51</xm:sqref>
        </x14:conditionalFormatting>
        <x14:conditionalFormatting xmlns:xm="http://schemas.microsoft.com/office/excel/2006/main">
          <x14:cfRule type="expression" priority="2366" id="{8B61BCE3-BA8E-44F9-974F-CBAF2F4E9CCF}">
            <xm:f>$S$8='Assessment Details'!$Q$23</xm:f>
            <x14:dxf>
              <font>
                <color theme="0"/>
              </font>
              <fill>
                <patternFill>
                  <bgColor theme="0"/>
                </patternFill>
              </fill>
              <border>
                <vertical/>
                <horizontal/>
              </border>
            </x14:dxf>
          </x14:cfRule>
          <x14:cfRule type="expression" priority="2365" id="{0F5C6E7F-3AB1-4804-B5B8-59509DC61890}">
            <xm:f>$S$8='Assessment Details'!$Q$23</xm:f>
            <x14:dxf>
              <border>
                <left style="thin">
                  <color theme="0"/>
                </left>
                <right style="thin">
                  <color theme="0"/>
                </right>
                <top style="thin">
                  <color theme="0"/>
                </top>
                <bottom style="thin">
                  <color theme="0"/>
                </bottom>
                <vertical/>
                <horizontal/>
              </border>
            </x14:dxf>
          </x14:cfRule>
          <xm:sqref>N53:N55</xm:sqref>
        </x14:conditionalFormatting>
        <x14:conditionalFormatting xmlns:xm="http://schemas.microsoft.com/office/excel/2006/main">
          <x14:cfRule type="expression" priority="1003" id="{307AA2B4-9460-4D64-B64E-D9E082FDD21D}">
            <xm:f>$S$8='Assessment Details'!$Q$23</xm:f>
            <x14:dxf>
              <font>
                <color theme="0"/>
              </font>
              <fill>
                <patternFill>
                  <bgColor theme="0"/>
                </patternFill>
              </fill>
              <border>
                <vertical/>
                <horizontal/>
              </border>
            </x14:dxf>
          </x14:cfRule>
          <x14:cfRule type="expression" priority="1002" id="{E054E369-8675-45A9-9063-6772B90EC6F0}">
            <xm:f>$S$8='Assessment Details'!$Q$23</xm:f>
            <x14:dxf>
              <border>
                <left style="thin">
                  <color theme="0"/>
                </left>
                <right style="thin">
                  <color theme="0"/>
                </right>
                <top style="thin">
                  <color theme="0"/>
                </top>
                <bottom style="thin">
                  <color theme="0"/>
                </bottom>
                <vertical/>
                <horizontal/>
              </border>
            </x14:dxf>
          </x14:cfRule>
          <xm:sqref>N57:N58</xm:sqref>
        </x14:conditionalFormatting>
        <x14:conditionalFormatting xmlns:xm="http://schemas.microsoft.com/office/excel/2006/main">
          <x14:cfRule type="expression" priority="2307" id="{5CA0F889-AA6E-413C-AD94-C7EC10EAFCE5}">
            <xm:f>$S$8='Assessment Details'!$Q$23</xm:f>
            <x14:dxf>
              <border>
                <left style="thin">
                  <color theme="0"/>
                </left>
                <right style="thin">
                  <color theme="0"/>
                </right>
                <top style="thin">
                  <color theme="0"/>
                </top>
                <bottom style="thin">
                  <color theme="0"/>
                </bottom>
                <vertical/>
                <horizontal/>
              </border>
            </x14:dxf>
          </x14:cfRule>
          <x14:cfRule type="expression" priority="2308" id="{226059A5-5C88-467E-897B-4EDFB8224159}">
            <xm:f>$S$8='Assessment Details'!$Q$23</xm:f>
            <x14:dxf>
              <font>
                <color theme="0"/>
              </font>
              <fill>
                <patternFill>
                  <bgColor theme="0"/>
                </patternFill>
              </fill>
              <border>
                <vertical/>
                <horizontal/>
              </border>
            </x14:dxf>
          </x14:cfRule>
          <xm:sqref>N60:N61</xm:sqref>
        </x14:conditionalFormatting>
        <x14:conditionalFormatting xmlns:xm="http://schemas.microsoft.com/office/excel/2006/main">
          <x14:cfRule type="expression" priority="2279" id="{594E7B80-4F01-4A25-B75D-ED47E2CFAAC8}">
            <xm:f>$S$8='Assessment Details'!$Q$23</xm:f>
            <x14:dxf>
              <font>
                <color theme="0"/>
              </font>
              <fill>
                <patternFill>
                  <bgColor theme="0"/>
                </patternFill>
              </fill>
              <border>
                <vertical/>
                <horizontal/>
              </border>
            </x14:dxf>
          </x14:cfRule>
          <xm:sqref>N63</xm:sqref>
        </x14:conditionalFormatting>
        <x14:conditionalFormatting xmlns:xm="http://schemas.microsoft.com/office/excel/2006/main">
          <x14:cfRule type="expression" priority="2278" id="{B5708B9A-F16A-4B40-A4F5-F56F183612CF}">
            <xm:f>$S$8='Assessment Details'!$Q$23</xm:f>
            <x14:dxf>
              <border>
                <left style="thin">
                  <color theme="0"/>
                </left>
                <right style="thin">
                  <color theme="0"/>
                </right>
                <top style="thin">
                  <color theme="0"/>
                </top>
                <bottom style="thin">
                  <color theme="0"/>
                </bottom>
                <vertical/>
                <horizontal/>
              </border>
            </x14:dxf>
          </x14:cfRule>
          <xm:sqref>N63:N64</xm:sqref>
        </x14:conditionalFormatting>
        <x14:conditionalFormatting xmlns:xm="http://schemas.microsoft.com/office/excel/2006/main">
          <x14:cfRule type="expression" priority="2249" id="{D64BE3C6-7FDA-468C-8A28-C862508A24D6}">
            <xm:f>$S$8='Assessment Details'!$Q$23</xm:f>
            <x14:dxf>
              <border>
                <left style="thin">
                  <color theme="0"/>
                </left>
                <right style="thin">
                  <color theme="0"/>
                </right>
                <top style="thin">
                  <color theme="0"/>
                </top>
                <bottom style="thin">
                  <color theme="0"/>
                </bottom>
                <vertical/>
                <horizontal/>
              </border>
            </x14:dxf>
          </x14:cfRule>
          <x14:cfRule type="expression" priority="2250" id="{4C57F81C-C296-4591-8038-E0A5D9376C47}">
            <xm:f>$S$8='Assessment Details'!$Q$23</xm:f>
            <x14:dxf>
              <font>
                <color theme="0"/>
              </font>
              <fill>
                <patternFill>
                  <bgColor theme="0"/>
                </patternFill>
              </fill>
              <border>
                <vertical/>
                <horizontal/>
              </border>
            </x14:dxf>
          </x14:cfRule>
          <xm:sqref>N68:N74</xm:sqref>
        </x14:conditionalFormatting>
        <x14:conditionalFormatting xmlns:xm="http://schemas.microsoft.com/office/excel/2006/main">
          <x14:cfRule type="expression" priority="146" id="{040902CE-9860-413B-A8E8-2BA69DC644F4}">
            <xm:f>$S$8='Assessment Details'!$Q$23</xm:f>
            <x14:dxf>
              <font>
                <color theme="0"/>
              </font>
              <fill>
                <patternFill>
                  <bgColor theme="0"/>
                </patternFill>
              </fill>
              <border>
                <vertical/>
                <horizontal/>
              </border>
            </x14:dxf>
          </x14:cfRule>
          <x14:cfRule type="expression" priority="145" id="{7D7C6925-A257-49BE-A707-A28D0318336B}">
            <xm:f>$S$8='Assessment Details'!$Q$23</xm:f>
            <x14:dxf>
              <border>
                <left style="thin">
                  <color theme="0"/>
                </left>
                <right style="thin">
                  <color theme="0"/>
                </right>
                <top style="thin">
                  <color theme="0"/>
                </top>
                <bottom style="thin">
                  <color theme="0"/>
                </bottom>
                <vertical/>
                <horizontal/>
              </border>
            </x14:dxf>
          </x14:cfRule>
          <xm:sqref>N71</xm:sqref>
        </x14:conditionalFormatting>
        <x14:conditionalFormatting xmlns:xm="http://schemas.microsoft.com/office/excel/2006/main">
          <x14:cfRule type="expression" priority="2221" id="{624BDA07-2E5A-4BB8-AB05-9D1324B44598}">
            <xm:f>$S$8='Assessment Details'!$Q$23</xm:f>
            <x14:dxf>
              <font>
                <color theme="0"/>
              </font>
              <fill>
                <patternFill>
                  <bgColor theme="0"/>
                </patternFill>
              </fill>
              <border>
                <vertical/>
                <horizontal/>
              </border>
            </x14:dxf>
          </x14:cfRule>
          <x14:cfRule type="expression" priority="2220" id="{C8D83D7C-7FCA-43B9-8A56-98275D98F953}">
            <xm:f>$S$8='Assessment Details'!$Q$23</xm:f>
            <x14:dxf>
              <border>
                <left style="thin">
                  <color theme="0"/>
                </left>
                <right style="thin">
                  <color theme="0"/>
                </right>
                <top style="thin">
                  <color theme="0"/>
                </top>
                <bottom style="thin">
                  <color theme="0"/>
                </bottom>
                <vertical/>
                <horizontal/>
              </border>
            </x14:dxf>
          </x14:cfRule>
          <xm:sqref>N76:N78</xm:sqref>
        </x14:conditionalFormatting>
        <x14:conditionalFormatting xmlns:xm="http://schemas.microsoft.com/office/excel/2006/main">
          <x14:cfRule type="expression" priority="2191" id="{AAF2E691-E93D-4F1C-9C1D-49345DC5D20C}">
            <xm:f>$S$8='Assessment Details'!$Q$23</xm:f>
            <x14:dxf>
              <border>
                <left style="thin">
                  <color theme="0"/>
                </left>
                <right style="thin">
                  <color theme="0"/>
                </right>
                <top style="thin">
                  <color theme="0"/>
                </top>
                <bottom style="thin">
                  <color theme="0"/>
                </bottom>
                <vertical/>
                <horizontal/>
              </border>
            </x14:dxf>
          </x14:cfRule>
          <x14:cfRule type="expression" priority="2192" id="{3AB8F301-5249-4A01-8980-347F6CBB67AA}">
            <xm:f>$S$8='Assessment Details'!$Q$23</xm:f>
            <x14:dxf>
              <font>
                <color theme="0"/>
              </font>
              <fill>
                <patternFill>
                  <bgColor theme="0"/>
                </patternFill>
              </fill>
              <border>
                <vertical/>
                <horizontal/>
              </border>
            </x14:dxf>
          </x14:cfRule>
          <xm:sqref>N80:N81</xm:sqref>
        </x14:conditionalFormatting>
        <x14:conditionalFormatting xmlns:xm="http://schemas.microsoft.com/office/excel/2006/main">
          <x14:cfRule type="expression" priority="2162" id="{DFA2286E-5E2D-490A-B777-279B25DA5D7A}">
            <xm:f>$S$8='Assessment Details'!$Q$23</xm:f>
            <x14:dxf>
              <border>
                <left style="thin">
                  <color theme="0"/>
                </left>
                <right style="thin">
                  <color theme="0"/>
                </right>
                <top style="thin">
                  <color theme="0"/>
                </top>
                <bottom style="thin">
                  <color theme="0"/>
                </bottom>
                <vertical/>
                <horizontal/>
              </border>
            </x14:dxf>
          </x14:cfRule>
          <x14:cfRule type="expression" priority="2163" id="{8639024F-F23F-4E81-8DB4-60196403B34E}">
            <xm:f>$S$8='Assessment Details'!$Q$23</xm:f>
            <x14:dxf>
              <font>
                <color theme="0"/>
              </font>
              <fill>
                <patternFill>
                  <bgColor theme="0"/>
                </patternFill>
              </fill>
              <border>
                <vertical/>
                <horizontal/>
              </border>
            </x14:dxf>
          </x14:cfRule>
          <xm:sqref>N83:N84</xm:sqref>
        </x14:conditionalFormatting>
        <x14:conditionalFormatting xmlns:xm="http://schemas.microsoft.com/office/excel/2006/main">
          <x14:cfRule type="expression" priority="761" id="{5A63F7A5-EDFA-41B7-9A2B-2E3B5AC6501F}">
            <xm:f>$S$8='Assessment Details'!$Q$23</xm:f>
            <x14:dxf>
              <font>
                <color theme="0"/>
              </font>
              <fill>
                <patternFill>
                  <bgColor theme="0"/>
                </patternFill>
              </fill>
              <border>
                <vertical/>
                <horizontal/>
              </border>
            </x14:dxf>
          </x14:cfRule>
          <xm:sqref>N86:N87</xm:sqref>
        </x14:conditionalFormatting>
        <x14:conditionalFormatting xmlns:xm="http://schemas.microsoft.com/office/excel/2006/main">
          <x14:cfRule type="expression" priority="760" id="{A2822926-0CDC-469D-810E-34D85549DB66}">
            <xm:f>$S$8='Assessment Details'!$Q$23</xm:f>
            <x14:dxf>
              <border>
                <left style="thin">
                  <color theme="0"/>
                </left>
                <right style="thin">
                  <color theme="0"/>
                </right>
                <top style="thin">
                  <color theme="0"/>
                </top>
                <bottom style="thin">
                  <color theme="0"/>
                </bottom>
                <vertical/>
                <horizontal/>
              </border>
            </x14:dxf>
          </x14:cfRule>
          <xm:sqref>N86:N88</xm:sqref>
        </x14:conditionalFormatting>
        <x14:conditionalFormatting xmlns:xm="http://schemas.microsoft.com/office/excel/2006/main">
          <x14:cfRule type="expression" priority="2105" id="{8C27B10B-C236-44AF-9911-EDBB50120527}">
            <xm:f>$S$8='Assessment Details'!$Q$23</xm:f>
            <x14:dxf>
              <font>
                <color theme="0"/>
              </font>
              <fill>
                <patternFill>
                  <bgColor theme="0"/>
                </patternFill>
              </fill>
              <border>
                <vertical/>
                <horizontal/>
              </border>
            </x14:dxf>
          </x14:cfRule>
          <x14:cfRule type="expression" priority="2104" id="{674A6998-AEE3-4066-906F-6FD4CBB1F6BC}">
            <xm:f>$S$8='Assessment Details'!$Q$23</xm:f>
            <x14:dxf>
              <border>
                <left style="thin">
                  <color theme="0"/>
                </left>
                <right style="thin">
                  <color theme="0"/>
                </right>
                <top style="thin">
                  <color theme="0"/>
                </top>
                <bottom style="thin">
                  <color theme="0"/>
                </bottom>
                <vertical/>
                <horizontal/>
              </border>
            </x14:dxf>
          </x14:cfRule>
          <xm:sqref>N90:N91</xm:sqref>
        </x14:conditionalFormatting>
        <x14:conditionalFormatting xmlns:xm="http://schemas.microsoft.com/office/excel/2006/main">
          <x14:cfRule type="expression" priority="2076" id="{F752570C-D2FC-4EFE-83D9-62BB7B2F3170}">
            <xm:f>$S$8='Assessment Details'!$Q$23</xm:f>
            <x14:dxf>
              <font>
                <color theme="0"/>
              </font>
              <fill>
                <patternFill>
                  <bgColor theme="0"/>
                </patternFill>
              </fill>
              <border>
                <vertical/>
                <horizontal/>
              </border>
            </x14:dxf>
          </x14:cfRule>
          <xm:sqref>N93</xm:sqref>
        </x14:conditionalFormatting>
        <x14:conditionalFormatting xmlns:xm="http://schemas.microsoft.com/office/excel/2006/main">
          <x14:cfRule type="expression" priority="2075" id="{AD315150-4F01-4163-BD4B-6271BC05F848}">
            <xm:f>$S$8='Assessment Details'!$Q$23</xm:f>
            <x14:dxf>
              <border>
                <left style="thin">
                  <color theme="0"/>
                </left>
                <right style="thin">
                  <color theme="0"/>
                </right>
                <top style="thin">
                  <color theme="0"/>
                </top>
                <bottom style="thin">
                  <color theme="0"/>
                </bottom>
                <vertical/>
                <horizontal/>
              </border>
            </x14:dxf>
          </x14:cfRule>
          <xm:sqref>N93:N94</xm:sqref>
        </x14:conditionalFormatting>
        <x14:conditionalFormatting xmlns:xm="http://schemas.microsoft.com/office/excel/2006/main">
          <x14:cfRule type="expression" priority="2046" id="{577E7415-B426-4761-969E-525C3026E8FA}">
            <xm:f>$S$8='Assessment Details'!$Q$23</xm:f>
            <x14:dxf>
              <border>
                <left style="thin">
                  <color theme="0"/>
                </left>
                <right style="thin">
                  <color theme="0"/>
                </right>
                <top style="thin">
                  <color theme="0"/>
                </top>
                <bottom style="thin">
                  <color theme="0"/>
                </bottom>
                <vertical/>
                <horizontal/>
              </border>
            </x14:dxf>
          </x14:cfRule>
          <x14:cfRule type="expression" priority="2047" id="{C07C2A46-91E7-4772-8CA9-25391F1186D4}">
            <xm:f>$S$8='Assessment Details'!$Q$23</xm:f>
            <x14:dxf>
              <font>
                <color theme="0"/>
              </font>
              <fill>
                <patternFill>
                  <bgColor theme="0"/>
                </patternFill>
              </fill>
              <border>
                <vertical/>
                <horizontal/>
              </border>
            </x14:dxf>
          </x14:cfRule>
          <xm:sqref>N98:N99</xm:sqref>
        </x14:conditionalFormatting>
        <x14:conditionalFormatting xmlns:xm="http://schemas.microsoft.com/office/excel/2006/main">
          <x14:cfRule type="expression" priority="709" id="{2ACB8806-BB00-4EEF-9AEF-4CAF9A1EE119}">
            <xm:f>$S$8='Assessment Details'!$Q$23</xm:f>
            <x14:dxf>
              <font>
                <color theme="0"/>
              </font>
              <fill>
                <patternFill>
                  <bgColor theme="0"/>
                </patternFill>
              </fill>
              <border>
                <vertical/>
                <horizontal/>
              </border>
            </x14:dxf>
          </x14:cfRule>
          <xm:sqref>N101:N102</xm:sqref>
        </x14:conditionalFormatting>
        <x14:conditionalFormatting xmlns:xm="http://schemas.microsoft.com/office/excel/2006/main">
          <x14:cfRule type="expression" priority="708" id="{F31C36FB-66C8-460F-8266-75E37A5CC967}">
            <xm:f>$S$8='Assessment Details'!$Q$23</xm:f>
            <x14:dxf>
              <border>
                <left style="thin">
                  <color theme="0"/>
                </left>
                <right style="thin">
                  <color theme="0"/>
                </right>
                <top style="thin">
                  <color theme="0"/>
                </top>
                <bottom style="thin">
                  <color theme="0"/>
                </bottom>
                <vertical/>
                <horizontal/>
              </border>
            </x14:dxf>
          </x14:cfRule>
          <xm:sqref>N101:N103</xm:sqref>
        </x14:conditionalFormatting>
        <x14:conditionalFormatting xmlns:xm="http://schemas.microsoft.com/office/excel/2006/main">
          <x14:cfRule type="expression" priority="110" id="{F61E8D86-FBC6-461B-A60D-D5BFFB0DC163}">
            <xm:f>$S$8='Assessment Details'!$Q$23</xm:f>
            <x14:dxf>
              <border>
                <left style="thin">
                  <color theme="0"/>
                </left>
                <right style="thin">
                  <color theme="0"/>
                </right>
                <top style="thin">
                  <color theme="0"/>
                </top>
                <bottom style="thin">
                  <color theme="0"/>
                </bottom>
                <vertical/>
                <horizontal/>
              </border>
            </x14:dxf>
          </x14:cfRule>
          <xm:sqref>N107</xm:sqref>
        </x14:conditionalFormatting>
        <x14:conditionalFormatting xmlns:xm="http://schemas.microsoft.com/office/excel/2006/main">
          <x14:cfRule type="expression" priority="111" id="{BE0F4463-68BB-4278-8FD3-470859EB0CEF}">
            <xm:f>$S$8='Assessment Details'!$Q$23</xm:f>
            <x14:dxf>
              <font>
                <color theme="0"/>
              </font>
              <fill>
                <patternFill>
                  <bgColor theme="0"/>
                </patternFill>
              </fill>
              <border>
                <vertical/>
                <horizontal/>
              </border>
            </x14:dxf>
          </x14:cfRule>
          <xm:sqref>N107:N108</xm:sqref>
        </x14:conditionalFormatting>
        <x14:conditionalFormatting xmlns:xm="http://schemas.microsoft.com/office/excel/2006/main">
          <x14:cfRule type="expression" priority="1988" id="{D68BEC66-5F6C-41F5-BE6C-DE5764BF0DC1}">
            <xm:f>$S$8='Assessment Details'!$Q$23</xm:f>
            <x14:dxf>
              <border>
                <left style="thin">
                  <color theme="0"/>
                </left>
                <right style="thin">
                  <color theme="0"/>
                </right>
                <top style="thin">
                  <color theme="0"/>
                </top>
                <bottom style="thin">
                  <color theme="0"/>
                </bottom>
                <vertical/>
                <horizontal/>
              </border>
            </x14:dxf>
          </x14:cfRule>
          <xm:sqref>N108</xm:sqref>
        </x14:conditionalFormatting>
        <x14:conditionalFormatting xmlns:xm="http://schemas.microsoft.com/office/excel/2006/main">
          <x14:cfRule type="expression" priority="1959" id="{E6FA7601-77CD-4AE7-992B-729BB6BD7E1A}">
            <xm:f>$S$8='Assessment Details'!$Q$23</xm:f>
            <x14:dxf>
              <border>
                <left style="thin">
                  <color theme="0"/>
                </left>
                <right style="thin">
                  <color theme="0"/>
                </right>
                <top style="thin">
                  <color theme="0"/>
                </top>
                <bottom style="thin">
                  <color theme="0"/>
                </bottom>
                <vertical/>
                <horizontal/>
              </border>
            </x14:dxf>
          </x14:cfRule>
          <x14:cfRule type="expression" priority="1960" id="{7B2A31D0-1B1D-40B1-A127-9805B0DD5AF0}">
            <xm:f>$S$8='Assessment Details'!$Q$23</xm:f>
            <x14:dxf>
              <font>
                <color theme="0"/>
              </font>
              <fill>
                <patternFill>
                  <bgColor theme="0"/>
                </patternFill>
              </fill>
              <border>
                <vertical/>
                <horizontal/>
              </border>
            </x14:dxf>
          </x14:cfRule>
          <xm:sqref>N110</xm:sqref>
        </x14:conditionalFormatting>
        <x14:conditionalFormatting xmlns:xm="http://schemas.microsoft.com/office/excel/2006/main">
          <x14:cfRule type="expression" priority="1930" id="{0CC88DFC-5A80-49DF-8B48-B6A3B1455E8E}">
            <xm:f>$S$8='Assessment Details'!$Q$23</xm:f>
            <x14:dxf>
              <border>
                <left style="thin">
                  <color theme="0"/>
                </left>
                <right style="thin">
                  <color theme="0"/>
                </right>
                <top style="thin">
                  <color theme="0"/>
                </top>
                <bottom style="thin">
                  <color theme="0"/>
                </bottom>
                <vertical/>
                <horizontal/>
              </border>
            </x14:dxf>
          </x14:cfRule>
          <x14:cfRule type="expression" priority="1931" id="{32892BEA-02D1-45A9-8A5E-FD88AD203770}">
            <xm:f>$S$8='Assessment Details'!$Q$23</xm:f>
            <x14:dxf>
              <font>
                <color theme="0"/>
              </font>
              <fill>
                <patternFill>
                  <bgColor theme="0"/>
                </patternFill>
              </fill>
              <border>
                <vertical/>
                <horizontal/>
              </border>
            </x14:dxf>
          </x14:cfRule>
          <xm:sqref>N112:N114</xm:sqref>
        </x14:conditionalFormatting>
        <x14:conditionalFormatting xmlns:xm="http://schemas.microsoft.com/office/excel/2006/main">
          <x14:cfRule type="expression" priority="1902" id="{68C9DA0A-41E6-4F15-A030-01D389F3B82A}">
            <xm:f>$S$8='Assessment Details'!$Q$23</xm:f>
            <x14:dxf>
              <font>
                <color theme="0"/>
              </font>
              <fill>
                <patternFill>
                  <bgColor theme="0"/>
                </patternFill>
              </fill>
              <border>
                <vertical/>
                <horizontal/>
              </border>
            </x14:dxf>
          </x14:cfRule>
          <xm:sqref>N116</xm:sqref>
        </x14:conditionalFormatting>
        <x14:conditionalFormatting xmlns:xm="http://schemas.microsoft.com/office/excel/2006/main">
          <x14:cfRule type="expression" priority="1901" id="{465F5CC7-097C-46A4-B3E3-D5C4711C66D2}">
            <xm:f>$S$8='Assessment Details'!$Q$23</xm:f>
            <x14:dxf>
              <border>
                <left style="thin">
                  <color theme="0"/>
                </left>
                <right style="thin">
                  <color theme="0"/>
                </right>
                <top style="thin">
                  <color theme="0"/>
                </top>
                <bottom style="thin">
                  <color theme="0"/>
                </bottom>
                <vertical/>
                <horizontal/>
              </border>
            </x14:dxf>
          </x14:cfRule>
          <xm:sqref>N116:N117</xm:sqref>
        </x14:conditionalFormatting>
        <x14:conditionalFormatting xmlns:xm="http://schemas.microsoft.com/office/excel/2006/main">
          <x14:cfRule type="expression" priority="999" id="{A1C72D73-A9A2-4173-B170-EA428AE8FCE0}">
            <xm:f>$S$8='Assessment Details'!$Q$23</xm:f>
            <x14:dxf>
              <font>
                <color theme="0"/>
              </font>
              <fill>
                <patternFill>
                  <bgColor theme="0"/>
                </patternFill>
              </fill>
              <border>
                <vertical/>
                <horizontal/>
              </border>
            </x14:dxf>
          </x14:cfRule>
          <x14:cfRule type="expression" priority="998" id="{C332B9BF-6CBB-4400-A162-14E1CE03FA30}">
            <xm:f>$S$8='Assessment Details'!$Q$23</xm:f>
            <x14:dxf>
              <border>
                <left style="thin">
                  <color theme="0"/>
                </left>
                <right style="thin">
                  <color theme="0"/>
                </right>
                <top style="thin">
                  <color theme="0"/>
                </top>
                <bottom style="thin">
                  <color theme="0"/>
                </bottom>
                <vertical/>
                <horizontal/>
              </border>
            </x14:dxf>
          </x14:cfRule>
          <xm:sqref>N121:N123</xm:sqref>
        </x14:conditionalFormatting>
        <x14:conditionalFormatting xmlns:xm="http://schemas.microsoft.com/office/excel/2006/main">
          <x14:cfRule type="expression" priority="994" id="{0F71D829-C403-4643-9F3F-9308293F6A30}">
            <xm:f>$S$8='Assessment Details'!$Q$23</xm:f>
            <x14:dxf>
              <border>
                <left style="thin">
                  <color theme="0"/>
                </left>
                <right style="thin">
                  <color theme="0"/>
                </right>
                <top style="thin">
                  <color theme="0"/>
                </top>
                <bottom style="thin">
                  <color theme="0"/>
                </bottom>
                <vertical/>
                <horizontal/>
              </border>
            </x14:dxf>
          </x14:cfRule>
          <x14:cfRule type="expression" priority="995" id="{0CA13EFB-5FAE-443D-AAEA-19BF3CBA73DF}">
            <xm:f>$S$8='Assessment Details'!$Q$23</xm:f>
            <x14:dxf>
              <font>
                <color theme="0"/>
              </font>
              <fill>
                <patternFill>
                  <bgColor theme="0"/>
                </patternFill>
              </fill>
              <border>
                <vertical/>
                <horizontal/>
              </border>
            </x14:dxf>
          </x14:cfRule>
          <xm:sqref>N125:N127</xm:sqref>
        </x14:conditionalFormatting>
        <x14:conditionalFormatting xmlns:xm="http://schemas.microsoft.com/office/excel/2006/main">
          <x14:cfRule type="expression" priority="991" id="{9AB21409-CDEA-4079-BDC1-9A141F03A66C}">
            <xm:f>$S$8='Assessment Details'!$Q$23</xm:f>
            <x14:dxf>
              <font>
                <color theme="0"/>
              </font>
              <fill>
                <patternFill>
                  <bgColor theme="0"/>
                </patternFill>
              </fill>
              <border>
                <vertical/>
                <horizontal/>
              </border>
            </x14:dxf>
          </x14:cfRule>
          <x14:cfRule type="expression" priority="990" id="{F5414219-E047-4E00-B627-ED7355889037}">
            <xm:f>$S$8='Assessment Details'!$Q$23</xm:f>
            <x14:dxf>
              <border>
                <left style="thin">
                  <color theme="0"/>
                </left>
                <right style="thin">
                  <color theme="0"/>
                </right>
                <top style="thin">
                  <color theme="0"/>
                </top>
                <bottom style="thin">
                  <color theme="0"/>
                </bottom>
                <vertical/>
                <horizontal/>
              </border>
            </x14:dxf>
          </x14:cfRule>
          <xm:sqref>N129:N131</xm:sqref>
        </x14:conditionalFormatting>
        <x14:conditionalFormatting xmlns:xm="http://schemas.microsoft.com/office/excel/2006/main">
          <x14:cfRule type="expression" priority="904" id="{B2517199-400D-4E79-BB0C-8BD036B7C495}">
            <xm:f>$S$8='Assessment Details'!$Q$23</xm:f>
            <x14:dxf>
              <font>
                <color theme="0"/>
              </font>
              <fill>
                <patternFill>
                  <bgColor theme="0"/>
                </patternFill>
              </fill>
              <border>
                <vertical/>
                <horizontal/>
              </border>
            </x14:dxf>
          </x14:cfRule>
          <x14:cfRule type="expression" priority="903" id="{671B9F9F-87A1-4E8F-887D-B1C37FC1C2D5}">
            <xm:f>$S$8='Assessment Details'!$Q$23</xm:f>
            <x14:dxf>
              <border>
                <left style="thin">
                  <color theme="0"/>
                </left>
                <right style="thin">
                  <color theme="0"/>
                </right>
                <top style="thin">
                  <color theme="0"/>
                </top>
                <bottom style="thin">
                  <color theme="0"/>
                </bottom>
                <vertical/>
                <horizontal/>
              </border>
            </x14:dxf>
          </x14:cfRule>
          <xm:sqref>N133:N137</xm:sqref>
        </x14:conditionalFormatting>
        <x14:conditionalFormatting xmlns:xm="http://schemas.microsoft.com/office/excel/2006/main">
          <x14:cfRule type="expression" priority="31" id="{C91DA647-F13F-4C74-BD17-677CB8B5CA84}">
            <xm:f>$S$8='Assessment Details'!$Q$23</xm:f>
            <x14:dxf>
              <border>
                <left style="thin">
                  <color theme="0"/>
                </left>
                <right style="thin">
                  <color theme="0"/>
                </right>
                <top style="thin">
                  <color theme="0"/>
                </top>
                <bottom style="thin">
                  <color theme="0"/>
                </bottom>
                <vertical/>
                <horizontal/>
              </border>
            </x14:dxf>
          </x14:cfRule>
          <xm:sqref>N139</xm:sqref>
        </x14:conditionalFormatting>
        <x14:conditionalFormatting xmlns:xm="http://schemas.microsoft.com/office/excel/2006/main">
          <x14:cfRule type="expression" priority="32" id="{FA10BCCD-5F13-4B32-AEE2-32308139C0B9}">
            <xm:f>$S$8='Assessment Details'!$Q$23</xm:f>
            <x14:dxf>
              <font>
                <color theme="0"/>
              </font>
              <fill>
                <patternFill>
                  <bgColor theme="0"/>
                </patternFill>
              </fill>
              <border>
                <vertical/>
                <horizontal/>
              </border>
            </x14:dxf>
          </x14:cfRule>
          <xm:sqref>N139:N142</xm:sqref>
        </x14:conditionalFormatting>
        <x14:conditionalFormatting xmlns:xm="http://schemas.microsoft.com/office/excel/2006/main">
          <x14:cfRule type="expression" priority="1727" id="{5C2D7F45-EF4C-4E07-804B-000117299471}">
            <xm:f>$S$8='Assessment Details'!$Q$23</xm:f>
            <x14:dxf>
              <border>
                <left style="thin">
                  <color theme="0"/>
                </left>
                <right style="thin">
                  <color theme="0"/>
                </right>
                <top style="thin">
                  <color theme="0"/>
                </top>
                <bottom style="thin">
                  <color theme="0"/>
                </bottom>
                <vertical/>
                <horizontal/>
              </border>
            </x14:dxf>
          </x14:cfRule>
          <xm:sqref>N140:N142</xm:sqref>
        </x14:conditionalFormatting>
        <x14:conditionalFormatting xmlns:xm="http://schemas.microsoft.com/office/excel/2006/main">
          <x14:cfRule type="expression" priority="1699" id="{67140F08-C9FC-46DD-A0AB-3302CF0056E4}">
            <xm:f>$S$8='Assessment Details'!$Q$23</xm:f>
            <x14:dxf>
              <font>
                <color theme="0"/>
              </font>
              <fill>
                <patternFill>
                  <bgColor theme="0"/>
                </patternFill>
              </fill>
              <border>
                <vertical/>
                <horizontal/>
              </border>
            </x14:dxf>
          </x14:cfRule>
          <xm:sqref>N144:N146</xm:sqref>
        </x14:conditionalFormatting>
        <x14:conditionalFormatting xmlns:xm="http://schemas.microsoft.com/office/excel/2006/main">
          <x14:cfRule type="expression" priority="1698" id="{A85ACC34-0D8B-4107-8A96-E3B853C679FE}">
            <xm:f>$S$8='Assessment Details'!$Q$23</xm:f>
            <x14:dxf>
              <border>
                <left style="thin">
                  <color theme="0"/>
                </left>
                <right style="thin">
                  <color theme="0"/>
                </right>
                <top style="thin">
                  <color theme="0"/>
                </top>
                <bottom style="thin">
                  <color theme="0"/>
                </bottom>
                <vertical/>
                <horizontal/>
              </border>
            </x14:dxf>
          </x14:cfRule>
          <xm:sqref>N144:N147</xm:sqref>
        </x14:conditionalFormatting>
        <x14:conditionalFormatting xmlns:xm="http://schemas.microsoft.com/office/excel/2006/main">
          <x14:cfRule type="expression" priority="69" id="{9C496002-7880-4E5F-A2AA-9F9108443287}">
            <xm:f>$S$8='Assessment Details'!$Q$23</xm:f>
            <x14:dxf>
              <border>
                <left style="thin">
                  <color theme="0"/>
                </left>
                <right style="thin">
                  <color theme="0"/>
                </right>
                <top style="thin">
                  <color theme="0"/>
                </top>
                <bottom style="thin">
                  <color theme="0"/>
                </bottom>
                <vertical/>
                <horizontal/>
              </border>
            </x14:dxf>
          </x14:cfRule>
          <xm:sqref>N151</xm:sqref>
        </x14:conditionalFormatting>
        <x14:conditionalFormatting xmlns:xm="http://schemas.microsoft.com/office/excel/2006/main">
          <x14:cfRule type="expression" priority="70" id="{3880FE7C-F2DB-48D7-81FE-42D1DC40F41C}">
            <xm:f>$S$8='Assessment Details'!$Q$23</xm:f>
            <x14:dxf>
              <font>
                <color theme="0"/>
              </font>
              <fill>
                <patternFill>
                  <bgColor theme="0"/>
                </patternFill>
              </fill>
              <border>
                <vertical/>
                <horizontal/>
              </border>
            </x14:dxf>
          </x14:cfRule>
          <xm:sqref>N151:N155</xm:sqref>
        </x14:conditionalFormatting>
        <x14:conditionalFormatting xmlns:xm="http://schemas.microsoft.com/office/excel/2006/main">
          <x14:cfRule type="expression" priority="210" id="{B351332A-CDBD-4BF2-B68B-54A083937E14}">
            <xm:f>$S$8='Assessment Details'!$Q$23</xm:f>
            <x14:dxf>
              <border>
                <left style="thin">
                  <color theme="0"/>
                </left>
                <right style="thin">
                  <color theme="0"/>
                </right>
                <top style="thin">
                  <color theme="0"/>
                </top>
                <bottom style="thin">
                  <color theme="0"/>
                </bottom>
                <vertical/>
                <horizontal/>
              </border>
            </x14:dxf>
          </x14:cfRule>
          <xm:sqref>N152:N155</xm:sqref>
        </x14:conditionalFormatting>
        <x14:conditionalFormatting xmlns:xm="http://schemas.microsoft.com/office/excel/2006/main">
          <x14:cfRule type="expression" priority="1640" id="{94DD3C6F-C113-46B5-9523-B3A9F444C760}">
            <xm:f>$S$8='Assessment Details'!$Q$23</xm:f>
            <x14:dxf>
              <border>
                <left style="thin">
                  <color theme="0"/>
                </left>
                <right style="thin">
                  <color theme="0"/>
                </right>
                <top style="thin">
                  <color theme="0"/>
                </top>
                <bottom style="thin">
                  <color theme="0"/>
                </bottom>
                <vertical/>
                <horizontal/>
              </border>
            </x14:dxf>
          </x14:cfRule>
          <x14:cfRule type="expression" priority="1641" id="{8111D68C-ED4E-4E20-A6EF-766488248D03}">
            <xm:f>$S$8='Assessment Details'!$Q$23</xm:f>
            <x14:dxf>
              <font>
                <color theme="0"/>
              </font>
              <fill>
                <patternFill>
                  <bgColor theme="0"/>
                </patternFill>
              </fill>
              <border>
                <vertical/>
                <horizontal/>
              </border>
            </x14:dxf>
          </x14:cfRule>
          <xm:sqref>N157</xm:sqref>
        </x14:conditionalFormatting>
        <x14:conditionalFormatting xmlns:xm="http://schemas.microsoft.com/office/excel/2006/main">
          <x14:cfRule type="expression" priority="1612" id="{E93C857C-28FB-4390-B46A-FF8DF2C14CA9}">
            <xm:f>$S$8='Assessment Details'!$Q$23</xm:f>
            <x14:dxf>
              <font>
                <color theme="0"/>
              </font>
              <fill>
                <patternFill>
                  <bgColor theme="0"/>
                </patternFill>
              </fill>
              <border>
                <vertical/>
                <horizontal/>
              </border>
            </x14:dxf>
          </x14:cfRule>
          <x14:cfRule type="expression" priority="1611" id="{FB83C662-E61F-403A-B5C3-A775A006BD5A}">
            <xm:f>$S$8='Assessment Details'!$Q$23</xm:f>
            <x14:dxf>
              <border>
                <left style="thin">
                  <color theme="0"/>
                </left>
                <right style="thin">
                  <color theme="0"/>
                </right>
                <top style="thin">
                  <color theme="0"/>
                </top>
                <bottom style="thin">
                  <color theme="0"/>
                </bottom>
                <vertical/>
                <horizontal/>
              </border>
            </x14:dxf>
          </x14:cfRule>
          <xm:sqref>N159</xm:sqref>
        </x14:conditionalFormatting>
        <x14:conditionalFormatting xmlns:xm="http://schemas.microsoft.com/office/excel/2006/main">
          <x14:cfRule type="expression" priority="1583" id="{B5BAF25E-EFB2-4473-9E7D-9B148D482A30}">
            <xm:f>$S$8='Assessment Details'!$Q$23</xm:f>
            <x14:dxf>
              <font>
                <color theme="0"/>
              </font>
              <fill>
                <patternFill>
                  <bgColor theme="0"/>
                </patternFill>
              </fill>
              <border>
                <vertical/>
                <horizontal/>
              </border>
            </x14:dxf>
          </x14:cfRule>
          <xm:sqref>N161</xm:sqref>
        </x14:conditionalFormatting>
        <x14:conditionalFormatting xmlns:xm="http://schemas.microsoft.com/office/excel/2006/main">
          <x14:cfRule type="expression" priority="1582" id="{C3B1ECA9-75EA-4F8E-A27C-14108B7F0209}">
            <xm:f>$S$8='Assessment Details'!$Q$23</xm:f>
            <x14:dxf>
              <border>
                <left style="thin">
                  <color theme="0"/>
                </left>
                <right style="thin">
                  <color theme="0"/>
                </right>
                <top style="thin">
                  <color theme="0"/>
                </top>
                <bottom style="thin">
                  <color theme="0"/>
                </bottom>
                <vertical/>
                <horizontal/>
              </border>
            </x14:dxf>
          </x14:cfRule>
          <xm:sqref>N161:N162</xm:sqref>
        </x14:conditionalFormatting>
        <x14:conditionalFormatting xmlns:xm="http://schemas.microsoft.com/office/excel/2006/main">
          <x14:cfRule type="expression" priority="174" id="{09CA425F-C18C-4B7E-B211-7F4BD61EB152}">
            <xm:f>$S$8='Assessment Details'!$Q$23</xm:f>
            <x14:dxf>
              <border>
                <left style="thin">
                  <color theme="0"/>
                </left>
                <right style="thin">
                  <color theme="0"/>
                </right>
                <top style="thin">
                  <color theme="0"/>
                </top>
                <bottom style="thin">
                  <color theme="0"/>
                </bottom>
                <vertical/>
                <horizontal/>
              </border>
            </x14:dxf>
          </x14:cfRule>
          <x14:cfRule type="expression" priority="175" id="{934EF046-70D2-46EA-81CD-20AF2A8CEC09}">
            <xm:f>$S$8='Assessment Details'!$Q$23</xm:f>
            <x14:dxf>
              <font>
                <color theme="0"/>
              </font>
              <fill>
                <patternFill>
                  <bgColor theme="0"/>
                </patternFill>
              </fill>
              <border>
                <vertical/>
                <horizontal/>
              </border>
            </x14:dxf>
          </x14:cfRule>
          <xm:sqref>N166:N167</xm:sqref>
        </x14:conditionalFormatting>
        <x14:conditionalFormatting xmlns:xm="http://schemas.microsoft.com/office/excel/2006/main">
          <x14:cfRule type="expression" priority="983" id="{B4BB3E1A-7AFC-461C-AA75-FD582653BF7C}">
            <xm:f>$S$8='Assessment Details'!$Q$23</xm:f>
            <x14:dxf>
              <font>
                <color theme="0"/>
              </font>
              <fill>
                <patternFill>
                  <bgColor theme="0"/>
                </patternFill>
              </fill>
              <border>
                <vertical/>
                <horizontal/>
              </border>
            </x14:dxf>
          </x14:cfRule>
          <x14:cfRule type="expression" priority="982" id="{0C1307FD-EF1C-4875-A07B-1E2C833AB17E}">
            <xm:f>$S$8='Assessment Details'!$Q$23</xm:f>
            <x14:dxf>
              <border>
                <left style="thin">
                  <color theme="0"/>
                </left>
                <right style="thin">
                  <color theme="0"/>
                </right>
                <top style="thin">
                  <color theme="0"/>
                </top>
                <bottom style="thin">
                  <color theme="0"/>
                </bottom>
                <vertical/>
                <horizontal/>
              </border>
            </x14:dxf>
          </x14:cfRule>
          <xm:sqref>N169:N171</xm:sqref>
        </x14:conditionalFormatting>
        <x14:conditionalFormatting xmlns:xm="http://schemas.microsoft.com/office/excel/2006/main">
          <x14:cfRule type="expression" priority="1496" id="{3D1E988D-03DD-499C-BF68-CF1240BEC228}">
            <xm:f>$S$8='Assessment Details'!$Q$23</xm:f>
            <x14:dxf>
              <font>
                <color theme="0"/>
              </font>
              <fill>
                <patternFill>
                  <bgColor theme="0"/>
                </patternFill>
              </fill>
              <border>
                <vertical/>
                <horizontal/>
              </border>
            </x14:dxf>
          </x14:cfRule>
          <x14:cfRule type="expression" priority="1495" id="{FEA7069D-5280-4A3C-A382-371BE113ED55}">
            <xm:f>$S$8='Assessment Details'!$Q$23</xm:f>
            <x14:dxf>
              <border>
                <left style="thin">
                  <color theme="0"/>
                </left>
                <right style="thin">
                  <color theme="0"/>
                </right>
                <top style="thin">
                  <color theme="0"/>
                </top>
                <bottom style="thin">
                  <color theme="0"/>
                </bottom>
                <vertical/>
                <horizontal/>
              </border>
            </x14:dxf>
          </x14:cfRule>
          <xm:sqref>N174:N175</xm:sqref>
        </x14:conditionalFormatting>
        <x14:conditionalFormatting xmlns:xm="http://schemas.microsoft.com/office/excel/2006/main">
          <x14:cfRule type="expression" priority="975" id="{E15BC88D-C946-4E1A-BD75-8CEC8E32FC7D}">
            <xm:f>$S$8='Assessment Details'!$Q$23</xm:f>
            <x14:dxf>
              <font>
                <color theme="0"/>
              </font>
              <fill>
                <patternFill>
                  <bgColor theme="0"/>
                </patternFill>
              </fill>
              <border>
                <vertical/>
                <horizontal/>
              </border>
            </x14:dxf>
          </x14:cfRule>
          <x14:cfRule type="expression" priority="974" id="{D6BB9F8E-0A57-42E3-B5E1-7644F2DFCD46}">
            <xm:f>$S$8='Assessment Details'!$Q$23</xm:f>
            <x14:dxf>
              <border>
                <left style="thin">
                  <color theme="0"/>
                </left>
                <right style="thin">
                  <color theme="0"/>
                </right>
                <top style="thin">
                  <color theme="0"/>
                </top>
                <bottom style="thin">
                  <color theme="0"/>
                </bottom>
                <vertical/>
                <horizontal/>
              </border>
            </x14:dxf>
          </x14:cfRule>
          <xm:sqref>N177:N179</xm:sqref>
        </x14:conditionalFormatting>
        <x14:conditionalFormatting xmlns:xm="http://schemas.microsoft.com/office/excel/2006/main">
          <x14:cfRule type="expression" priority="971" id="{810D66C2-8584-47FB-BFB3-19127E2BA28A}">
            <xm:f>$S$8='Assessment Details'!$Q$23</xm:f>
            <x14:dxf>
              <font>
                <color theme="0"/>
              </font>
              <fill>
                <patternFill>
                  <bgColor theme="0"/>
                </patternFill>
              </fill>
              <border>
                <vertical/>
                <horizontal/>
              </border>
            </x14:dxf>
          </x14:cfRule>
          <x14:cfRule type="expression" priority="970" id="{B52E7EFA-7B11-4DBB-A261-0F30E0B8B818}">
            <xm:f>$S$8='Assessment Details'!$Q$23</xm:f>
            <x14:dxf>
              <border>
                <left style="thin">
                  <color theme="0"/>
                </left>
                <right style="thin">
                  <color theme="0"/>
                </right>
                <top style="thin">
                  <color theme="0"/>
                </top>
                <bottom style="thin">
                  <color theme="0"/>
                </bottom>
                <vertical/>
                <horizontal/>
              </border>
            </x14:dxf>
          </x14:cfRule>
          <xm:sqref>N181:N183</xm:sqref>
        </x14:conditionalFormatting>
        <x14:conditionalFormatting xmlns:xm="http://schemas.microsoft.com/office/excel/2006/main">
          <x14:cfRule type="expression" priority="1408" id="{5B227801-2A9F-4CD2-92E4-A213D0C938B8}">
            <xm:f>$S$8='Assessment Details'!$Q$23</xm:f>
            <x14:dxf>
              <border>
                <left style="thin">
                  <color theme="0"/>
                </left>
                <right style="thin">
                  <color theme="0"/>
                </right>
                <top style="thin">
                  <color theme="0"/>
                </top>
                <bottom style="thin">
                  <color theme="0"/>
                </bottom>
                <vertical/>
                <horizontal/>
              </border>
            </x14:dxf>
          </x14:cfRule>
          <x14:cfRule type="expression" priority="1409" id="{E871B02C-4848-4F5F-92CF-340A21D6C286}">
            <xm:f>$S$8='Assessment Details'!$Q$23</xm:f>
            <x14:dxf>
              <font>
                <color theme="0"/>
              </font>
              <fill>
                <patternFill>
                  <bgColor theme="0"/>
                </patternFill>
              </fill>
              <border>
                <vertical/>
                <horizontal/>
              </border>
            </x14:dxf>
          </x14:cfRule>
          <xm:sqref>N185</xm:sqref>
        </x14:conditionalFormatting>
        <x14:conditionalFormatting xmlns:xm="http://schemas.microsoft.com/office/excel/2006/main">
          <x14:cfRule type="expression" priority="967" id="{FCD7DC89-57F5-486F-A2F7-AF9377A04FA9}">
            <xm:f>$S$8='Assessment Details'!$Q$23</xm:f>
            <x14:dxf>
              <font>
                <color theme="0"/>
              </font>
              <fill>
                <patternFill>
                  <bgColor theme="0"/>
                </patternFill>
              </fill>
              <border>
                <vertical/>
                <horizontal/>
              </border>
            </x14:dxf>
          </x14:cfRule>
          <x14:cfRule type="expression" priority="966" id="{AB28594F-A99A-4757-BFE1-E7147E2E7D60}">
            <xm:f>$S$8='Assessment Details'!$Q$23</xm:f>
            <x14:dxf>
              <border>
                <left style="thin">
                  <color theme="0"/>
                </left>
                <right style="thin">
                  <color theme="0"/>
                </right>
                <top style="thin">
                  <color theme="0"/>
                </top>
                <bottom style="thin">
                  <color theme="0"/>
                </bottom>
                <vertical/>
                <horizontal/>
              </border>
            </x14:dxf>
          </x14:cfRule>
          <xm:sqref>N187:N188</xm:sqref>
        </x14:conditionalFormatting>
        <x14:conditionalFormatting xmlns:xm="http://schemas.microsoft.com/office/excel/2006/main">
          <x14:cfRule type="expression" priority="963" id="{9F3666A8-497C-45D2-A62F-5030F38C5965}">
            <xm:f>$S$8='Assessment Details'!$Q$23</xm:f>
            <x14:dxf>
              <font>
                <color theme="0"/>
              </font>
              <fill>
                <patternFill>
                  <bgColor theme="0"/>
                </patternFill>
              </fill>
              <border>
                <vertical/>
                <horizontal/>
              </border>
            </x14:dxf>
          </x14:cfRule>
          <xm:sqref>N190:N193</xm:sqref>
        </x14:conditionalFormatting>
        <x14:conditionalFormatting xmlns:xm="http://schemas.microsoft.com/office/excel/2006/main">
          <x14:cfRule type="expression" priority="962" id="{1F45E4FB-CB65-4365-B584-4E2C78889E6D}">
            <xm:f>$S$8='Assessment Details'!$Q$23</xm:f>
            <x14:dxf>
              <border>
                <left style="thin">
                  <color theme="0"/>
                </left>
                <right style="thin">
                  <color theme="0"/>
                </right>
                <top style="thin">
                  <color theme="0"/>
                </top>
                <bottom style="thin">
                  <color theme="0"/>
                </bottom>
                <vertical/>
                <horizontal/>
              </border>
            </x14:dxf>
          </x14:cfRule>
          <xm:sqref>N190:N194</xm:sqref>
        </x14:conditionalFormatting>
        <x14:conditionalFormatting xmlns:xm="http://schemas.microsoft.com/office/excel/2006/main">
          <x14:cfRule type="expression" priority="842" id="{E80368FD-C2FC-46DB-B8AC-3633FFC17C20}">
            <xm:f>$S$8='Assessment Details'!$Q$23</xm:f>
            <x14:dxf>
              <font>
                <color theme="0"/>
              </font>
              <fill>
                <patternFill>
                  <bgColor theme="0"/>
                </patternFill>
              </fill>
              <border>
                <vertical/>
                <horizontal/>
              </border>
            </x14:dxf>
          </x14:cfRule>
          <x14:cfRule type="expression" priority="841" id="{BD2F9586-8A9C-4136-BEF7-6BE1F2EAB39B}">
            <xm:f>$S$8='Assessment Details'!$Q$23</xm:f>
            <x14:dxf>
              <border>
                <left style="thin">
                  <color theme="0"/>
                </left>
                <right style="thin">
                  <color theme="0"/>
                </right>
                <top style="thin">
                  <color theme="0"/>
                </top>
                <bottom style="thin">
                  <color theme="0"/>
                </bottom>
                <vertical/>
                <horizontal/>
              </border>
            </x14:dxf>
          </x14:cfRule>
          <xm:sqref>N198:N201</xm:sqref>
        </x14:conditionalFormatting>
        <x14:conditionalFormatting xmlns:xm="http://schemas.microsoft.com/office/excel/2006/main">
          <x14:cfRule type="expression" priority="1293" id="{680C9B30-37B3-4797-A8FC-161D3F09DDD1}">
            <xm:f>$S$8='Assessment Details'!$Q$23</xm:f>
            <x14:dxf>
              <font>
                <color theme="0"/>
              </font>
              <fill>
                <patternFill>
                  <bgColor theme="0"/>
                </patternFill>
              </fill>
              <border>
                <vertical/>
                <horizontal/>
              </border>
            </x14:dxf>
          </x14:cfRule>
          <x14:cfRule type="expression" priority="1292" id="{AE7630F1-E9A4-4A8E-8513-61D2B0D218BD}">
            <xm:f>$S$8='Assessment Details'!$Q$23</xm:f>
            <x14:dxf>
              <border>
                <left style="thin">
                  <color theme="0"/>
                </left>
                <right style="thin">
                  <color theme="0"/>
                </right>
                <top style="thin">
                  <color theme="0"/>
                </top>
                <bottom style="thin">
                  <color theme="0"/>
                </bottom>
                <vertical/>
                <horizontal/>
              </border>
            </x14:dxf>
          </x14:cfRule>
          <xm:sqref>N203:N204</xm:sqref>
        </x14:conditionalFormatting>
        <x14:conditionalFormatting xmlns:xm="http://schemas.microsoft.com/office/excel/2006/main">
          <x14:cfRule type="expression" priority="1263" id="{D8E5C5B9-67F1-4EFA-AAF7-A49BD24BB822}">
            <xm:f>$S$8='Assessment Details'!$Q$23</xm:f>
            <x14:dxf>
              <border>
                <left style="thin">
                  <color theme="0"/>
                </left>
                <right style="thin">
                  <color theme="0"/>
                </right>
                <top style="thin">
                  <color theme="0"/>
                </top>
                <bottom style="thin">
                  <color theme="0"/>
                </bottom>
                <vertical/>
                <horizontal/>
              </border>
            </x14:dxf>
          </x14:cfRule>
          <x14:cfRule type="expression" priority="1264" id="{EA46645F-FDB6-46DD-AF04-1ACC11A62A19}">
            <xm:f>$S$8='Assessment Details'!$Q$23</xm:f>
            <x14:dxf>
              <font>
                <color theme="0"/>
              </font>
              <fill>
                <patternFill>
                  <bgColor theme="0"/>
                </patternFill>
              </fill>
              <border>
                <vertical/>
                <horizontal/>
              </border>
            </x14:dxf>
          </x14:cfRule>
          <xm:sqref>N206:N207</xm:sqref>
        </x14:conditionalFormatting>
        <x14:conditionalFormatting xmlns:xm="http://schemas.microsoft.com/office/excel/2006/main">
          <x14:cfRule type="expression" priority="1235" id="{3B117DA8-9379-4B2E-8949-4302D2DFF4CA}">
            <xm:f>$S$8='Assessment Details'!$Q$23</xm:f>
            <x14:dxf>
              <font>
                <color theme="0"/>
              </font>
              <fill>
                <patternFill>
                  <bgColor theme="0"/>
                </patternFill>
              </fill>
              <border>
                <vertical/>
                <horizontal/>
              </border>
            </x14:dxf>
          </x14:cfRule>
          <xm:sqref>N209:N210</xm:sqref>
        </x14:conditionalFormatting>
        <x14:conditionalFormatting xmlns:xm="http://schemas.microsoft.com/office/excel/2006/main">
          <x14:cfRule type="expression" priority="1234" id="{59458F57-A529-4C23-A8EF-65BECC09D98B}">
            <xm:f>$S$8='Assessment Details'!$Q$23</xm:f>
            <x14:dxf>
              <border>
                <left style="thin">
                  <color theme="0"/>
                </left>
                <right style="thin">
                  <color theme="0"/>
                </right>
                <top style="thin">
                  <color theme="0"/>
                </top>
                <bottom style="thin">
                  <color theme="0"/>
                </bottom>
                <vertical/>
                <horizontal/>
              </border>
            </x14:dxf>
          </x14:cfRule>
          <xm:sqref>N209:N211</xm:sqref>
        </x14:conditionalFormatting>
        <x14:conditionalFormatting xmlns:xm="http://schemas.microsoft.com/office/excel/2006/main">
          <x14:cfRule type="expression" priority="1175" id="{2015831A-B28A-425A-ABEB-1D83A788414C}">
            <xm:f>$S$8='Assessment Details'!$Q$23</xm:f>
            <x14:dxf>
              <border>
                <left style="thin">
                  <color theme="0"/>
                </left>
                <right style="thin">
                  <color theme="0"/>
                </right>
                <top style="thin">
                  <color theme="0"/>
                </top>
                <bottom style="thin">
                  <color theme="0"/>
                </bottom>
                <vertical/>
                <horizontal/>
              </border>
            </x14:dxf>
          </x14:cfRule>
          <xm:sqref>N214:N228</xm:sqref>
        </x14:conditionalFormatting>
        <x14:conditionalFormatting xmlns:xm="http://schemas.microsoft.com/office/excel/2006/main">
          <x14:cfRule type="expression" priority="1176" id="{13F0E4D5-5D84-457B-833F-A9C88335247C}">
            <xm:f>$S$8='Assessment Details'!$Q$23</xm:f>
            <x14:dxf>
              <font>
                <color theme="0"/>
              </font>
              <fill>
                <patternFill>
                  <bgColor theme="0"/>
                </patternFill>
              </fill>
              <border>
                <vertical/>
                <horizontal/>
              </border>
            </x14:dxf>
          </x14:cfRule>
          <xm:sqref>N223:N227</xm:sqref>
        </x14:conditionalFormatting>
        <x14:conditionalFormatting xmlns:xm="http://schemas.microsoft.com/office/excel/2006/main">
          <x14:cfRule type="expression" priority="656" id="{8648F252-ED19-4266-80EA-94115D554B1E}">
            <xm:f>$S$8='Assessment Details'!$Q$23</xm:f>
            <x14:dxf>
              <border>
                <left style="thin">
                  <color theme="0"/>
                </left>
                <right style="thin">
                  <color theme="0"/>
                </right>
                <top style="thin">
                  <color theme="0"/>
                </top>
                <bottom style="thin">
                  <color theme="0"/>
                </bottom>
                <vertical/>
                <horizontal/>
              </border>
            </x14:dxf>
          </x14:cfRule>
          <xm:sqref>N37:P38</xm:sqref>
        </x14:conditionalFormatting>
        <x14:conditionalFormatting xmlns:xm="http://schemas.microsoft.com/office/excel/2006/main">
          <x14:cfRule type="expression" priority="649" id="{EBE9A871-3F99-4979-A4F4-2335F98EF000}">
            <xm:f>$S$8='Assessment Details'!$Q$23</xm:f>
            <x14:dxf>
              <border>
                <left style="thin">
                  <color theme="0"/>
                </left>
                <right style="thin">
                  <color theme="0"/>
                </right>
                <top style="thin">
                  <color theme="0"/>
                </top>
                <bottom style="thin">
                  <color theme="0"/>
                </bottom>
                <vertical/>
                <horizontal/>
              </border>
            </x14:dxf>
          </x14:cfRule>
          <xm:sqref>N65:P66</xm:sqref>
        </x14:conditionalFormatting>
        <x14:conditionalFormatting xmlns:xm="http://schemas.microsoft.com/office/excel/2006/main">
          <x14:cfRule type="expression" priority="642" id="{83A9A1C1-341F-4085-939C-5EB00F0A4EFD}">
            <xm:f>$S$8='Assessment Details'!$Q$23</xm:f>
            <x14:dxf>
              <border>
                <left style="thin">
                  <color theme="0"/>
                </left>
                <right style="thin">
                  <color theme="0"/>
                </right>
                <top style="thin">
                  <color theme="0"/>
                </top>
                <bottom style="thin">
                  <color theme="0"/>
                </bottom>
                <vertical/>
                <horizontal/>
              </border>
            </x14:dxf>
          </x14:cfRule>
          <xm:sqref>N95:P96</xm:sqref>
        </x14:conditionalFormatting>
        <x14:conditionalFormatting xmlns:xm="http://schemas.microsoft.com/office/excel/2006/main">
          <x14:cfRule type="expression" priority="635" id="{B287D32D-09AC-4542-908E-5C03F7DF3000}">
            <xm:f>$S$8='Assessment Details'!$Q$23</xm:f>
            <x14:dxf>
              <border>
                <left style="thin">
                  <color theme="0"/>
                </left>
                <right style="thin">
                  <color theme="0"/>
                </right>
                <top style="thin">
                  <color theme="0"/>
                </top>
                <bottom style="thin">
                  <color theme="0"/>
                </bottom>
                <vertical/>
                <horizontal/>
              </border>
            </x14:dxf>
          </x14:cfRule>
          <xm:sqref>N104:P105</xm:sqref>
        </x14:conditionalFormatting>
        <x14:conditionalFormatting xmlns:xm="http://schemas.microsoft.com/office/excel/2006/main">
          <x14:cfRule type="expression" priority="628" id="{B72FF84F-18DD-4E5D-AA5C-62AF8BEB20C0}">
            <xm:f>$S$8='Assessment Details'!$Q$23</xm:f>
            <x14:dxf>
              <border>
                <left style="thin">
                  <color theme="0"/>
                </left>
                <right style="thin">
                  <color theme="0"/>
                </right>
                <top style="thin">
                  <color theme="0"/>
                </top>
                <bottom style="thin">
                  <color theme="0"/>
                </bottom>
                <vertical/>
                <horizontal/>
              </border>
            </x14:dxf>
          </x14:cfRule>
          <xm:sqref>N118:P119</xm:sqref>
        </x14:conditionalFormatting>
        <x14:conditionalFormatting xmlns:xm="http://schemas.microsoft.com/office/excel/2006/main">
          <x14:cfRule type="expression" priority="621" id="{D469E189-23D1-496D-8C4E-E6AA0AAB74A2}">
            <xm:f>$S$8='Assessment Details'!$Q$23</xm:f>
            <x14:dxf>
              <border>
                <left style="thin">
                  <color theme="0"/>
                </left>
                <right style="thin">
                  <color theme="0"/>
                </right>
                <top style="thin">
                  <color theme="0"/>
                </top>
                <bottom style="thin">
                  <color theme="0"/>
                </bottom>
                <vertical/>
                <horizontal/>
              </border>
            </x14:dxf>
          </x14:cfRule>
          <xm:sqref>N148:P149</xm:sqref>
        </x14:conditionalFormatting>
        <x14:conditionalFormatting xmlns:xm="http://schemas.microsoft.com/office/excel/2006/main">
          <x14:cfRule type="expression" priority="614" id="{2C5498B1-8C8E-47D5-A2F1-8DA973C74463}">
            <xm:f>$S$8='Assessment Details'!$Q$23</xm:f>
            <x14:dxf>
              <border>
                <left style="thin">
                  <color theme="0"/>
                </left>
                <right style="thin">
                  <color theme="0"/>
                </right>
                <top style="thin">
                  <color theme="0"/>
                </top>
                <bottom style="thin">
                  <color theme="0"/>
                </bottom>
                <vertical/>
                <horizontal/>
              </border>
            </x14:dxf>
          </x14:cfRule>
          <xm:sqref>N163:P164</xm:sqref>
        </x14:conditionalFormatting>
        <x14:conditionalFormatting xmlns:xm="http://schemas.microsoft.com/office/excel/2006/main">
          <x14:cfRule type="expression" priority="607" id="{7ED43190-5314-425F-9359-B4E182C97424}">
            <xm:f>$S$8='Assessment Details'!$Q$23</xm:f>
            <x14:dxf>
              <border>
                <left style="thin">
                  <color theme="0"/>
                </left>
                <right style="thin">
                  <color theme="0"/>
                </right>
                <top style="thin">
                  <color theme="0"/>
                </top>
                <bottom style="thin">
                  <color theme="0"/>
                </bottom>
                <vertical/>
                <horizontal/>
              </border>
            </x14:dxf>
          </x14:cfRule>
          <xm:sqref>N195:P196</xm:sqref>
        </x14:conditionalFormatting>
        <x14:conditionalFormatting xmlns:xm="http://schemas.microsoft.com/office/excel/2006/main">
          <x14:cfRule type="expression" priority="600" id="{9A98555B-286B-4BCF-80C8-2808A450F13B}">
            <xm:f>$S$8='Assessment Details'!$Q$23</xm:f>
            <x14:dxf>
              <border>
                <left style="thin">
                  <color theme="0"/>
                </left>
                <right style="thin">
                  <color theme="0"/>
                </right>
                <top style="thin">
                  <color theme="0"/>
                </top>
                <bottom style="thin">
                  <color theme="0"/>
                </bottom>
                <vertical/>
                <horizontal/>
              </border>
            </x14:dxf>
          </x14:cfRule>
          <xm:sqref>N212:P213</xm:sqref>
        </x14:conditionalFormatting>
        <x14:conditionalFormatting xmlns:xm="http://schemas.microsoft.com/office/excel/2006/main">
          <x14:cfRule type="expression" priority="4186" id="{65CE01A1-5605-4EA8-9C68-7A192DC9BB8C}">
            <xm:f>$S$8='Assessment Details'!$Q$23</xm:f>
            <x14:dxf>
              <font>
                <color theme="0"/>
              </font>
              <fill>
                <patternFill>
                  <bgColor theme="0"/>
                </patternFill>
              </fill>
              <border>
                <vertical/>
                <horizontal/>
              </border>
            </x14:dxf>
          </x14:cfRule>
          <xm:sqref>N238:P238</xm:sqref>
        </x14:conditionalFormatting>
        <x14:conditionalFormatting xmlns:xm="http://schemas.microsoft.com/office/excel/2006/main">
          <x14:cfRule type="expression" priority="3691" id="{7E49C1AA-37D9-4981-8ADB-7C269B2ECAE3}">
            <xm:f>$S$8='Assessment Details'!$Q$23</xm:f>
            <x14:dxf>
              <border>
                <left style="thin">
                  <color theme="0"/>
                </left>
                <right style="thin">
                  <color theme="0"/>
                </right>
                <top style="thin">
                  <color theme="0"/>
                </top>
                <bottom style="thin">
                  <color theme="0"/>
                </bottom>
                <vertical/>
                <horizontal/>
              </border>
            </x14:dxf>
          </x14:cfRule>
          <x14:cfRule type="expression" priority="3692" id="{0DCA768C-2245-43CB-B02B-B6C8672CA3A2}">
            <xm:f>$S$8='Assessment Details'!$Q$23</xm:f>
            <x14:dxf>
              <font>
                <color theme="0"/>
              </font>
              <fill>
                <patternFill>
                  <bgColor theme="0"/>
                </patternFill>
              </fill>
              <border>
                <vertical/>
                <horizontal/>
              </border>
            </x14:dxf>
          </x14:cfRule>
          <xm:sqref>N249:R249</xm:sqref>
        </x14:conditionalFormatting>
        <x14:conditionalFormatting xmlns:xm="http://schemas.microsoft.com/office/excel/2006/main">
          <x14:cfRule type="expression" priority="5301" id="{1A60305C-32B7-4D4F-9804-69A16324B9A7}">
            <xm:f>$S$8='Assessment Details'!$Q$23</xm:f>
            <x14:dxf>
              <border>
                <vertical/>
                <horizontal/>
              </border>
            </x14:dxf>
          </x14:cfRule>
          <xm:sqref>N9:S9</xm:sqref>
        </x14:conditionalFormatting>
        <x14:conditionalFormatting xmlns:xm="http://schemas.microsoft.com/office/excel/2006/main">
          <x14:cfRule type="expression" priority="4509" id="{F07B10D0-2688-4D2D-9352-51F0145E8B48}">
            <xm:f>$S$8='Assessment Details'!$Q$23</xm:f>
            <x14:dxf>
              <border>
                <left style="thin">
                  <color theme="0"/>
                </left>
                <right style="thin">
                  <color theme="0"/>
                </right>
                <top style="thin">
                  <color theme="0"/>
                </top>
                <bottom style="thin">
                  <color theme="0"/>
                </bottom>
                <vertical/>
                <horizontal/>
              </border>
            </x14:dxf>
          </x14:cfRule>
          <xm:sqref>N9:S10 N19:N20 S216:S227 Q228:S228 N247:S248 N250:S250 N253:S254 N256:S261</xm:sqref>
        </x14:conditionalFormatting>
        <x14:conditionalFormatting xmlns:xm="http://schemas.microsoft.com/office/excel/2006/main">
          <x14:cfRule type="expression" priority="173" id="{26E8AFB8-EB8E-4549-91E2-6F0B5A9F2377}">
            <xm:f>$S$8='Assessment Details'!$Q$23</xm:f>
            <x14:dxf>
              <font>
                <color theme="0"/>
              </font>
              <fill>
                <patternFill>
                  <bgColor theme="0"/>
                </patternFill>
              </fill>
              <border>
                <left/>
                <right/>
                <top/>
                <bottom/>
                <vertical/>
                <horizontal/>
              </border>
            </x14:dxf>
          </x14:cfRule>
          <xm:sqref>N9:S106</xm:sqref>
        </x14:conditionalFormatting>
        <x14:conditionalFormatting xmlns:xm="http://schemas.microsoft.com/office/excel/2006/main">
          <x14:cfRule type="expression" priority="22" id="{FB513AC0-BF46-4EA1-9764-92B46301C5BF}">
            <xm:f>$S$8='Assessment Details'!$Q$23</xm:f>
            <x14:dxf>
              <font>
                <color theme="0"/>
              </font>
              <fill>
                <patternFill>
                  <bgColor theme="0"/>
                </patternFill>
              </fill>
              <border>
                <left/>
                <right/>
                <top/>
                <bottom/>
                <vertical/>
                <horizontal/>
              </border>
            </x14:dxf>
          </x14:cfRule>
          <xm:sqref>N107:S228</xm:sqref>
        </x14:conditionalFormatting>
        <x14:conditionalFormatting xmlns:xm="http://schemas.microsoft.com/office/excel/2006/main">
          <x14:cfRule type="expression" priority="4185" id="{1E118A00-84A7-423B-BFC9-B87735183CA0}">
            <xm:f>$S$8='Assessment Details'!$Q$23</xm:f>
            <x14:dxf>
              <border>
                <left style="thin">
                  <color theme="0"/>
                </left>
                <right style="thin">
                  <color theme="0"/>
                </right>
                <top style="thin">
                  <color theme="0"/>
                </top>
                <bottom style="thin">
                  <color theme="0"/>
                </bottom>
                <vertical/>
                <horizontal/>
              </border>
            </x14:dxf>
          </x14:cfRule>
          <xm:sqref>N238:S238</xm:sqref>
        </x14:conditionalFormatting>
        <x14:conditionalFormatting xmlns:xm="http://schemas.microsoft.com/office/excel/2006/main">
          <x14:cfRule type="expression" priority="657" id="{1814D816-8456-4F4E-A505-94BF373FFA61}">
            <xm:f>$S$8='Assessment Details'!$Q$23</xm:f>
            <x14:dxf>
              <font>
                <color theme="0"/>
              </font>
              <fill>
                <patternFill>
                  <bgColor theme="0"/>
                </patternFill>
              </fill>
              <border>
                <vertical/>
                <horizontal/>
              </border>
            </x14:dxf>
          </x14:cfRule>
          <xm:sqref>P37:P38</xm:sqref>
        </x14:conditionalFormatting>
        <x14:conditionalFormatting xmlns:xm="http://schemas.microsoft.com/office/excel/2006/main">
          <x14:cfRule type="expression" priority="650" id="{9A0ECD73-169E-4688-A925-E62F5A4942F3}">
            <xm:f>$S$8='Assessment Details'!$Q$23</xm:f>
            <x14:dxf>
              <font>
                <color theme="0"/>
              </font>
              <fill>
                <patternFill>
                  <bgColor theme="0"/>
                </patternFill>
              </fill>
              <border>
                <vertical/>
                <horizontal/>
              </border>
            </x14:dxf>
          </x14:cfRule>
          <xm:sqref>P65:P66</xm:sqref>
        </x14:conditionalFormatting>
        <x14:conditionalFormatting xmlns:xm="http://schemas.microsoft.com/office/excel/2006/main">
          <x14:cfRule type="expression" priority="643" id="{88731133-85C1-497D-8440-7304B836D6C7}">
            <xm:f>$S$8='Assessment Details'!$Q$23</xm:f>
            <x14:dxf>
              <font>
                <color theme="0"/>
              </font>
              <fill>
                <patternFill>
                  <bgColor theme="0"/>
                </patternFill>
              </fill>
              <border>
                <vertical/>
                <horizontal/>
              </border>
            </x14:dxf>
          </x14:cfRule>
          <xm:sqref>P95:P96</xm:sqref>
        </x14:conditionalFormatting>
        <x14:conditionalFormatting xmlns:xm="http://schemas.microsoft.com/office/excel/2006/main">
          <x14:cfRule type="expression" priority="636" id="{5736BA94-FE01-46BA-9EE9-706893E950AD}">
            <xm:f>$S$8='Assessment Details'!$Q$23</xm:f>
            <x14:dxf>
              <font>
                <color theme="0"/>
              </font>
              <fill>
                <patternFill>
                  <bgColor theme="0"/>
                </patternFill>
              </fill>
              <border>
                <vertical/>
                <horizontal/>
              </border>
            </x14:dxf>
          </x14:cfRule>
          <xm:sqref>P104:P105</xm:sqref>
        </x14:conditionalFormatting>
        <x14:conditionalFormatting xmlns:xm="http://schemas.microsoft.com/office/excel/2006/main">
          <x14:cfRule type="expression" priority="629" id="{BAEC9280-F404-4074-ACAF-4F63E3923BED}">
            <xm:f>$S$8='Assessment Details'!$Q$23</xm:f>
            <x14:dxf>
              <font>
                <color theme="0"/>
              </font>
              <fill>
                <patternFill>
                  <bgColor theme="0"/>
                </patternFill>
              </fill>
              <border>
                <vertical/>
                <horizontal/>
              </border>
            </x14:dxf>
          </x14:cfRule>
          <xm:sqref>P118:P119</xm:sqref>
        </x14:conditionalFormatting>
        <x14:conditionalFormatting xmlns:xm="http://schemas.microsoft.com/office/excel/2006/main">
          <x14:cfRule type="expression" priority="622" id="{182A97A1-8919-4F98-85C4-E0C267AD6962}">
            <xm:f>$S$8='Assessment Details'!$Q$23</xm:f>
            <x14:dxf>
              <font>
                <color theme="0"/>
              </font>
              <fill>
                <patternFill>
                  <bgColor theme="0"/>
                </patternFill>
              </fill>
              <border>
                <vertical/>
                <horizontal/>
              </border>
            </x14:dxf>
          </x14:cfRule>
          <xm:sqref>P148:P149</xm:sqref>
        </x14:conditionalFormatting>
        <x14:conditionalFormatting xmlns:xm="http://schemas.microsoft.com/office/excel/2006/main">
          <x14:cfRule type="expression" priority="615" id="{288F7C53-6249-4956-B63F-F9F31F7E07EB}">
            <xm:f>$S$8='Assessment Details'!$Q$23</xm:f>
            <x14:dxf>
              <font>
                <color theme="0"/>
              </font>
              <fill>
                <patternFill>
                  <bgColor theme="0"/>
                </patternFill>
              </fill>
              <border>
                <vertical/>
                <horizontal/>
              </border>
            </x14:dxf>
          </x14:cfRule>
          <xm:sqref>P163:P164</xm:sqref>
        </x14:conditionalFormatting>
        <x14:conditionalFormatting xmlns:xm="http://schemas.microsoft.com/office/excel/2006/main">
          <x14:cfRule type="expression" priority="608" id="{74C1B7DC-0D98-4E3D-99BC-38306C50C7CC}">
            <xm:f>$S$8='Assessment Details'!$Q$23</xm:f>
            <x14:dxf>
              <font>
                <color theme="0"/>
              </font>
              <fill>
                <patternFill>
                  <bgColor theme="0"/>
                </patternFill>
              </fill>
              <border>
                <vertical/>
                <horizontal/>
              </border>
            </x14:dxf>
          </x14:cfRule>
          <xm:sqref>P195:P196</xm:sqref>
        </x14:conditionalFormatting>
        <x14:conditionalFormatting xmlns:xm="http://schemas.microsoft.com/office/excel/2006/main">
          <x14:cfRule type="expression" priority="601" id="{4A98C8D9-E7DE-435C-A48A-376A9AF70F60}">
            <xm:f>$S$8='Assessment Details'!$Q$23</xm:f>
            <x14:dxf>
              <font>
                <color theme="0"/>
              </font>
              <fill>
                <patternFill>
                  <bgColor theme="0"/>
                </patternFill>
              </fill>
              <border>
                <vertical/>
                <horizontal/>
              </border>
            </x14:dxf>
          </x14:cfRule>
          <xm:sqref>P212:P213</xm:sqref>
        </x14:conditionalFormatting>
        <x14:conditionalFormatting xmlns:xm="http://schemas.microsoft.com/office/excel/2006/main">
          <x14:cfRule type="expression" priority="184" id="{CB642F8B-2E61-4CCA-845E-E9BF5EBC7179}">
            <xm:f>$S$8='Assessment Details'!$Q$23</xm:f>
            <x14:dxf>
              <font>
                <color theme="0"/>
              </font>
              <fill>
                <patternFill>
                  <bgColor theme="0"/>
                </patternFill>
              </fill>
              <border>
                <vertical/>
                <horizontal/>
              </border>
            </x14:dxf>
          </x14:cfRule>
          <xm:sqref>Q167</xm:sqref>
        </x14:conditionalFormatting>
        <x14:conditionalFormatting xmlns:xm="http://schemas.microsoft.com/office/excel/2006/main">
          <x14:cfRule type="expression" priority="725" id="{8866C9EC-AA27-438F-8DEF-B357553BAA70}">
            <xm:f>$S$8='Assessment Details'!$Q$23</xm:f>
            <x14:dxf>
              <border>
                <left style="thin">
                  <color theme="0"/>
                </left>
                <right style="thin">
                  <color theme="0"/>
                </right>
                <top style="thin">
                  <color theme="0"/>
                </top>
                <bottom style="thin">
                  <color theme="0"/>
                </bottom>
                <vertical/>
                <horizontal/>
              </border>
            </x14:dxf>
          </x14:cfRule>
          <xm:sqref>Q11:R106</xm:sqref>
        </x14:conditionalFormatting>
        <x14:conditionalFormatting xmlns:xm="http://schemas.microsoft.com/office/excel/2006/main">
          <x14:cfRule type="expression" priority="3315" id="{6C3AC176-5C03-43AC-B982-5A5210702F2C}">
            <xm:f>$S$8='Assessment Details'!$Q$23</xm:f>
            <x14:dxf>
              <font>
                <color theme="0"/>
              </font>
              <fill>
                <patternFill>
                  <bgColor theme="0"/>
                </patternFill>
              </fill>
              <border>
                <vertical/>
                <horizontal/>
              </border>
            </x14:dxf>
          </x14:cfRule>
          <xm:sqref>Q39:R41</xm:sqref>
        </x14:conditionalFormatting>
        <x14:conditionalFormatting xmlns:xm="http://schemas.microsoft.com/office/excel/2006/main">
          <x14:cfRule type="expression" priority="3151" id="{6A17C14E-95CA-4F1C-941A-66E9A1A1F0C1}">
            <xm:f>$S$8='Assessment Details'!$Q$23</xm:f>
            <x14:dxf>
              <font>
                <color theme="0"/>
              </font>
              <fill>
                <patternFill>
                  <bgColor theme="0"/>
                </patternFill>
              </fill>
              <border>
                <vertical/>
                <horizontal/>
              </border>
            </x14:dxf>
          </x14:cfRule>
          <xm:sqref>Q47:R47</xm:sqref>
        </x14:conditionalFormatting>
        <x14:conditionalFormatting xmlns:xm="http://schemas.microsoft.com/office/excel/2006/main">
          <x14:cfRule type="expression" priority="3129" id="{CBDEB4C6-EF37-4241-8BAA-7739B31D5E1D}">
            <xm:f>$S$8='Assessment Details'!$Q$23</xm:f>
            <x14:dxf>
              <font>
                <color theme="0"/>
              </font>
              <fill>
                <patternFill>
                  <bgColor theme="0"/>
                </patternFill>
              </fill>
              <border>
                <vertical/>
                <horizontal/>
              </border>
            </x14:dxf>
          </x14:cfRule>
          <xm:sqref>Q52:R52</xm:sqref>
        </x14:conditionalFormatting>
        <x14:conditionalFormatting xmlns:xm="http://schemas.microsoft.com/office/excel/2006/main">
          <x14:cfRule type="expression" priority="3107" id="{9315D916-3649-45C8-B0ED-ACFE0A540766}">
            <xm:f>$S$8='Assessment Details'!$Q$23</xm:f>
            <x14:dxf>
              <font>
                <color theme="0"/>
              </font>
              <fill>
                <patternFill>
                  <bgColor theme="0"/>
                </patternFill>
              </fill>
              <border>
                <vertical/>
                <horizontal/>
              </border>
            </x14:dxf>
          </x14:cfRule>
          <xm:sqref>Q56:R56</xm:sqref>
        </x14:conditionalFormatting>
        <x14:conditionalFormatting xmlns:xm="http://schemas.microsoft.com/office/excel/2006/main">
          <x14:cfRule type="expression" priority="3085" id="{2AAD307E-B81E-482C-9484-1DC14EB803E1}">
            <xm:f>$S$8='Assessment Details'!$Q$23</xm:f>
            <x14:dxf>
              <font>
                <color theme="0"/>
              </font>
              <fill>
                <patternFill>
                  <bgColor theme="0"/>
                </patternFill>
              </fill>
              <border>
                <vertical/>
                <horizontal/>
              </border>
            </x14:dxf>
          </x14:cfRule>
          <xm:sqref>Q59:R59</xm:sqref>
        </x14:conditionalFormatting>
        <x14:conditionalFormatting xmlns:xm="http://schemas.microsoft.com/office/excel/2006/main">
          <x14:cfRule type="expression" priority="3063" id="{975964DE-804D-495C-95B4-CA7D3DAF2E82}">
            <xm:f>$S$8='Assessment Details'!$Q$23</xm:f>
            <x14:dxf>
              <font>
                <color theme="0"/>
              </font>
              <fill>
                <patternFill>
                  <bgColor theme="0"/>
                </patternFill>
              </fill>
              <border>
                <vertical/>
                <horizontal/>
              </border>
            </x14:dxf>
          </x14:cfRule>
          <xm:sqref>Q62:R62</xm:sqref>
        </x14:conditionalFormatting>
        <x14:conditionalFormatting xmlns:xm="http://schemas.microsoft.com/office/excel/2006/main">
          <x14:cfRule type="expression" priority="1107" id="{71D00486-2067-46DC-BDC1-5EE4D7A8ED6D}">
            <xm:f>$S$8='Assessment Details'!$Q$23</xm:f>
            <x14:dxf>
              <font>
                <color theme="0"/>
              </font>
              <fill>
                <patternFill>
                  <bgColor theme="0"/>
                </patternFill>
              </fill>
              <border>
                <vertical/>
                <horizontal/>
              </border>
            </x14:dxf>
          </x14:cfRule>
          <xm:sqref>Q64:R64</xm:sqref>
        </x14:conditionalFormatting>
        <x14:conditionalFormatting xmlns:xm="http://schemas.microsoft.com/office/excel/2006/main">
          <x14:cfRule type="expression" priority="3294" id="{C5FDD142-AD61-4957-894A-D69E602D3558}">
            <xm:f>$S$8='Assessment Details'!$Q$23</xm:f>
            <x14:dxf>
              <font>
                <color theme="0"/>
              </font>
              <fill>
                <patternFill>
                  <bgColor theme="0"/>
                </patternFill>
              </fill>
              <border>
                <vertical/>
                <horizontal/>
              </border>
            </x14:dxf>
          </x14:cfRule>
          <xm:sqref>Q67:R67</xm:sqref>
        </x14:conditionalFormatting>
        <x14:conditionalFormatting xmlns:xm="http://schemas.microsoft.com/office/excel/2006/main">
          <x14:cfRule type="expression" priority="3041" id="{3FE0B8C7-AF59-4BAA-8351-A2283C16C719}">
            <xm:f>$S$8='Assessment Details'!$Q$23</xm:f>
            <x14:dxf>
              <font>
                <color theme="0"/>
              </font>
              <fill>
                <patternFill>
                  <bgColor theme="0"/>
                </patternFill>
              </fill>
              <border>
                <vertical/>
                <horizontal/>
              </border>
            </x14:dxf>
          </x14:cfRule>
          <xm:sqref>Q75:R75</xm:sqref>
        </x14:conditionalFormatting>
        <x14:conditionalFormatting xmlns:xm="http://schemas.microsoft.com/office/excel/2006/main">
          <x14:cfRule type="expression" priority="3019" id="{3BDE55F1-2597-4D5D-B985-F19E1B68F8B3}">
            <xm:f>$S$8='Assessment Details'!$Q$23</xm:f>
            <x14:dxf>
              <font>
                <color theme="0"/>
              </font>
              <fill>
                <patternFill>
                  <bgColor theme="0"/>
                </patternFill>
              </fill>
              <border>
                <vertical/>
                <horizontal/>
              </border>
            </x14:dxf>
          </x14:cfRule>
          <xm:sqref>Q79:R79</xm:sqref>
        </x14:conditionalFormatting>
        <x14:conditionalFormatting xmlns:xm="http://schemas.microsoft.com/office/excel/2006/main">
          <x14:cfRule type="expression" priority="2997" id="{27B4461D-31DA-46E2-81BE-F64C43193179}">
            <xm:f>$S$8='Assessment Details'!$Q$23</xm:f>
            <x14:dxf>
              <font>
                <color theme="0"/>
              </font>
              <fill>
                <patternFill>
                  <bgColor theme="0"/>
                </patternFill>
              </fill>
              <border>
                <vertical/>
                <horizontal/>
              </border>
            </x14:dxf>
          </x14:cfRule>
          <xm:sqref>Q82:R82</xm:sqref>
        </x14:conditionalFormatting>
        <x14:conditionalFormatting xmlns:xm="http://schemas.microsoft.com/office/excel/2006/main">
          <x14:cfRule type="expression" priority="2975" id="{1791F121-F855-4494-9F94-201AF776DAE3}">
            <xm:f>$S$8='Assessment Details'!$Q$23</xm:f>
            <x14:dxf>
              <font>
                <color theme="0"/>
              </font>
              <fill>
                <patternFill>
                  <bgColor theme="0"/>
                </patternFill>
              </fill>
              <border>
                <vertical/>
                <horizontal/>
              </border>
            </x14:dxf>
          </x14:cfRule>
          <xm:sqref>Q85:R85</xm:sqref>
        </x14:conditionalFormatting>
        <x14:conditionalFormatting xmlns:xm="http://schemas.microsoft.com/office/excel/2006/main">
          <x14:cfRule type="expression" priority="2953" id="{F952D6D0-8EF4-4150-B3DA-A068385BB65C}">
            <xm:f>$S$8='Assessment Details'!$Q$23</xm:f>
            <x14:dxf>
              <font>
                <color theme="0"/>
              </font>
              <fill>
                <patternFill>
                  <bgColor theme="0"/>
                </patternFill>
              </fill>
              <border>
                <vertical/>
                <horizontal/>
              </border>
            </x14:dxf>
          </x14:cfRule>
          <xm:sqref>Q89:R89</xm:sqref>
        </x14:conditionalFormatting>
        <x14:conditionalFormatting xmlns:xm="http://schemas.microsoft.com/office/excel/2006/main">
          <x14:cfRule type="expression" priority="2931" id="{961D8DA4-5850-4767-83A9-6460C9102A92}">
            <xm:f>$S$8='Assessment Details'!$Q$23</xm:f>
            <x14:dxf>
              <font>
                <color theme="0"/>
              </font>
              <fill>
                <patternFill>
                  <bgColor theme="0"/>
                </patternFill>
              </fill>
              <border>
                <vertical/>
                <horizontal/>
              </border>
            </x14:dxf>
          </x14:cfRule>
          <xm:sqref>Q92:R92</xm:sqref>
        </x14:conditionalFormatting>
        <x14:conditionalFormatting xmlns:xm="http://schemas.microsoft.com/office/excel/2006/main">
          <x14:cfRule type="expression" priority="1095" id="{2E906952-F76B-4002-AEF2-19C384210E97}">
            <xm:f>$S$8='Assessment Details'!$Q$23</xm:f>
            <x14:dxf>
              <font>
                <color theme="0"/>
              </font>
              <fill>
                <patternFill>
                  <bgColor theme="0"/>
                </patternFill>
              </fill>
              <border>
                <vertical/>
                <horizontal/>
              </border>
            </x14:dxf>
          </x14:cfRule>
          <xm:sqref>Q94:R94</xm:sqref>
        </x14:conditionalFormatting>
        <x14:conditionalFormatting xmlns:xm="http://schemas.microsoft.com/office/excel/2006/main">
          <x14:cfRule type="expression" priority="3273" id="{9BE243BD-939B-4B2A-8445-545F1AAAA016}">
            <xm:f>$S$8='Assessment Details'!$Q$23</xm:f>
            <x14:dxf>
              <font>
                <color theme="0"/>
              </font>
              <fill>
                <patternFill>
                  <bgColor theme="0"/>
                </patternFill>
              </fill>
              <border>
                <vertical/>
                <horizontal/>
              </border>
            </x14:dxf>
          </x14:cfRule>
          <xm:sqref>Q97:R97</xm:sqref>
        </x14:conditionalFormatting>
        <x14:conditionalFormatting xmlns:xm="http://schemas.microsoft.com/office/excel/2006/main">
          <x14:cfRule type="expression" priority="726" id="{69C310A9-BDC7-4B47-82CD-FC12E23ACA02}">
            <xm:f>$S$8='Assessment Details'!$Q$23</xm:f>
            <x14:dxf>
              <font>
                <color theme="0"/>
              </font>
              <fill>
                <patternFill>
                  <bgColor theme="0"/>
                </patternFill>
              </fill>
              <border>
                <vertical/>
                <horizontal/>
              </border>
            </x14:dxf>
          </x14:cfRule>
          <xm:sqref>Q100:R101</xm:sqref>
        </x14:conditionalFormatting>
        <x14:conditionalFormatting xmlns:xm="http://schemas.microsoft.com/office/excel/2006/main">
          <x14:cfRule type="expression" priority="1083" id="{EA046676-BAF8-44C4-868F-A279D4782715}">
            <xm:f>$S$8='Assessment Details'!$Q$23</xm:f>
            <x14:dxf>
              <font>
                <color theme="0"/>
              </font>
              <fill>
                <patternFill>
                  <bgColor theme="0"/>
                </patternFill>
              </fill>
              <border>
                <vertical/>
                <horizontal/>
              </border>
            </x14:dxf>
          </x14:cfRule>
          <xm:sqref>Q103:R103</xm:sqref>
        </x14:conditionalFormatting>
        <x14:conditionalFormatting xmlns:xm="http://schemas.microsoft.com/office/excel/2006/main">
          <x14:cfRule type="expression" priority="119" id="{FAD9C128-0C7C-438D-A6E0-664F9EFCF777}">
            <xm:f>$S$8='Assessment Details'!$Q$23</xm:f>
            <x14:dxf>
              <font>
                <color theme="0"/>
              </font>
              <fill>
                <patternFill>
                  <bgColor theme="0"/>
                </patternFill>
              </fill>
              <border>
                <vertical/>
                <horizontal/>
              </border>
            </x14:dxf>
          </x14:cfRule>
          <xm:sqref>Q106:R107</xm:sqref>
        </x14:conditionalFormatting>
        <x14:conditionalFormatting xmlns:xm="http://schemas.microsoft.com/office/excel/2006/main">
          <x14:cfRule type="expression" priority="118" id="{0F82769C-0662-4902-9CE8-CBD8E6C78C1F}">
            <xm:f>$S$8='Assessment Details'!$Q$23</xm:f>
            <x14:dxf>
              <border>
                <left style="thin">
                  <color theme="0"/>
                </left>
                <right style="thin">
                  <color theme="0"/>
                </right>
                <top style="thin">
                  <color theme="0"/>
                </top>
                <bottom style="thin">
                  <color theme="0"/>
                </bottom>
                <vertical/>
                <horizontal/>
              </border>
            </x14:dxf>
          </x14:cfRule>
          <xm:sqref>Q107:R107</xm:sqref>
        </x14:conditionalFormatting>
        <x14:conditionalFormatting xmlns:xm="http://schemas.microsoft.com/office/excel/2006/main">
          <x14:cfRule type="expression" priority="1070" id="{48CF0650-BF7E-44AC-9F17-75C452C88A1E}">
            <xm:f>$S$8='Assessment Details'!$Q$23</xm:f>
            <x14:dxf>
              <border>
                <left style="thin">
                  <color theme="0"/>
                </left>
                <right style="thin">
                  <color theme="0"/>
                </right>
                <top style="thin">
                  <color theme="0"/>
                </top>
                <bottom style="thin">
                  <color theme="0"/>
                </bottom>
                <vertical/>
                <horizontal/>
              </border>
            </x14:dxf>
          </x14:cfRule>
          <xm:sqref>Q108:R138</xm:sqref>
        </x14:conditionalFormatting>
        <x14:conditionalFormatting xmlns:xm="http://schemas.microsoft.com/office/excel/2006/main">
          <x14:cfRule type="expression" priority="2887" id="{36786943-CE38-4D1B-AD09-4CA0C9B83C65}">
            <xm:f>$S$8='Assessment Details'!$Q$23</xm:f>
            <x14:dxf>
              <font>
                <color theme="0"/>
              </font>
              <fill>
                <patternFill>
                  <bgColor theme="0"/>
                </patternFill>
              </fill>
              <border>
                <vertical/>
                <horizontal/>
              </border>
            </x14:dxf>
          </x14:cfRule>
          <xm:sqref>Q109:R109</xm:sqref>
        </x14:conditionalFormatting>
        <x14:conditionalFormatting xmlns:xm="http://schemas.microsoft.com/office/excel/2006/main">
          <x14:cfRule type="expression" priority="2865" id="{5B061993-778C-4B5B-86B1-6227066F6059}">
            <xm:f>$S$8='Assessment Details'!$Q$23</xm:f>
            <x14:dxf>
              <font>
                <color theme="0"/>
              </font>
              <fill>
                <patternFill>
                  <bgColor theme="0"/>
                </patternFill>
              </fill>
              <border>
                <vertical/>
                <horizontal/>
              </border>
            </x14:dxf>
          </x14:cfRule>
          <xm:sqref>Q111:R111</xm:sqref>
        </x14:conditionalFormatting>
        <x14:conditionalFormatting xmlns:xm="http://schemas.microsoft.com/office/excel/2006/main">
          <x14:cfRule type="expression" priority="2843" id="{D1134714-5ACA-428C-A7C1-04B0913D0057}">
            <xm:f>$S$8='Assessment Details'!$Q$23</xm:f>
            <x14:dxf>
              <font>
                <color theme="0"/>
              </font>
              <fill>
                <patternFill>
                  <bgColor theme="0"/>
                </patternFill>
              </fill>
              <border>
                <vertical/>
                <horizontal/>
              </border>
            </x14:dxf>
          </x14:cfRule>
          <xm:sqref>Q115:R115</xm:sqref>
        </x14:conditionalFormatting>
        <x14:conditionalFormatting xmlns:xm="http://schemas.microsoft.com/office/excel/2006/main">
          <x14:cfRule type="expression" priority="1071" id="{72E050F9-DC77-4BE7-B77A-34D110C0BE12}">
            <xm:f>$S$8='Assessment Details'!$Q$23</xm:f>
            <x14:dxf>
              <font>
                <color theme="0"/>
              </font>
              <fill>
                <patternFill>
                  <bgColor theme="0"/>
                </patternFill>
              </fill>
              <border>
                <vertical/>
                <horizontal/>
              </border>
            </x14:dxf>
          </x14:cfRule>
          <xm:sqref>Q117:R117</xm:sqref>
        </x14:conditionalFormatting>
        <x14:conditionalFormatting xmlns:xm="http://schemas.microsoft.com/office/excel/2006/main">
          <x14:cfRule type="expression" priority="3231" id="{1421B727-C568-499F-B397-D12CBB809207}">
            <xm:f>$S$8='Assessment Details'!$Q$23</xm:f>
            <x14:dxf>
              <font>
                <color theme="0"/>
              </font>
              <fill>
                <patternFill>
                  <bgColor theme="0"/>
                </patternFill>
              </fill>
              <border>
                <vertical/>
                <horizontal/>
              </border>
            </x14:dxf>
          </x14:cfRule>
          <xm:sqref>Q120:R120</xm:sqref>
        </x14:conditionalFormatting>
        <x14:conditionalFormatting xmlns:xm="http://schemas.microsoft.com/office/excel/2006/main">
          <x14:cfRule type="expression" priority="2821" id="{80841CB3-12D6-444D-9765-69377C98ED5F}">
            <xm:f>$S$8='Assessment Details'!$Q$23</xm:f>
            <x14:dxf>
              <font>
                <color theme="0"/>
              </font>
              <fill>
                <patternFill>
                  <bgColor theme="0"/>
                </patternFill>
              </fill>
              <border>
                <vertical/>
                <horizontal/>
              </border>
            </x14:dxf>
          </x14:cfRule>
          <xm:sqref>Q124:R124</xm:sqref>
        </x14:conditionalFormatting>
        <x14:conditionalFormatting xmlns:xm="http://schemas.microsoft.com/office/excel/2006/main">
          <x14:cfRule type="expression" priority="2799" id="{B890570A-82E1-4E0D-A346-6FDDE8DEC1D0}">
            <xm:f>$S$8='Assessment Details'!$Q$23</xm:f>
            <x14:dxf>
              <font>
                <color theme="0"/>
              </font>
              <fill>
                <patternFill>
                  <bgColor theme="0"/>
                </patternFill>
              </fill>
              <border>
                <vertical/>
                <horizontal/>
              </border>
            </x14:dxf>
          </x14:cfRule>
          <xm:sqref>Q128:R128</xm:sqref>
        </x14:conditionalFormatting>
        <x14:conditionalFormatting xmlns:xm="http://schemas.microsoft.com/office/excel/2006/main">
          <x14:cfRule type="expression" priority="2777" id="{5B1D4D43-C3DD-4D2B-9A6A-F6209B1558D7}">
            <xm:f>$S$8='Assessment Details'!$Q$23</xm:f>
            <x14:dxf>
              <font>
                <color theme="0"/>
              </font>
              <fill>
                <patternFill>
                  <bgColor theme="0"/>
                </patternFill>
              </fill>
              <border>
                <vertical/>
                <horizontal/>
              </border>
            </x14:dxf>
          </x14:cfRule>
          <xm:sqref>Q132:R132</xm:sqref>
        </x14:conditionalFormatting>
        <x14:conditionalFormatting xmlns:xm="http://schemas.microsoft.com/office/excel/2006/main">
          <x14:cfRule type="expression" priority="2755" id="{BC298DA3-0041-4003-A615-CD4D3EEDB4B6}">
            <xm:f>$S$8='Assessment Details'!$Q$23</xm:f>
            <x14:dxf>
              <font>
                <color theme="0"/>
              </font>
              <fill>
                <patternFill>
                  <bgColor theme="0"/>
                </patternFill>
              </fill>
              <border>
                <vertical/>
                <horizontal/>
              </border>
            </x14:dxf>
          </x14:cfRule>
          <xm:sqref>Q138:R138</xm:sqref>
        </x14:conditionalFormatting>
        <x14:conditionalFormatting xmlns:xm="http://schemas.microsoft.com/office/excel/2006/main">
          <x14:cfRule type="expression" priority="57" id="{8272D6CF-31FE-45BA-9858-520A52503E9B}">
            <xm:f>$S$8='Assessment Details'!$Q$23</xm:f>
            <x14:dxf>
              <border>
                <left style="thin">
                  <color theme="0"/>
                </left>
                <right style="thin">
                  <color theme="0"/>
                </right>
                <top style="thin">
                  <color theme="0"/>
                </top>
                <bottom style="thin">
                  <color theme="0"/>
                </bottom>
                <vertical/>
                <horizontal/>
              </border>
            </x14:dxf>
          </x14:cfRule>
          <xm:sqref>Q139:R139</xm:sqref>
        </x14:conditionalFormatting>
        <x14:conditionalFormatting xmlns:xm="http://schemas.microsoft.com/office/excel/2006/main">
          <x14:cfRule type="expression" priority="1058" id="{8E3B65D4-BF8F-41BB-8BC1-47A89858900A}">
            <xm:f>$S$8='Assessment Details'!$Q$23</xm:f>
            <x14:dxf>
              <border>
                <left style="thin">
                  <color theme="0"/>
                </left>
                <right style="thin">
                  <color theme="0"/>
                </right>
                <top style="thin">
                  <color theme="0"/>
                </top>
                <bottom style="thin">
                  <color theme="0"/>
                </bottom>
                <vertical/>
                <horizontal/>
              </border>
            </x14:dxf>
          </x14:cfRule>
          <xm:sqref>Q140:R150</xm:sqref>
        </x14:conditionalFormatting>
        <x14:conditionalFormatting xmlns:xm="http://schemas.microsoft.com/office/excel/2006/main">
          <x14:cfRule type="expression" priority="2733" id="{93E5126A-40F2-49DB-A53F-8972F416241F}">
            <xm:f>$S$8='Assessment Details'!$Q$23</xm:f>
            <x14:dxf>
              <font>
                <color theme="0"/>
              </font>
              <fill>
                <patternFill>
                  <bgColor theme="0"/>
                </patternFill>
              </fill>
              <border>
                <vertical/>
                <horizontal/>
              </border>
            </x14:dxf>
          </x14:cfRule>
          <xm:sqref>Q143:R143</xm:sqref>
        </x14:conditionalFormatting>
        <x14:conditionalFormatting xmlns:xm="http://schemas.microsoft.com/office/excel/2006/main">
          <x14:cfRule type="expression" priority="1059" id="{1FFE2CDF-5A3B-464B-B27F-AEE5C806C559}">
            <xm:f>$S$8='Assessment Details'!$Q$23</xm:f>
            <x14:dxf>
              <font>
                <color theme="0"/>
              </font>
              <fill>
                <patternFill>
                  <bgColor theme="0"/>
                </patternFill>
              </fill>
              <border>
                <vertical/>
                <horizontal/>
              </border>
            </x14:dxf>
          </x14:cfRule>
          <xm:sqref>Q147:R147</xm:sqref>
        </x14:conditionalFormatting>
        <x14:conditionalFormatting xmlns:xm="http://schemas.microsoft.com/office/excel/2006/main">
          <x14:cfRule type="expression" priority="78" id="{8C2205B5-D082-41BE-9828-54B10EEB7ABF}">
            <xm:f>$S$8='Assessment Details'!$Q$23</xm:f>
            <x14:dxf>
              <font>
                <color theme="0"/>
              </font>
              <fill>
                <patternFill>
                  <bgColor theme="0"/>
                </patternFill>
              </fill>
              <border>
                <vertical/>
                <horizontal/>
              </border>
            </x14:dxf>
          </x14:cfRule>
          <xm:sqref>Q150:R151</xm:sqref>
        </x14:conditionalFormatting>
        <x14:conditionalFormatting xmlns:xm="http://schemas.microsoft.com/office/excel/2006/main">
          <x14:cfRule type="expression" priority="77" id="{25FAD901-5A52-44B1-AFEF-0E30576C9BFE}">
            <xm:f>$S$8='Assessment Details'!$Q$23</xm:f>
            <x14:dxf>
              <border>
                <left style="thin">
                  <color theme="0"/>
                </left>
                <right style="thin">
                  <color theme="0"/>
                </right>
                <top style="thin">
                  <color theme="0"/>
                </top>
                <bottom style="thin">
                  <color theme="0"/>
                </bottom>
                <vertical/>
                <horizontal/>
              </border>
            </x14:dxf>
          </x14:cfRule>
          <xm:sqref>Q151:R151</xm:sqref>
        </x14:conditionalFormatting>
        <x14:conditionalFormatting xmlns:xm="http://schemas.microsoft.com/office/excel/2006/main">
          <x14:cfRule type="expression" priority="183" id="{1A8B2317-D8BB-49D8-B51C-6BCC62A1BB7D}">
            <xm:f>$S$8='Assessment Details'!$Q$23</xm:f>
            <x14:dxf>
              <border>
                <left style="thin">
                  <color theme="0"/>
                </left>
                <right style="thin">
                  <color theme="0"/>
                </right>
                <top style="thin">
                  <color theme="0"/>
                </top>
                <bottom style="thin">
                  <color theme="0"/>
                </bottom>
                <vertical/>
                <horizontal/>
              </border>
            </x14:dxf>
          </x14:cfRule>
          <xm:sqref>Q152:R227</xm:sqref>
        </x14:conditionalFormatting>
        <x14:conditionalFormatting xmlns:xm="http://schemas.microsoft.com/office/excel/2006/main">
          <x14:cfRule type="expression" priority="220" id="{65CA73E6-BD38-436B-8667-DF9AAF8E6316}">
            <xm:f>$S$8='Assessment Details'!$Q$23</xm:f>
            <x14:dxf>
              <font>
                <color theme="0"/>
              </font>
              <fill>
                <patternFill>
                  <bgColor theme="0"/>
                </patternFill>
              </fill>
              <border>
                <vertical/>
                <horizontal/>
              </border>
            </x14:dxf>
          </x14:cfRule>
          <xm:sqref>Q155:R156</xm:sqref>
        </x14:conditionalFormatting>
        <x14:conditionalFormatting xmlns:xm="http://schemas.microsoft.com/office/excel/2006/main">
          <x14:cfRule type="expression" priority="2689" id="{C699121D-3149-497E-A3AB-E5903A92AE07}">
            <xm:f>$S$8='Assessment Details'!$Q$23</xm:f>
            <x14:dxf>
              <font>
                <color theme="0"/>
              </font>
              <fill>
                <patternFill>
                  <bgColor theme="0"/>
                </patternFill>
              </fill>
              <border>
                <vertical/>
                <horizontal/>
              </border>
            </x14:dxf>
          </x14:cfRule>
          <xm:sqref>Q158:R158</xm:sqref>
        </x14:conditionalFormatting>
        <x14:conditionalFormatting xmlns:xm="http://schemas.microsoft.com/office/excel/2006/main">
          <x14:cfRule type="expression" priority="2667" id="{58EA91C2-F4B4-4BCD-A5AC-E3CB8D00696E}">
            <xm:f>$S$8='Assessment Details'!$Q$23</xm:f>
            <x14:dxf>
              <font>
                <color theme="0"/>
              </font>
              <fill>
                <patternFill>
                  <bgColor theme="0"/>
                </patternFill>
              </fill>
              <border>
                <vertical/>
                <horizontal/>
              </border>
            </x14:dxf>
          </x14:cfRule>
          <xm:sqref>Q160:R160</xm:sqref>
        </x14:conditionalFormatting>
        <x14:conditionalFormatting xmlns:xm="http://schemas.microsoft.com/office/excel/2006/main">
          <x14:cfRule type="expression" priority="1047" id="{0056FDA5-F740-4214-8184-D291462FB1E4}">
            <xm:f>$S$8='Assessment Details'!$Q$23</xm:f>
            <x14:dxf>
              <font>
                <color theme="0"/>
              </font>
              <fill>
                <patternFill>
                  <bgColor theme="0"/>
                </patternFill>
              </fill>
              <border>
                <vertical/>
                <horizontal/>
              </border>
            </x14:dxf>
          </x14:cfRule>
          <xm:sqref>Q162:R162</xm:sqref>
        </x14:conditionalFormatting>
        <x14:conditionalFormatting xmlns:xm="http://schemas.microsoft.com/office/excel/2006/main">
          <x14:cfRule type="expression" priority="3189" id="{0444930C-4CE3-44D2-BC81-4C1D88FCCA1B}">
            <xm:f>$S$8='Assessment Details'!$Q$23</xm:f>
            <x14:dxf>
              <font>
                <color theme="0"/>
              </font>
              <fill>
                <patternFill>
                  <bgColor theme="0"/>
                </patternFill>
              </fill>
              <border>
                <vertical/>
                <horizontal/>
              </border>
            </x14:dxf>
          </x14:cfRule>
          <xm:sqref>Q165:R165</xm:sqref>
        </x14:conditionalFormatting>
        <x14:conditionalFormatting xmlns:xm="http://schemas.microsoft.com/office/excel/2006/main">
          <x14:cfRule type="expression" priority="2645" id="{5085BEE2-F280-4D62-BA43-B519A5B40CF4}">
            <xm:f>$S$8='Assessment Details'!$Q$23</xm:f>
            <x14:dxf>
              <font>
                <color theme="0"/>
              </font>
              <fill>
                <patternFill>
                  <bgColor theme="0"/>
                </patternFill>
              </fill>
              <border>
                <vertical/>
                <horizontal/>
              </border>
            </x14:dxf>
          </x14:cfRule>
          <xm:sqref>Q168:R168</xm:sqref>
        </x14:conditionalFormatting>
        <x14:conditionalFormatting xmlns:xm="http://schemas.microsoft.com/office/excel/2006/main">
          <x14:cfRule type="expression" priority="2623" id="{DE222025-3144-4E99-8DE8-CC9624D26BAD}">
            <xm:f>$S$8='Assessment Details'!$Q$23</xm:f>
            <x14:dxf>
              <font>
                <color theme="0"/>
              </font>
              <fill>
                <patternFill>
                  <bgColor theme="0"/>
                </patternFill>
              </fill>
              <border>
                <vertical/>
                <horizontal/>
              </border>
            </x14:dxf>
          </x14:cfRule>
          <xm:sqref>Q172:R173</xm:sqref>
        </x14:conditionalFormatting>
        <x14:conditionalFormatting xmlns:xm="http://schemas.microsoft.com/office/excel/2006/main">
          <x14:cfRule type="expression" priority="2601" id="{03F5AC57-CEE1-4E27-BDCA-705C92F9C04A}">
            <xm:f>$S$8='Assessment Details'!$Q$23</xm:f>
            <x14:dxf>
              <font>
                <color theme="0"/>
              </font>
              <fill>
                <patternFill>
                  <bgColor theme="0"/>
                </patternFill>
              </fill>
              <border>
                <vertical/>
                <horizontal/>
              </border>
            </x14:dxf>
          </x14:cfRule>
          <xm:sqref>Q176:R176</xm:sqref>
        </x14:conditionalFormatting>
        <x14:conditionalFormatting xmlns:xm="http://schemas.microsoft.com/office/excel/2006/main">
          <x14:cfRule type="expression" priority="2579" id="{BB47B5EE-B404-4459-A9DC-7A8F921C40F1}">
            <xm:f>$S$8='Assessment Details'!$Q$23</xm:f>
            <x14:dxf>
              <font>
                <color theme="0"/>
              </font>
              <fill>
                <patternFill>
                  <bgColor theme="0"/>
                </patternFill>
              </fill>
              <border>
                <vertical/>
                <horizontal/>
              </border>
            </x14:dxf>
          </x14:cfRule>
          <xm:sqref>Q180:R180</xm:sqref>
        </x14:conditionalFormatting>
        <x14:conditionalFormatting xmlns:xm="http://schemas.microsoft.com/office/excel/2006/main">
          <x14:cfRule type="expression" priority="2557" id="{FF3D70A3-E2F0-4011-AF6E-88CB2A9F4AB2}">
            <xm:f>$S$8='Assessment Details'!$Q$23</xm:f>
            <x14:dxf>
              <font>
                <color theme="0"/>
              </font>
              <fill>
                <patternFill>
                  <bgColor theme="0"/>
                </patternFill>
              </fill>
              <border>
                <vertical/>
                <horizontal/>
              </border>
            </x14:dxf>
          </x14:cfRule>
          <xm:sqref>Q184:R184</xm:sqref>
        </x14:conditionalFormatting>
        <x14:conditionalFormatting xmlns:xm="http://schemas.microsoft.com/office/excel/2006/main">
          <x14:cfRule type="expression" priority="2535" id="{A5C32B32-ED52-48B4-9A25-BD04F4A1AB84}">
            <xm:f>$S$8='Assessment Details'!$Q$23</xm:f>
            <x14:dxf>
              <font>
                <color theme="0"/>
              </font>
              <fill>
                <patternFill>
                  <bgColor theme="0"/>
                </patternFill>
              </fill>
              <border>
                <vertical/>
                <horizontal/>
              </border>
            </x14:dxf>
          </x14:cfRule>
          <xm:sqref>Q186:R186</xm:sqref>
        </x14:conditionalFormatting>
        <x14:conditionalFormatting xmlns:xm="http://schemas.microsoft.com/office/excel/2006/main">
          <x14:cfRule type="expression" priority="2513" id="{A5CBEBC7-91C4-4779-A03E-ED4532776B98}">
            <xm:f>$S$8='Assessment Details'!$Q$23</xm:f>
            <x14:dxf>
              <font>
                <color theme="0"/>
              </font>
              <fill>
                <patternFill>
                  <bgColor theme="0"/>
                </patternFill>
              </fill>
              <border>
                <vertical/>
                <horizontal/>
              </border>
            </x14:dxf>
          </x14:cfRule>
          <xm:sqref>Q189:R189</xm:sqref>
        </x14:conditionalFormatting>
        <x14:conditionalFormatting xmlns:xm="http://schemas.microsoft.com/office/excel/2006/main">
          <x14:cfRule type="expression" priority="1035" id="{01659BDE-7E5B-4728-97BD-B3D5A26A65DA}">
            <xm:f>$S$8='Assessment Details'!$Q$23</xm:f>
            <x14:dxf>
              <font>
                <color theme="0"/>
              </font>
              <fill>
                <patternFill>
                  <bgColor theme="0"/>
                </patternFill>
              </fill>
              <border>
                <vertical/>
                <horizontal/>
              </border>
            </x14:dxf>
          </x14:cfRule>
          <xm:sqref>Q194:R194</xm:sqref>
        </x14:conditionalFormatting>
        <x14:conditionalFormatting xmlns:xm="http://schemas.microsoft.com/office/excel/2006/main">
          <x14:cfRule type="expression" priority="3168" id="{CFFC450B-3C88-4BFB-ACDE-B81081183CE2}">
            <xm:f>$S$8='Assessment Details'!$Q$23</xm:f>
            <x14:dxf>
              <font>
                <color theme="0"/>
              </font>
              <fill>
                <patternFill>
                  <bgColor theme="0"/>
                </patternFill>
              </fill>
              <border>
                <vertical/>
                <horizontal/>
              </border>
            </x14:dxf>
          </x14:cfRule>
          <xm:sqref>Q197:R197</xm:sqref>
        </x14:conditionalFormatting>
        <x14:conditionalFormatting xmlns:xm="http://schemas.microsoft.com/office/excel/2006/main">
          <x14:cfRule type="expression" priority="856" id="{A9A358BE-AE04-490A-B2F6-E1AF02BEC657}">
            <xm:f>$S$8='Assessment Details'!$Q$23</xm:f>
            <x14:dxf>
              <font>
                <color theme="0"/>
              </font>
              <fill>
                <patternFill>
                  <bgColor theme="0"/>
                </patternFill>
              </fill>
              <border>
                <vertical/>
                <horizontal/>
              </border>
            </x14:dxf>
          </x14:cfRule>
          <xm:sqref>Q199:R199</xm:sqref>
        </x14:conditionalFormatting>
        <x14:conditionalFormatting xmlns:xm="http://schemas.microsoft.com/office/excel/2006/main">
          <x14:cfRule type="expression" priority="2491" id="{37A99355-9BE5-4679-964D-6ED8844998FD}">
            <xm:f>$S$8='Assessment Details'!$Q$23</xm:f>
            <x14:dxf>
              <font>
                <color theme="0"/>
              </font>
              <fill>
                <patternFill>
                  <bgColor theme="0"/>
                </patternFill>
              </fill>
              <border>
                <vertical/>
                <horizontal/>
              </border>
            </x14:dxf>
          </x14:cfRule>
          <xm:sqref>Q202:R202</xm:sqref>
        </x14:conditionalFormatting>
        <x14:conditionalFormatting xmlns:xm="http://schemas.microsoft.com/office/excel/2006/main">
          <x14:cfRule type="expression" priority="2469" id="{D7D360FE-8CC6-4803-A70B-CAE7A8DA2370}">
            <xm:f>$S$8='Assessment Details'!$Q$23</xm:f>
            <x14:dxf>
              <font>
                <color theme="0"/>
              </font>
              <fill>
                <patternFill>
                  <bgColor theme="0"/>
                </patternFill>
              </fill>
              <border>
                <vertical/>
                <horizontal/>
              </border>
            </x14:dxf>
          </x14:cfRule>
          <xm:sqref>Q205:R205</xm:sqref>
        </x14:conditionalFormatting>
        <x14:conditionalFormatting xmlns:xm="http://schemas.microsoft.com/office/excel/2006/main">
          <x14:cfRule type="expression" priority="2447" id="{9BE0B12E-ED3A-4BF6-BE58-06E577076887}">
            <xm:f>$S$8='Assessment Details'!$Q$23</xm:f>
            <x14:dxf>
              <font>
                <color theme="0"/>
              </font>
              <fill>
                <patternFill>
                  <bgColor theme="0"/>
                </patternFill>
              </fill>
              <border>
                <vertical/>
                <horizontal/>
              </border>
            </x14:dxf>
          </x14:cfRule>
          <xm:sqref>Q208:R208</xm:sqref>
        </x14:conditionalFormatting>
        <x14:conditionalFormatting xmlns:xm="http://schemas.microsoft.com/office/excel/2006/main">
          <x14:cfRule type="expression" priority="1023" id="{89C49241-A961-4AFA-940F-7360A325BAED}">
            <xm:f>$S$8='Assessment Details'!$Q$23</xm:f>
            <x14:dxf>
              <font>
                <color theme="0"/>
              </font>
              <fill>
                <patternFill>
                  <bgColor theme="0"/>
                </patternFill>
              </fill>
              <border>
                <vertical/>
                <horizontal/>
              </border>
            </x14:dxf>
          </x14:cfRule>
          <xm:sqref>Q211:R211</xm:sqref>
        </x14:conditionalFormatting>
        <x14:conditionalFormatting xmlns:xm="http://schemas.microsoft.com/office/excel/2006/main">
          <x14:cfRule type="expression" priority="689" id="{FCAF0747-B7DD-45B9-9D71-FD5596F44912}">
            <xm:f>$Z$8='Assessment Details'!$Q$23</xm:f>
            <x14:dxf>
              <font>
                <color theme="0"/>
              </font>
              <fill>
                <patternFill>
                  <bgColor theme="0"/>
                </patternFill>
              </fill>
            </x14:dxf>
          </x14:cfRule>
          <x14:cfRule type="expression" priority="688" id="{8A10B796-3553-48A3-A8D4-D6C07CC5F03D}">
            <xm:f>$Z$8='Assessment Details'!$Q$23</xm:f>
            <x14:dxf>
              <border>
                <left style="thin">
                  <color theme="0"/>
                </left>
                <right style="thin">
                  <color theme="0"/>
                </right>
                <top style="thin">
                  <color theme="0"/>
                </top>
                <bottom style="thin">
                  <color theme="0"/>
                </bottom>
                <vertical/>
                <horizontal/>
              </border>
            </x14:dxf>
          </x14:cfRule>
          <xm:sqref>U12:U17</xm:sqref>
        </x14:conditionalFormatting>
        <x14:conditionalFormatting xmlns:xm="http://schemas.microsoft.com/office/excel/2006/main">
          <x14:cfRule type="expression" priority="3341" id="{ADE3DB88-2496-4BE7-BDC3-B98ACF16BED3}">
            <xm:f>$Z$8='Assessment Details'!$Q$23</xm:f>
            <x14:dxf>
              <border>
                <left style="thin">
                  <color theme="0"/>
                </left>
                <right style="thin">
                  <color theme="0"/>
                </right>
                <top style="thin">
                  <color theme="0"/>
                </top>
                <bottom style="thin">
                  <color theme="0"/>
                </bottom>
                <vertical/>
                <horizontal/>
              </border>
            </x14:dxf>
          </x14:cfRule>
          <x14:cfRule type="expression" priority="3342" id="{B0A2CEFF-3203-4EFC-97E6-4FD644D6FD19}">
            <xm:f>$Z$8='Assessment Details'!$Q$23</xm:f>
            <x14:dxf>
              <font>
                <color theme="0"/>
              </font>
              <fill>
                <patternFill>
                  <bgColor theme="0"/>
                </patternFill>
              </fill>
            </x14:dxf>
          </x14:cfRule>
          <xm:sqref>U19:U20</xm:sqref>
        </x14:conditionalFormatting>
        <x14:conditionalFormatting xmlns:xm="http://schemas.microsoft.com/office/excel/2006/main">
          <x14:cfRule type="expression" priority="780" id="{A1124C2E-2CE1-4778-BC0F-B3175E84C11D}">
            <xm:f>$Z$8='Assessment Details'!$Q$23</xm:f>
            <x14:dxf>
              <font>
                <color theme="0"/>
              </font>
              <fill>
                <patternFill>
                  <bgColor theme="0"/>
                </patternFill>
              </fill>
            </x14:dxf>
          </x14:cfRule>
          <x14:cfRule type="expression" priority="779" id="{DFFD3404-113B-426E-8669-4775A0CD70DD}">
            <xm:f>$Z$8='Assessment Details'!$Q$23</xm:f>
            <x14:dxf>
              <border>
                <left style="thin">
                  <color theme="0"/>
                </left>
                <right style="thin">
                  <color theme="0"/>
                </right>
                <top style="thin">
                  <color theme="0"/>
                </top>
                <bottom style="thin">
                  <color theme="0"/>
                </bottom>
                <vertical/>
                <horizontal/>
              </border>
            </x14:dxf>
          </x14:cfRule>
          <xm:sqref>U22:U27</xm:sqref>
        </x14:conditionalFormatting>
        <x14:conditionalFormatting xmlns:xm="http://schemas.microsoft.com/office/excel/2006/main">
          <x14:cfRule type="expression" priority="3334" id="{4DC1D019-7687-4557-AA3C-2EAB0E799B24}">
            <xm:f>$Z$8='Assessment Details'!$Q$23</xm:f>
            <x14:dxf>
              <font>
                <color theme="0"/>
              </font>
              <fill>
                <patternFill>
                  <bgColor theme="0"/>
                </patternFill>
              </fill>
            </x14:dxf>
          </x14:cfRule>
          <x14:cfRule type="expression" priority="3333" id="{C3B9F756-BA02-4BE4-A786-0959C2B9093C}">
            <xm:f>$Z$8='Assessment Details'!$Q$23</xm:f>
            <x14:dxf>
              <border>
                <left style="thin">
                  <color theme="0"/>
                </left>
                <right style="thin">
                  <color theme="0"/>
                </right>
                <top style="thin">
                  <color theme="0"/>
                </top>
                <bottom style="thin">
                  <color theme="0"/>
                </bottom>
                <vertical/>
                <horizontal/>
              </border>
            </x14:dxf>
          </x14:cfRule>
          <xm:sqref>U29:U31</xm:sqref>
        </x14:conditionalFormatting>
        <x14:conditionalFormatting xmlns:xm="http://schemas.microsoft.com/office/excel/2006/main">
          <x14:cfRule type="expression" priority="3330" id="{9D8EAA10-831B-47F6-9880-B672D74A7B47}">
            <xm:f>$Z$8='Assessment Details'!$Q$23</xm:f>
            <x14:dxf>
              <font>
                <color theme="0"/>
              </font>
              <fill>
                <patternFill>
                  <bgColor theme="0"/>
                </patternFill>
              </fill>
            </x14:dxf>
          </x14:cfRule>
          <xm:sqref>U33:U35</xm:sqref>
        </x14:conditionalFormatting>
        <x14:conditionalFormatting xmlns:xm="http://schemas.microsoft.com/office/excel/2006/main">
          <x14:cfRule type="expression" priority="3329" id="{8D490185-C11D-4E2C-A262-0F04EC874789}">
            <xm:f>$Z$8='Assessment Details'!$Q$23</xm:f>
            <x14:dxf>
              <border>
                <left style="thin">
                  <color theme="0"/>
                </left>
                <right style="thin">
                  <color theme="0"/>
                </right>
                <top style="thin">
                  <color theme="0"/>
                </top>
                <bottom style="thin">
                  <color theme="0"/>
                </bottom>
                <vertical/>
                <horizontal/>
              </border>
            </x14:dxf>
          </x14:cfRule>
          <xm:sqref>U33:U36</xm:sqref>
        </x14:conditionalFormatting>
        <x14:conditionalFormatting xmlns:xm="http://schemas.microsoft.com/office/excel/2006/main">
          <x14:cfRule type="expression" priority="239" id="{0ED5B0BE-EB5F-459A-97B7-CB07977EF185}">
            <xm:f>$Z$8='Assessment Details'!$Q$23</xm:f>
            <x14:dxf>
              <border>
                <left style="thin">
                  <color theme="0"/>
                </left>
                <right style="thin">
                  <color theme="0"/>
                </right>
                <top style="thin">
                  <color theme="0"/>
                </top>
                <bottom style="thin">
                  <color theme="0"/>
                </bottom>
                <vertical/>
                <horizontal/>
              </border>
            </x14:dxf>
          </x14:cfRule>
          <x14:cfRule type="expression" priority="240" id="{EE5D9CA1-F0E4-419F-910C-6DE85D74E322}">
            <xm:f>$Z$8='Assessment Details'!$Q$23</xm:f>
            <x14:dxf>
              <font>
                <color theme="0"/>
              </font>
              <fill>
                <patternFill>
                  <bgColor theme="0"/>
                </patternFill>
              </fill>
            </x14:dxf>
          </x14:cfRule>
          <xm:sqref>U40:U46</xm:sqref>
        </x14:conditionalFormatting>
        <x14:conditionalFormatting xmlns:xm="http://schemas.microsoft.com/office/excel/2006/main">
          <x14:cfRule type="expression" priority="2378" id="{B16CC0B9-0CF9-4BC4-B50C-20280CD71DB9}">
            <xm:f>$Z$8='Assessment Details'!$Q$23</xm:f>
            <x14:dxf>
              <font>
                <color theme="0"/>
              </font>
              <fill>
                <patternFill>
                  <bgColor theme="0"/>
                </patternFill>
              </fill>
            </x14:dxf>
          </x14:cfRule>
          <x14:cfRule type="expression" priority="2377" id="{D6211A4D-1F18-47FB-8C6F-B6B4E8C7276F}">
            <xm:f>$Z$8='Assessment Details'!$Q$23</xm:f>
            <x14:dxf>
              <border>
                <left style="thin">
                  <color theme="0"/>
                </left>
                <right style="thin">
                  <color theme="0"/>
                </right>
                <top style="thin">
                  <color theme="0"/>
                </top>
                <bottom style="thin">
                  <color theme="0"/>
                </bottom>
                <vertical/>
                <horizontal/>
              </border>
            </x14:dxf>
          </x14:cfRule>
          <xm:sqref>U48:U51</xm:sqref>
        </x14:conditionalFormatting>
        <x14:conditionalFormatting xmlns:xm="http://schemas.microsoft.com/office/excel/2006/main">
          <x14:cfRule type="expression" priority="2348" id="{70213745-7607-4C38-B131-7AF5FAF240C3}">
            <xm:f>$Z$8='Assessment Details'!$Q$23</xm:f>
            <x14:dxf>
              <border>
                <left style="thin">
                  <color theme="0"/>
                </left>
                <right style="thin">
                  <color theme="0"/>
                </right>
                <top style="thin">
                  <color theme="0"/>
                </top>
                <bottom style="thin">
                  <color theme="0"/>
                </bottom>
                <vertical/>
                <horizontal/>
              </border>
            </x14:dxf>
          </x14:cfRule>
          <x14:cfRule type="expression" priority="2349" id="{C13CF83B-3E24-403D-ACE9-CB88E7959896}">
            <xm:f>$Z$8='Assessment Details'!$Q$23</xm:f>
            <x14:dxf>
              <font>
                <color theme="0"/>
              </font>
              <fill>
                <patternFill>
                  <bgColor theme="0"/>
                </patternFill>
              </fill>
            </x14:dxf>
          </x14:cfRule>
          <xm:sqref>U53:U55</xm:sqref>
        </x14:conditionalFormatting>
        <x14:conditionalFormatting xmlns:xm="http://schemas.microsoft.com/office/excel/2006/main">
          <x14:cfRule type="expression" priority="958" id="{3E522E31-31A2-4846-86B9-8C7E51FDE895}">
            <xm:f>$Z$8='Assessment Details'!$Q$23</xm:f>
            <x14:dxf>
              <border>
                <left style="thin">
                  <color theme="0"/>
                </left>
                <right style="thin">
                  <color theme="0"/>
                </right>
                <top style="thin">
                  <color theme="0"/>
                </top>
                <bottom style="thin">
                  <color theme="0"/>
                </bottom>
                <vertical/>
                <horizontal/>
              </border>
            </x14:dxf>
          </x14:cfRule>
          <x14:cfRule type="expression" priority="959" id="{19AB23A2-C4DB-4818-8BF7-717483615861}">
            <xm:f>$Z$8='Assessment Details'!$Q$23</xm:f>
            <x14:dxf>
              <font>
                <color theme="0"/>
              </font>
              <fill>
                <patternFill>
                  <bgColor theme="0"/>
                </patternFill>
              </fill>
            </x14:dxf>
          </x14:cfRule>
          <xm:sqref>U57:U58</xm:sqref>
        </x14:conditionalFormatting>
        <x14:conditionalFormatting xmlns:xm="http://schemas.microsoft.com/office/excel/2006/main">
          <x14:cfRule type="expression" priority="2291" id="{CB71A114-E15F-4B34-82A8-A06476665063}">
            <xm:f>$Z$8='Assessment Details'!$Q$23</xm:f>
            <x14:dxf>
              <font>
                <color theme="0"/>
              </font>
              <fill>
                <patternFill>
                  <bgColor theme="0"/>
                </patternFill>
              </fill>
            </x14:dxf>
          </x14:cfRule>
          <x14:cfRule type="expression" priority="2290" id="{DB3093EC-74C7-40E1-9C37-44C4FFABBAD7}">
            <xm:f>$Z$8='Assessment Details'!$Q$23</xm:f>
            <x14:dxf>
              <border>
                <left style="thin">
                  <color theme="0"/>
                </left>
                <right style="thin">
                  <color theme="0"/>
                </right>
                <top style="thin">
                  <color theme="0"/>
                </top>
                <bottom style="thin">
                  <color theme="0"/>
                </bottom>
                <vertical/>
                <horizontal/>
              </border>
            </x14:dxf>
          </x14:cfRule>
          <xm:sqref>U60:U61</xm:sqref>
        </x14:conditionalFormatting>
        <x14:conditionalFormatting xmlns:xm="http://schemas.microsoft.com/office/excel/2006/main">
          <x14:cfRule type="expression" priority="1105" id="{ABC178BE-55CD-4AD6-9B80-E1ADE74D0F65}">
            <xm:f>$Z$8='Assessment Details'!$Q$23</xm:f>
            <x14:dxf>
              <font>
                <color theme="0"/>
              </font>
              <fill>
                <patternFill>
                  <bgColor theme="0"/>
                </patternFill>
              </fill>
            </x14:dxf>
          </x14:cfRule>
          <x14:cfRule type="expression" priority="1104" id="{B34A33E1-F52C-4841-AEB3-E470F60604C5}">
            <xm:f>$Z$8='Assessment Details'!$Q$23</xm:f>
            <x14:dxf>
              <border>
                <left style="thin">
                  <color theme="0"/>
                </left>
                <right style="thin">
                  <color theme="0"/>
                </right>
                <top style="thin">
                  <color theme="0"/>
                </top>
                <bottom style="thin">
                  <color theme="0"/>
                </bottom>
                <vertical/>
                <horizontal/>
              </border>
            </x14:dxf>
          </x14:cfRule>
          <xm:sqref>U63:U64</xm:sqref>
        </x14:conditionalFormatting>
        <x14:conditionalFormatting xmlns:xm="http://schemas.microsoft.com/office/excel/2006/main">
          <x14:cfRule type="expression" priority="2232" id="{24B4E335-84BD-46CE-8043-1B118D9235AD}">
            <xm:f>$Z$8='Assessment Details'!$Q$23</xm:f>
            <x14:dxf>
              <border>
                <left style="thin">
                  <color theme="0"/>
                </left>
                <right style="thin">
                  <color theme="0"/>
                </right>
                <top style="thin">
                  <color theme="0"/>
                </top>
                <bottom style="thin">
                  <color theme="0"/>
                </bottom>
                <vertical/>
                <horizontal/>
              </border>
            </x14:dxf>
          </x14:cfRule>
          <xm:sqref>U68:U70 U72:U74</xm:sqref>
        </x14:conditionalFormatting>
        <x14:conditionalFormatting xmlns:xm="http://schemas.microsoft.com/office/excel/2006/main">
          <x14:cfRule type="expression" priority="137" id="{37EEC3DA-3771-43C1-84AB-4DF49BD6D9B7}">
            <xm:f>$Z$8='Assessment Details'!$Q$23</xm:f>
            <x14:dxf>
              <font>
                <color theme="0"/>
              </font>
              <fill>
                <patternFill>
                  <bgColor theme="0"/>
                </patternFill>
              </fill>
            </x14:dxf>
          </x14:cfRule>
          <xm:sqref>U68:U74</xm:sqref>
        </x14:conditionalFormatting>
        <x14:conditionalFormatting xmlns:xm="http://schemas.microsoft.com/office/excel/2006/main">
          <x14:cfRule type="expression" priority="136" id="{0341C9CF-C989-455B-BED3-3F5C54F48A03}">
            <xm:f>$Z$8='Assessment Details'!$Q$23</xm:f>
            <x14:dxf>
              <border>
                <left style="thin">
                  <color theme="0"/>
                </left>
                <right style="thin">
                  <color theme="0"/>
                </right>
                <top style="thin">
                  <color theme="0"/>
                </top>
                <bottom style="thin">
                  <color theme="0"/>
                </bottom>
                <vertical/>
                <horizontal/>
              </border>
            </x14:dxf>
          </x14:cfRule>
          <xm:sqref>U71</xm:sqref>
        </x14:conditionalFormatting>
        <x14:conditionalFormatting xmlns:xm="http://schemas.microsoft.com/office/excel/2006/main">
          <x14:cfRule type="expression" priority="2204" id="{AB0458F2-B50D-48A9-A136-B8142DE40861}">
            <xm:f>$Z$8='Assessment Details'!$Q$23</xm:f>
            <x14:dxf>
              <font>
                <color theme="0"/>
              </font>
              <fill>
                <patternFill>
                  <bgColor theme="0"/>
                </patternFill>
              </fill>
            </x14:dxf>
          </x14:cfRule>
          <x14:cfRule type="expression" priority="2203" id="{04A59890-99BC-4105-8456-C1E9F7D31E91}">
            <xm:f>$Z$8='Assessment Details'!$Q$23</xm:f>
            <x14:dxf>
              <border>
                <left style="thin">
                  <color theme="0"/>
                </left>
                <right style="thin">
                  <color theme="0"/>
                </right>
                <top style="thin">
                  <color theme="0"/>
                </top>
                <bottom style="thin">
                  <color theme="0"/>
                </bottom>
                <vertical/>
                <horizontal/>
              </border>
            </x14:dxf>
          </x14:cfRule>
          <xm:sqref>U76:U78</xm:sqref>
        </x14:conditionalFormatting>
        <x14:conditionalFormatting xmlns:xm="http://schemas.microsoft.com/office/excel/2006/main">
          <x14:cfRule type="expression" priority="2175" id="{2E7100A6-7B8F-4808-B6A2-D3BE9816341C}">
            <xm:f>$Z$8='Assessment Details'!$Q$23</xm:f>
            <x14:dxf>
              <font>
                <color theme="0"/>
              </font>
              <fill>
                <patternFill>
                  <bgColor theme="0"/>
                </patternFill>
              </fill>
            </x14:dxf>
          </x14:cfRule>
          <x14:cfRule type="expression" priority="2174" id="{FC4023BD-68ED-4558-9A2B-3D04902BEE9B}">
            <xm:f>$Z$8='Assessment Details'!$Q$23</xm:f>
            <x14:dxf>
              <border>
                <left style="thin">
                  <color theme="0"/>
                </left>
                <right style="thin">
                  <color theme="0"/>
                </right>
                <top style="thin">
                  <color theme="0"/>
                </top>
                <bottom style="thin">
                  <color theme="0"/>
                </bottom>
                <vertical/>
                <horizontal/>
              </border>
            </x14:dxf>
          </x14:cfRule>
          <xm:sqref>U80:U81</xm:sqref>
        </x14:conditionalFormatting>
        <x14:conditionalFormatting xmlns:xm="http://schemas.microsoft.com/office/excel/2006/main">
          <x14:cfRule type="expression" priority="2145" id="{18AE2361-A98A-42D3-96CF-E77AEE8F46B2}">
            <xm:f>$Z$8='Assessment Details'!$Q$23</xm:f>
            <x14:dxf>
              <border>
                <left style="thin">
                  <color theme="0"/>
                </left>
                <right style="thin">
                  <color theme="0"/>
                </right>
                <top style="thin">
                  <color theme="0"/>
                </top>
                <bottom style="thin">
                  <color theme="0"/>
                </bottom>
                <vertical/>
                <horizontal/>
              </border>
            </x14:dxf>
          </x14:cfRule>
          <x14:cfRule type="expression" priority="2146" id="{6BE170C4-1FB8-4BDF-942B-64FC45CD4B36}">
            <xm:f>$Z$8='Assessment Details'!$Q$23</xm:f>
            <x14:dxf>
              <font>
                <color theme="0"/>
              </font>
              <fill>
                <patternFill>
                  <bgColor theme="0"/>
                </patternFill>
              </fill>
            </x14:dxf>
          </x14:cfRule>
          <xm:sqref>U83:U84</xm:sqref>
        </x14:conditionalFormatting>
        <x14:conditionalFormatting xmlns:xm="http://schemas.microsoft.com/office/excel/2006/main">
          <x14:cfRule type="expression" priority="744" id="{7D01B325-A133-4A43-8630-C038C0769CE1}">
            <xm:f>$Z$8='Assessment Details'!$Q$23</xm:f>
            <x14:dxf>
              <font>
                <color theme="0"/>
              </font>
              <fill>
                <patternFill>
                  <bgColor theme="0"/>
                </patternFill>
              </fill>
            </x14:dxf>
          </x14:cfRule>
          <xm:sqref>U86:U87</xm:sqref>
        </x14:conditionalFormatting>
        <x14:conditionalFormatting xmlns:xm="http://schemas.microsoft.com/office/excel/2006/main">
          <x14:cfRule type="expression" priority="743" id="{8C95A82D-2DB8-47B8-A590-797014BCF744}">
            <xm:f>$Z$8='Assessment Details'!$Q$23</xm:f>
            <x14:dxf>
              <border>
                <left style="thin">
                  <color theme="0"/>
                </left>
                <right style="thin">
                  <color theme="0"/>
                </right>
                <top style="thin">
                  <color theme="0"/>
                </top>
                <bottom style="thin">
                  <color theme="0"/>
                </bottom>
                <vertical/>
                <horizontal/>
              </border>
            </x14:dxf>
          </x14:cfRule>
          <xm:sqref>U86:U88</xm:sqref>
        </x14:conditionalFormatting>
        <x14:conditionalFormatting xmlns:xm="http://schemas.microsoft.com/office/excel/2006/main">
          <x14:cfRule type="expression" priority="2088" id="{350E3395-ADF6-4C24-88B5-226CCCB7E2C1}">
            <xm:f>$Z$8='Assessment Details'!$Q$23</xm:f>
            <x14:dxf>
              <font>
                <color theme="0"/>
              </font>
              <fill>
                <patternFill>
                  <bgColor theme="0"/>
                </patternFill>
              </fill>
            </x14:dxf>
          </x14:cfRule>
          <x14:cfRule type="expression" priority="2087" id="{282C15CE-13FA-41D8-856D-B17BEF62880E}">
            <xm:f>$Z$8='Assessment Details'!$Q$23</xm:f>
            <x14:dxf>
              <border>
                <left style="thin">
                  <color theme="0"/>
                </left>
                <right style="thin">
                  <color theme="0"/>
                </right>
                <top style="thin">
                  <color theme="0"/>
                </top>
                <bottom style="thin">
                  <color theme="0"/>
                </bottom>
                <vertical/>
                <horizontal/>
              </border>
            </x14:dxf>
          </x14:cfRule>
          <xm:sqref>U90:U91</xm:sqref>
        </x14:conditionalFormatting>
        <x14:conditionalFormatting xmlns:xm="http://schemas.microsoft.com/office/excel/2006/main">
          <x14:cfRule type="expression" priority="1092" id="{2E11EAEC-490D-47E0-AC73-6DF2825CAB7B}">
            <xm:f>$Z$8='Assessment Details'!$Q$23</xm:f>
            <x14:dxf>
              <border>
                <left style="thin">
                  <color theme="0"/>
                </left>
                <right style="thin">
                  <color theme="0"/>
                </right>
                <top style="thin">
                  <color theme="0"/>
                </top>
                <bottom style="thin">
                  <color theme="0"/>
                </bottom>
                <vertical/>
                <horizontal/>
              </border>
            </x14:dxf>
          </x14:cfRule>
          <x14:cfRule type="expression" priority="1093" id="{AA2B09B7-D032-4EDC-9E2C-B2613AF925BA}">
            <xm:f>$Z$8='Assessment Details'!$Q$23</xm:f>
            <x14:dxf>
              <font>
                <color theme="0"/>
              </font>
              <fill>
                <patternFill>
                  <bgColor theme="0"/>
                </patternFill>
              </fill>
            </x14:dxf>
          </x14:cfRule>
          <xm:sqref>U93:U94</xm:sqref>
        </x14:conditionalFormatting>
        <x14:conditionalFormatting xmlns:xm="http://schemas.microsoft.com/office/excel/2006/main">
          <x14:cfRule type="expression" priority="2029" id="{1A327D6A-84EE-4B73-BBC3-DA9F1F71661F}">
            <xm:f>$Z$8='Assessment Details'!$Q$23</xm:f>
            <x14:dxf>
              <border>
                <left style="thin">
                  <color theme="0"/>
                </left>
                <right style="thin">
                  <color theme="0"/>
                </right>
                <top style="thin">
                  <color theme="0"/>
                </top>
                <bottom style="thin">
                  <color theme="0"/>
                </bottom>
                <vertical/>
                <horizontal/>
              </border>
            </x14:dxf>
          </x14:cfRule>
          <x14:cfRule type="expression" priority="2030" id="{7AB54FE5-B9DA-4EA7-A9E5-953C8B3C0473}">
            <xm:f>$Z$8='Assessment Details'!$Q$23</xm:f>
            <x14:dxf>
              <font>
                <color theme="0"/>
              </font>
              <fill>
                <patternFill>
                  <bgColor theme="0"/>
                </patternFill>
              </fill>
            </x14:dxf>
          </x14:cfRule>
          <xm:sqref>U98:U99</xm:sqref>
        </x14:conditionalFormatting>
        <x14:conditionalFormatting xmlns:xm="http://schemas.microsoft.com/office/excel/2006/main">
          <x14:cfRule type="expression" priority="704" id="{983395C1-0379-4A53-B586-C7BB4E5634B8}">
            <xm:f>$Z$8='Assessment Details'!$Q$23</xm:f>
            <x14:dxf>
              <border>
                <left style="thin">
                  <color theme="0"/>
                </left>
                <right style="thin">
                  <color theme="0"/>
                </right>
                <top style="thin">
                  <color theme="0"/>
                </top>
                <bottom style="thin">
                  <color theme="0"/>
                </bottom>
                <vertical/>
                <horizontal/>
              </border>
            </x14:dxf>
          </x14:cfRule>
          <x14:cfRule type="expression" priority="705" id="{3D434EE4-339E-4213-A321-7B3E76D92597}">
            <xm:f>$Z$8='Assessment Details'!$Q$23</xm:f>
            <x14:dxf>
              <font>
                <color theme="0"/>
              </font>
              <fill>
                <patternFill>
                  <bgColor theme="0"/>
                </patternFill>
              </fill>
            </x14:dxf>
          </x14:cfRule>
          <xm:sqref>U101:U103</xm:sqref>
        </x14:conditionalFormatting>
        <x14:conditionalFormatting xmlns:xm="http://schemas.microsoft.com/office/excel/2006/main">
          <x14:cfRule type="expression" priority="106" id="{BA7F8CDD-DC98-4F99-BB87-58C518A5CE34}">
            <xm:f>$Z$8='Assessment Details'!$Q$23</xm:f>
            <x14:dxf>
              <border>
                <left style="thin">
                  <color theme="0"/>
                </left>
                <right style="thin">
                  <color theme="0"/>
                </right>
                <top style="thin">
                  <color theme="0"/>
                </top>
                <bottom style="thin">
                  <color theme="0"/>
                </bottom>
                <vertical/>
                <horizontal/>
              </border>
            </x14:dxf>
          </x14:cfRule>
          <xm:sqref>U107</xm:sqref>
        </x14:conditionalFormatting>
        <x14:conditionalFormatting xmlns:xm="http://schemas.microsoft.com/office/excel/2006/main">
          <x14:cfRule type="expression" priority="107" id="{2106F5EB-4ED7-4256-A41E-E75068169A45}">
            <xm:f>$Z$8='Assessment Details'!$Q$23</xm:f>
            <x14:dxf>
              <font>
                <color theme="0"/>
              </font>
              <fill>
                <patternFill>
                  <bgColor theme="0"/>
                </patternFill>
              </fill>
            </x14:dxf>
          </x14:cfRule>
          <xm:sqref>U107:U108</xm:sqref>
        </x14:conditionalFormatting>
        <x14:conditionalFormatting xmlns:xm="http://schemas.microsoft.com/office/excel/2006/main">
          <x14:cfRule type="expression" priority="1971" id="{79A0753E-D3CE-44B3-8FBC-8CBD2433E18D}">
            <xm:f>$Z$8='Assessment Details'!$Q$23</xm:f>
            <x14:dxf>
              <border>
                <left style="thin">
                  <color theme="0"/>
                </left>
                <right style="thin">
                  <color theme="0"/>
                </right>
                <top style="thin">
                  <color theme="0"/>
                </top>
                <bottom style="thin">
                  <color theme="0"/>
                </bottom>
                <vertical/>
                <horizontal/>
              </border>
            </x14:dxf>
          </x14:cfRule>
          <xm:sqref>U108</xm:sqref>
        </x14:conditionalFormatting>
        <x14:conditionalFormatting xmlns:xm="http://schemas.microsoft.com/office/excel/2006/main">
          <x14:cfRule type="expression" priority="1942" id="{F62E1726-0408-441A-A6AF-C3E7A5ECAD32}">
            <xm:f>$Z$8='Assessment Details'!$Q$23</xm:f>
            <x14:dxf>
              <border>
                <left style="thin">
                  <color theme="0"/>
                </left>
                <right style="thin">
                  <color theme="0"/>
                </right>
                <top style="thin">
                  <color theme="0"/>
                </top>
                <bottom style="thin">
                  <color theme="0"/>
                </bottom>
                <vertical/>
                <horizontal/>
              </border>
            </x14:dxf>
          </x14:cfRule>
          <x14:cfRule type="expression" priority="1943" id="{4A476CF7-E041-4E3A-99FF-8438380D39EC}">
            <xm:f>$Z$8='Assessment Details'!$Q$23</xm:f>
            <x14:dxf>
              <font>
                <color theme="0"/>
              </font>
              <fill>
                <patternFill>
                  <bgColor theme="0"/>
                </patternFill>
              </fill>
            </x14:dxf>
          </x14:cfRule>
          <xm:sqref>U110</xm:sqref>
        </x14:conditionalFormatting>
        <x14:conditionalFormatting xmlns:xm="http://schemas.microsoft.com/office/excel/2006/main">
          <x14:cfRule type="expression" priority="1913" id="{1E986299-3ACC-45EB-86AF-48B4725B7348}">
            <xm:f>$Z$8='Assessment Details'!$Q$23</xm:f>
            <x14:dxf>
              <border>
                <left style="thin">
                  <color theme="0"/>
                </left>
                <right style="thin">
                  <color theme="0"/>
                </right>
                <top style="thin">
                  <color theme="0"/>
                </top>
                <bottom style="thin">
                  <color theme="0"/>
                </bottom>
                <vertical/>
                <horizontal/>
              </border>
            </x14:dxf>
          </x14:cfRule>
          <x14:cfRule type="expression" priority="1914" id="{D72C36D9-F5B6-4AB0-8FB7-C5F40119A46A}">
            <xm:f>$Z$8='Assessment Details'!$Q$23</xm:f>
            <x14:dxf>
              <font>
                <color theme="0"/>
              </font>
              <fill>
                <patternFill>
                  <bgColor theme="0"/>
                </patternFill>
              </fill>
            </x14:dxf>
          </x14:cfRule>
          <xm:sqref>U112:U114</xm:sqref>
        </x14:conditionalFormatting>
        <x14:conditionalFormatting xmlns:xm="http://schemas.microsoft.com/office/excel/2006/main">
          <x14:cfRule type="expression" priority="1068" id="{76622B2F-5B20-4947-A273-3BD00F9314A7}">
            <xm:f>$Z$8='Assessment Details'!$Q$23</xm:f>
            <x14:dxf>
              <border>
                <left style="thin">
                  <color theme="0"/>
                </left>
                <right style="thin">
                  <color theme="0"/>
                </right>
                <top style="thin">
                  <color theme="0"/>
                </top>
                <bottom style="thin">
                  <color theme="0"/>
                </bottom>
                <vertical/>
                <horizontal/>
              </border>
            </x14:dxf>
          </x14:cfRule>
          <x14:cfRule type="expression" priority="1069" id="{7D5772DD-D924-4429-89D0-A0B89E56E56E}">
            <xm:f>$Z$8='Assessment Details'!$Q$23</xm:f>
            <x14:dxf>
              <font>
                <color theme="0"/>
              </font>
              <fill>
                <patternFill>
                  <bgColor theme="0"/>
                </patternFill>
              </fill>
            </x14:dxf>
          </x14:cfRule>
          <xm:sqref>U116:U117</xm:sqref>
        </x14:conditionalFormatting>
        <x14:conditionalFormatting xmlns:xm="http://schemas.microsoft.com/office/excel/2006/main">
          <x14:cfRule type="expression" priority="955" id="{E4F5CCB3-7DF2-44C2-997E-04B23439CC35}">
            <xm:f>$Z$8='Assessment Details'!$Q$23</xm:f>
            <x14:dxf>
              <font>
                <color theme="0"/>
              </font>
              <fill>
                <patternFill>
                  <bgColor theme="0"/>
                </patternFill>
              </fill>
            </x14:dxf>
          </x14:cfRule>
          <x14:cfRule type="expression" priority="954" id="{8997DEA7-1621-4987-8607-29D63DAFA6D9}">
            <xm:f>$Z$8='Assessment Details'!$Q$23</xm:f>
            <x14:dxf>
              <border>
                <left style="thin">
                  <color theme="0"/>
                </left>
                <right style="thin">
                  <color theme="0"/>
                </right>
                <top style="thin">
                  <color theme="0"/>
                </top>
                <bottom style="thin">
                  <color theme="0"/>
                </bottom>
                <vertical/>
                <horizontal/>
              </border>
            </x14:dxf>
          </x14:cfRule>
          <xm:sqref>U121:U123</xm:sqref>
        </x14:conditionalFormatting>
        <x14:conditionalFormatting xmlns:xm="http://schemas.microsoft.com/office/excel/2006/main">
          <x14:cfRule type="expression" priority="951" id="{845251D0-00A1-4820-B1E0-5B0CE3E55951}">
            <xm:f>$Z$8='Assessment Details'!$Q$23</xm:f>
            <x14:dxf>
              <font>
                <color theme="0"/>
              </font>
              <fill>
                <patternFill>
                  <bgColor theme="0"/>
                </patternFill>
              </fill>
            </x14:dxf>
          </x14:cfRule>
          <x14:cfRule type="expression" priority="950" id="{B98DEB26-927B-4877-99F1-2CE26AB46A9B}">
            <xm:f>$Z$8='Assessment Details'!$Q$23</xm:f>
            <x14:dxf>
              <border>
                <left style="thin">
                  <color theme="0"/>
                </left>
                <right style="thin">
                  <color theme="0"/>
                </right>
                <top style="thin">
                  <color theme="0"/>
                </top>
                <bottom style="thin">
                  <color theme="0"/>
                </bottom>
                <vertical/>
                <horizontal/>
              </border>
            </x14:dxf>
          </x14:cfRule>
          <xm:sqref>U125:U127</xm:sqref>
        </x14:conditionalFormatting>
        <x14:conditionalFormatting xmlns:xm="http://schemas.microsoft.com/office/excel/2006/main">
          <x14:cfRule type="expression" priority="947" id="{E89EA77A-3AB6-472C-B478-0F7F36629A8D}">
            <xm:f>$Z$8='Assessment Details'!$Q$23</xm:f>
            <x14:dxf>
              <font>
                <color theme="0"/>
              </font>
              <fill>
                <patternFill>
                  <bgColor theme="0"/>
                </patternFill>
              </fill>
            </x14:dxf>
          </x14:cfRule>
          <x14:cfRule type="expression" priority="946" id="{E7D0564C-754D-4F6B-B819-B61EA376CEC6}">
            <xm:f>$Z$8='Assessment Details'!$Q$23</xm:f>
            <x14:dxf>
              <border>
                <left style="thin">
                  <color theme="0"/>
                </left>
                <right style="thin">
                  <color theme="0"/>
                </right>
                <top style="thin">
                  <color theme="0"/>
                </top>
                <bottom style="thin">
                  <color theme="0"/>
                </bottom>
                <vertical/>
                <horizontal/>
              </border>
            </x14:dxf>
          </x14:cfRule>
          <xm:sqref>U129:U131</xm:sqref>
        </x14:conditionalFormatting>
        <x14:conditionalFormatting xmlns:xm="http://schemas.microsoft.com/office/excel/2006/main">
          <x14:cfRule type="expression" priority="887" id="{78D933A3-BF0F-43E5-BA80-71B8ABB8CBE1}">
            <xm:f>$Z$8='Assessment Details'!$Q$23</xm:f>
            <x14:dxf>
              <font>
                <color theme="0"/>
              </font>
              <fill>
                <patternFill>
                  <bgColor theme="0"/>
                </patternFill>
              </fill>
            </x14:dxf>
          </x14:cfRule>
          <x14:cfRule type="expression" priority="886" id="{AB46B7D5-2DE9-49A4-8D5C-3ABCC6D206FD}">
            <xm:f>$Z$8='Assessment Details'!$Q$23</xm:f>
            <x14:dxf>
              <border>
                <left style="thin">
                  <color theme="0"/>
                </left>
                <right style="thin">
                  <color theme="0"/>
                </right>
                <top style="thin">
                  <color theme="0"/>
                </top>
                <bottom style="thin">
                  <color theme="0"/>
                </bottom>
                <vertical/>
                <horizontal/>
              </border>
            </x14:dxf>
          </x14:cfRule>
          <xm:sqref>U133:U137</xm:sqref>
        </x14:conditionalFormatting>
        <x14:conditionalFormatting xmlns:xm="http://schemas.microsoft.com/office/excel/2006/main">
          <x14:cfRule type="expression" priority="27" id="{121D25EC-91F5-4D3E-890D-70BA55A374BA}">
            <xm:f>$Z$8='Assessment Details'!$Q$23</xm:f>
            <x14:dxf>
              <border>
                <left style="thin">
                  <color theme="0"/>
                </left>
                <right style="thin">
                  <color theme="0"/>
                </right>
                <top style="thin">
                  <color theme="0"/>
                </top>
                <bottom style="thin">
                  <color theme="0"/>
                </bottom>
                <vertical/>
                <horizontal/>
              </border>
            </x14:dxf>
          </x14:cfRule>
          <xm:sqref>U139</xm:sqref>
        </x14:conditionalFormatting>
        <x14:conditionalFormatting xmlns:xm="http://schemas.microsoft.com/office/excel/2006/main">
          <x14:cfRule type="expression" priority="28" id="{EC8A3289-B5B7-47C5-AAE4-1F74BDB5E375}">
            <xm:f>$Z$8='Assessment Details'!$Q$23</xm:f>
            <x14:dxf>
              <font>
                <color theme="0"/>
              </font>
              <fill>
                <patternFill>
                  <bgColor theme="0"/>
                </patternFill>
              </fill>
            </x14:dxf>
          </x14:cfRule>
          <xm:sqref>U139:U142</xm:sqref>
        </x14:conditionalFormatting>
        <x14:conditionalFormatting xmlns:xm="http://schemas.microsoft.com/office/excel/2006/main">
          <x14:cfRule type="expression" priority="1710" id="{BDB1FD9F-F546-4D48-8CC0-B2F32DA0D5B9}">
            <xm:f>$Z$8='Assessment Details'!$Q$23</xm:f>
            <x14:dxf>
              <border>
                <left style="thin">
                  <color theme="0"/>
                </left>
                <right style="thin">
                  <color theme="0"/>
                </right>
                <top style="thin">
                  <color theme="0"/>
                </top>
                <bottom style="thin">
                  <color theme="0"/>
                </bottom>
                <vertical/>
                <horizontal/>
              </border>
            </x14:dxf>
          </x14:cfRule>
          <xm:sqref>U140:U142</xm:sqref>
        </x14:conditionalFormatting>
        <x14:conditionalFormatting xmlns:xm="http://schemas.microsoft.com/office/excel/2006/main">
          <x14:cfRule type="expression" priority="1057" id="{4D02F44B-AD7E-441E-80DD-0A60777C100A}">
            <xm:f>$Z$8='Assessment Details'!$Q$23</xm:f>
            <x14:dxf>
              <font>
                <color theme="0"/>
              </font>
              <fill>
                <patternFill>
                  <bgColor theme="0"/>
                </patternFill>
              </fill>
            </x14:dxf>
          </x14:cfRule>
          <x14:cfRule type="expression" priority="1056" id="{C7F05634-C1C7-4679-A9F9-F9612083CF9F}">
            <xm:f>$Z$8='Assessment Details'!$Q$23</xm:f>
            <x14:dxf>
              <border>
                <left style="thin">
                  <color theme="0"/>
                </left>
                <right style="thin">
                  <color theme="0"/>
                </right>
                <top style="thin">
                  <color theme="0"/>
                </top>
                <bottom style="thin">
                  <color theme="0"/>
                </bottom>
                <vertical/>
                <horizontal/>
              </border>
            </x14:dxf>
          </x14:cfRule>
          <xm:sqref>U144:U147</xm:sqref>
        </x14:conditionalFormatting>
        <x14:conditionalFormatting xmlns:xm="http://schemas.microsoft.com/office/excel/2006/main">
          <x14:cfRule type="expression" priority="65" id="{FE62FA4F-DAC3-4F7F-84A3-C2C17B881A0F}">
            <xm:f>$Z$8='Assessment Details'!$Q$23</xm:f>
            <x14:dxf>
              <border>
                <left style="thin">
                  <color theme="0"/>
                </left>
                <right style="thin">
                  <color theme="0"/>
                </right>
                <top style="thin">
                  <color theme="0"/>
                </top>
                <bottom style="thin">
                  <color theme="0"/>
                </bottom>
                <vertical/>
                <horizontal/>
              </border>
            </x14:dxf>
          </x14:cfRule>
          <xm:sqref>U151</xm:sqref>
        </x14:conditionalFormatting>
        <x14:conditionalFormatting xmlns:xm="http://schemas.microsoft.com/office/excel/2006/main">
          <x14:cfRule type="expression" priority="66" id="{5CA1B29F-1A24-4192-97ED-314F34B145BA}">
            <xm:f>$Z$8='Assessment Details'!$Q$23</xm:f>
            <x14:dxf>
              <font>
                <color theme="0"/>
              </font>
              <fill>
                <patternFill>
                  <bgColor theme="0"/>
                </patternFill>
              </fill>
            </x14:dxf>
          </x14:cfRule>
          <xm:sqref>U151:U155</xm:sqref>
        </x14:conditionalFormatting>
        <x14:conditionalFormatting xmlns:xm="http://schemas.microsoft.com/office/excel/2006/main">
          <x14:cfRule type="expression" priority="197" id="{DFF0AE6B-5353-4A62-8464-F3E14179ED2E}">
            <xm:f>$Z$8='Assessment Details'!$Q$23</xm:f>
            <x14:dxf>
              <border>
                <left style="thin">
                  <color theme="0"/>
                </left>
                <right style="thin">
                  <color theme="0"/>
                </right>
                <top style="thin">
                  <color theme="0"/>
                </top>
                <bottom style="thin">
                  <color theme="0"/>
                </bottom>
                <vertical/>
                <horizontal/>
              </border>
            </x14:dxf>
          </x14:cfRule>
          <xm:sqref>U152:U155</xm:sqref>
        </x14:conditionalFormatting>
        <x14:conditionalFormatting xmlns:xm="http://schemas.microsoft.com/office/excel/2006/main">
          <x14:cfRule type="expression" priority="1624" id="{EFD004EF-0AD9-4C0E-A482-FE351BFD77E4}">
            <xm:f>$Z$8='Assessment Details'!$Q$23</xm:f>
            <x14:dxf>
              <font>
                <color theme="0"/>
              </font>
              <fill>
                <patternFill>
                  <bgColor theme="0"/>
                </patternFill>
              </fill>
            </x14:dxf>
          </x14:cfRule>
          <x14:cfRule type="expression" priority="1623" id="{C9BE59CD-01E6-4E04-81D4-CC65C596A545}">
            <xm:f>$Z$8='Assessment Details'!$Q$23</xm:f>
            <x14:dxf>
              <border>
                <left style="thin">
                  <color theme="0"/>
                </left>
                <right style="thin">
                  <color theme="0"/>
                </right>
                <top style="thin">
                  <color theme="0"/>
                </top>
                <bottom style="thin">
                  <color theme="0"/>
                </bottom>
                <vertical/>
                <horizontal/>
              </border>
            </x14:dxf>
          </x14:cfRule>
          <xm:sqref>U157</xm:sqref>
        </x14:conditionalFormatting>
        <x14:conditionalFormatting xmlns:xm="http://schemas.microsoft.com/office/excel/2006/main">
          <x14:cfRule type="expression" priority="1594" id="{A6A933DF-C393-4F14-9D8E-B37AEA7D3CB9}">
            <xm:f>$Z$8='Assessment Details'!$Q$23</xm:f>
            <x14:dxf>
              <border>
                <left style="thin">
                  <color theme="0"/>
                </left>
                <right style="thin">
                  <color theme="0"/>
                </right>
                <top style="thin">
                  <color theme="0"/>
                </top>
                <bottom style="thin">
                  <color theme="0"/>
                </bottom>
                <vertical/>
                <horizontal/>
              </border>
            </x14:dxf>
          </x14:cfRule>
          <x14:cfRule type="expression" priority="1595" id="{505F3318-0C46-4E24-842E-54A82A74FDB0}">
            <xm:f>$Z$8='Assessment Details'!$Q$23</xm:f>
            <x14:dxf>
              <font>
                <color theme="0"/>
              </font>
              <fill>
                <patternFill>
                  <bgColor theme="0"/>
                </patternFill>
              </fill>
            </x14:dxf>
          </x14:cfRule>
          <xm:sqref>U159</xm:sqref>
        </x14:conditionalFormatting>
        <x14:conditionalFormatting xmlns:xm="http://schemas.microsoft.com/office/excel/2006/main">
          <x14:cfRule type="expression" priority="1044" id="{D40BFFAE-632F-4041-81F0-92A93FE14725}">
            <xm:f>$Z$8='Assessment Details'!$Q$23</xm:f>
            <x14:dxf>
              <border>
                <left style="thin">
                  <color theme="0"/>
                </left>
                <right style="thin">
                  <color theme="0"/>
                </right>
                <top style="thin">
                  <color theme="0"/>
                </top>
                <bottom style="thin">
                  <color theme="0"/>
                </bottom>
                <vertical/>
                <horizontal/>
              </border>
            </x14:dxf>
          </x14:cfRule>
          <x14:cfRule type="expression" priority="1045" id="{BA1EBAC0-8656-4B2A-BDB0-FC726DB0747D}">
            <xm:f>$Z$8='Assessment Details'!$Q$23</xm:f>
            <x14:dxf>
              <font>
                <color theme="0"/>
              </font>
              <fill>
                <patternFill>
                  <bgColor theme="0"/>
                </patternFill>
              </fill>
            </x14:dxf>
          </x14:cfRule>
          <xm:sqref>U161:U162</xm:sqref>
        </x14:conditionalFormatting>
        <x14:conditionalFormatting xmlns:xm="http://schemas.microsoft.com/office/excel/2006/main">
          <x14:cfRule type="expression" priority="161" id="{E3A3E958-208D-4007-9FEE-45A1BE170DA7}">
            <xm:f>$Z$8='Assessment Details'!$Q$23</xm:f>
            <x14:dxf>
              <border>
                <left style="thin">
                  <color theme="0"/>
                </left>
                <right style="thin">
                  <color theme="0"/>
                </right>
                <top style="thin">
                  <color theme="0"/>
                </top>
                <bottom style="thin">
                  <color theme="0"/>
                </bottom>
                <vertical/>
                <horizontal/>
              </border>
            </x14:dxf>
          </x14:cfRule>
          <x14:cfRule type="expression" priority="162" id="{645F55AC-AEC3-49A7-9FF8-9C56EC37578F}">
            <xm:f>$Z$8='Assessment Details'!$Q$23</xm:f>
            <x14:dxf>
              <font>
                <color theme="0"/>
              </font>
              <fill>
                <patternFill>
                  <bgColor theme="0"/>
                </patternFill>
              </fill>
            </x14:dxf>
          </x14:cfRule>
          <xm:sqref>U166:U167</xm:sqref>
        </x14:conditionalFormatting>
        <x14:conditionalFormatting xmlns:xm="http://schemas.microsoft.com/office/excel/2006/main">
          <x14:cfRule type="expression" priority="938" id="{D7CF9EF4-7D95-437D-807D-E4BEDB3B5C36}">
            <xm:f>$Z$8='Assessment Details'!$Q$23</xm:f>
            <x14:dxf>
              <border>
                <left style="thin">
                  <color theme="0"/>
                </left>
                <right style="thin">
                  <color theme="0"/>
                </right>
                <top style="thin">
                  <color theme="0"/>
                </top>
                <bottom style="thin">
                  <color theme="0"/>
                </bottom>
                <vertical/>
                <horizontal/>
              </border>
            </x14:dxf>
          </x14:cfRule>
          <x14:cfRule type="expression" priority="939" id="{CF7298BA-77B9-485A-9BE2-478440936C0B}">
            <xm:f>$Z$8='Assessment Details'!$Q$23</xm:f>
            <x14:dxf>
              <font>
                <color theme="0"/>
              </font>
              <fill>
                <patternFill>
                  <bgColor theme="0"/>
                </patternFill>
              </fill>
            </x14:dxf>
          </x14:cfRule>
          <xm:sqref>U169:U171</xm:sqref>
        </x14:conditionalFormatting>
        <x14:conditionalFormatting xmlns:xm="http://schemas.microsoft.com/office/excel/2006/main">
          <x14:cfRule type="expression" priority="1478" id="{7B46AC8A-3833-42E8-83A3-338992A82C94}">
            <xm:f>$Z$8='Assessment Details'!$Q$23</xm:f>
            <x14:dxf>
              <border>
                <left style="thin">
                  <color theme="0"/>
                </left>
                <right style="thin">
                  <color theme="0"/>
                </right>
                <top style="thin">
                  <color theme="0"/>
                </top>
                <bottom style="thin">
                  <color theme="0"/>
                </bottom>
                <vertical/>
                <horizontal/>
              </border>
            </x14:dxf>
          </x14:cfRule>
          <x14:cfRule type="expression" priority="1479" id="{84F84A84-D28C-4541-BF15-E652C7765B65}">
            <xm:f>$Z$8='Assessment Details'!$Q$23</xm:f>
            <x14:dxf>
              <font>
                <color theme="0"/>
              </font>
              <fill>
                <patternFill>
                  <bgColor theme="0"/>
                </patternFill>
              </fill>
            </x14:dxf>
          </x14:cfRule>
          <xm:sqref>U174:U175</xm:sqref>
        </x14:conditionalFormatting>
        <x14:conditionalFormatting xmlns:xm="http://schemas.microsoft.com/office/excel/2006/main">
          <x14:cfRule type="expression" priority="930" id="{2BF95581-B9FF-4EB8-ACA1-D5906B79080F}">
            <xm:f>$Z$8='Assessment Details'!$Q$23</xm:f>
            <x14:dxf>
              <border>
                <left style="thin">
                  <color theme="0"/>
                </left>
                <right style="thin">
                  <color theme="0"/>
                </right>
                <top style="thin">
                  <color theme="0"/>
                </top>
                <bottom style="thin">
                  <color theme="0"/>
                </bottom>
                <vertical/>
                <horizontal/>
              </border>
            </x14:dxf>
          </x14:cfRule>
          <x14:cfRule type="expression" priority="931" id="{9C5F1920-15C5-4D63-BF78-C867EE0D1066}">
            <xm:f>$Z$8='Assessment Details'!$Q$23</xm:f>
            <x14:dxf>
              <font>
                <color theme="0"/>
              </font>
              <fill>
                <patternFill>
                  <bgColor theme="0"/>
                </patternFill>
              </fill>
            </x14:dxf>
          </x14:cfRule>
          <xm:sqref>U177:U179</xm:sqref>
        </x14:conditionalFormatting>
        <x14:conditionalFormatting xmlns:xm="http://schemas.microsoft.com/office/excel/2006/main">
          <x14:cfRule type="expression" priority="926" id="{60293951-1398-4DE9-B2F3-E03416288676}">
            <xm:f>$Z$8='Assessment Details'!$Q$23</xm:f>
            <x14:dxf>
              <border>
                <left style="thin">
                  <color theme="0"/>
                </left>
                <right style="thin">
                  <color theme="0"/>
                </right>
                <top style="thin">
                  <color theme="0"/>
                </top>
                <bottom style="thin">
                  <color theme="0"/>
                </bottom>
                <vertical/>
                <horizontal/>
              </border>
            </x14:dxf>
          </x14:cfRule>
          <x14:cfRule type="expression" priority="927" id="{24031FE4-1162-4B7D-898B-DBE9F537F491}">
            <xm:f>$Z$8='Assessment Details'!$Q$23</xm:f>
            <x14:dxf>
              <font>
                <color theme="0"/>
              </font>
              <fill>
                <patternFill>
                  <bgColor theme="0"/>
                </patternFill>
              </fill>
            </x14:dxf>
          </x14:cfRule>
          <xm:sqref>U181:U183</xm:sqref>
        </x14:conditionalFormatting>
        <x14:conditionalFormatting xmlns:xm="http://schemas.microsoft.com/office/excel/2006/main">
          <x14:cfRule type="expression" priority="1391" id="{5CFF3259-D6B5-403F-B1C7-61A200BA1D99}">
            <xm:f>$Z$8='Assessment Details'!$Q$23</xm:f>
            <x14:dxf>
              <border>
                <left style="thin">
                  <color theme="0"/>
                </left>
                <right style="thin">
                  <color theme="0"/>
                </right>
                <top style="thin">
                  <color theme="0"/>
                </top>
                <bottom style="thin">
                  <color theme="0"/>
                </bottom>
                <vertical/>
                <horizontal/>
              </border>
            </x14:dxf>
          </x14:cfRule>
          <x14:cfRule type="expression" priority="1392" id="{EC96F803-68EB-422C-85D3-F19E95C35C07}">
            <xm:f>$Z$8='Assessment Details'!$Q$23</xm:f>
            <x14:dxf>
              <font>
                <color theme="0"/>
              </font>
              <fill>
                <patternFill>
                  <bgColor theme="0"/>
                </patternFill>
              </fill>
            </x14:dxf>
          </x14:cfRule>
          <xm:sqref>U185</xm:sqref>
        </x14:conditionalFormatting>
        <x14:conditionalFormatting xmlns:xm="http://schemas.microsoft.com/office/excel/2006/main">
          <x14:cfRule type="expression" priority="923" id="{9EF85750-6FC4-475C-8C83-DFB11D4C3DA0}">
            <xm:f>$Z$8='Assessment Details'!$Q$23</xm:f>
            <x14:dxf>
              <font>
                <color theme="0"/>
              </font>
              <fill>
                <patternFill>
                  <bgColor theme="0"/>
                </patternFill>
              </fill>
            </x14:dxf>
          </x14:cfRule>
          <x14:cfRule type="expression" priority="922" id="{6010812E-E8F6-4C2D-B2E1-5E66992EFB0A}">
            <xm:f>$Z$8='Assessment Details'!$Q$23</xm:f>
            <x14:dxf>
              <border>
                <left style="thin">
                  <color theme="0"/>
                </left>
                <right style="thin">
                  <color theme="0"/>
                </right>
                <top style="thin">
                  <color theme="0"/>
                </top>
                <bottom style="thin">
                  <color theme="0"/>
                </bottom>
                <vertical/>
                <horizontal/>
              </border>
            </x14:dxf>
          </x14:cfRule>
          <xm:sqref>U187:U188</xm:sqref>
        </x14:conditionalFormatting>
        <x14:conditionalFormatting xmlns:xm="http://schemas.microsoft.com/office/excel/2006/main">
          <x14:cfRule type="expression" priority="919" id="{0D72CF25-68DE-4A74-8636-9DAF8D6D6513}">
            <xm:f>$Z$8='Assessment Details'!$Q$23</xm:f>
            <x14:dxf>
              <font>
                <color theme="0"/>
              </font>
              <fill>
                <patternFill>
                  <bgColor theme="0"/>
                </patternFill>
              </fill>
            </x14:dxf>
          </x14:cfRule>
          <x14:cfRule type="expression" priority="918" id="{0ADC0875-4C4C-4DE0-AB5F-F67641AFDAA8}">
            <xm:f>$Z$8='Assessment Details'!$Q$23</xm:f>
            <x14:dxf>
              <border>
                <left style="thin">
                  <color theme="0"/>
                </left>
                <right style="thin">
                  <color theme="0"/>
                </right>
                <top style="thin">
                  <color theme="0"/>
                </top>
                <bottom style="thin">
                  <color theme="0"/>
                </bottom>
                <vertical/>
                <horizontal/>
              </border>
            </x14:dxf>
          </x14:cfRule>
          <xm:sqref>U190:U194</xm:sqref>
        </x14:conditionalFormatting>
        <x14:conditionalFormatting xmlns:xm="http://schemas.microsoft.com/office/excel/2006/main">
          <x14:cfRule type="expression" priority="837" id="{6603C269-79BC-4AF0-A48B-5E9E9B275056}">
            <xm:f>$Z$8='Assessment Details'!$Q$23</xm:f>
            <x14:dxf>
              <border>
                <left style="thin">
                  <color theme="0"/>
                </left>
                <right style="thin">
                  <color theme="0"/>
                </right>
                <top style="thin">
                  <color theme="0"/>
                </top>
                <bottom style="thin">
                  <color theme="0"/>
                </bottom>
                <vertical/>
                <horizontal/>
              </border>
            </x14:dxf>
          </x14:cfRule>
          <x14:cfRule type="expression" priority="838" id="{878A2DCC-515D-4CD5-8B70-E72BA35F09A6}">
            <xm:f>$Z$8='Assessment Details'!$Q$23</xm:f>
            <x14:dxf>
              <font>
                <color theme="0"/>
              </font>
              <fill>
                <patternFill>
                  <bgColor theme="0"/>
                </patternFill>
              </fill>
            </x14:dxf>
          </x14:cfRule>
          <xm:sqref>U198:U201</xm:sqref>
        </x14:conditionalFormatting>
        <x14:conditionalFormatting xmlns:xm="http://schemas.microsoft.com/office/excel/2006/main">
          <x14:cfRule type="expression" priority="1276" id="{99BF82AF-6DDE-4C97-9EDE-55F2D2148B47}">
            <xm:f>$Z$8='Assessment Details'!$Q$23</xm:f>
            <x14:dxf>
              <font>
                <color theme="0"/>
              </font>
              <fill>
                <patternFill>
                  <bgColor theme="0"/>
                </patternFill>
              </fill>
            </x14:dxf>
          </x14:cfRule>
          <x14:cfRule type="expression" priority="1275" id="{786C99D9-805D-4EC4-AAA5-946042835C3F}">
            <xm:f>$Z$8='Assessment Details'!$Q$23</xm:f>
            <x14:dxf>
              <border>
                <left style="thin">
                  <color theme="0"/>
                </left>
                <right style="thin">
                  <color theme="0"/>
                </right>
                <top style="thin">
                  <color theme="0"/>
                </top>
                <bottom style="thin">
                  <color theme="0"/>
                </bottom>
                <vertical/>
                <horizontal/>
              </border>
            </x14:dxf>
          </x14:cfRule>
          <xm:sqref>U203:U204</xm:sqref>
        </x14:conditionalFormatting>
        <x14:conditionalFormatting xmlns:xm="http://schemas.microsoft.com/office/excel/2006/main">
          <x14:cfRule type="expression" priority="1246" id="{ED8048D2-72D6-46EC-B068-FC4231F93B04}">
            <xm:f>$Z$8='Assessment Details'!$Q$23</xm:f>
            <x14:dxf>
              <border>
                <left style="thin">
                  <color theme="0"/>
                </left>
                <right style="thin">
                  <color theme="0"/>
                </right>
                <top style="thin">
                  <color theme="0"/>
                </top>
                <bottom style="thin">
                  <color theme="0"/>
                </bottom>
                <vertical/>
                <horizontal/>
              </border>
            </x14:dxf>
          </x14:cfRule>
          <x14:cfRule type="expression" priority="1247" id="{227D99A2-8A89-4449-B850-632A63640735}">
            <xm:f>$Z$8='Assessment Details'!$Q$23</xm:f>
            <x14:dxf>
              <font>
                <color theme="0"/>
              </font>
              <fill>
                <patternFill>
                  <bgColor theme="0"/>
                </patternFill>
              </fill>
            </x14:dxf>
          </x14:cfRule>
          <xm:sqref>U206:U207</xm:sqref>
        </x14:conditionalFormatting>
        <x14:conditionalFormatting xmlns:xm="http://schemas.microsoft.com/office/excel/2006/main">
          <x14:cfRule type="expression" priority="1021" id="{43E8197F-C15F-4E6A-9D11-219C57008C5C}">
            <xm:f>$Z$8='Assessment Details'!$Q$23</xm:f>
            <x14:dxf>
              <font>
                <color theme="0"/>
              </font>
              <fill>
                <patternFill>
                  <bgColor theme="0"/>
                </patternFill>
              </fill>
            </x14:dxf>
          </x14:cfRule>
          <x14:cfRule type="expression" priority="1020" id="{F45E98F7-5F58-46EB-8121-5241DBEB9E82}">
            <xm:f>$Z$8='Assessment Details'!$Q$23</xm:f>
            <x14:dxf>
              <border>
                <left style="thin">
                  <color theme="0"/>
                </left>
                <right style="thin">
                  <color theme="0"/>
                </right>
                <top style="thin">
                  <color theme="0"/>
                </top>
                <bottom style="thin">
                  <color theme="0"/>
                </bottom>
                <vertical/>
                <horizontal/>
              </border>
            </x14:dxf>
          </x14:cfRule>
          <xm:sqref>U209:U211</xm:sqref>
        </x14:conditionalFormatting>
        <x14:conditionalFormatting xmlns:xm="http://schemas.microsoft.com/office/excel/2006/main">
          <x14:cfRule type="expression" priority="1008" id="{6A2E87DA-EB79-40E0-873E-702FD57712F9}">
            <xm:f>$Z$8='Assessment Details'!$Q$23</xm:f>
            <x14:dxf>
              <border>
                <left style="thin">
                  <color theme="0"/>
                </left>
                <right style="thin">
                  <color theme="0"/>
                </right>
                <top style="thin">
                  <color theme="0"/>
                </top>
                <bottom style="thin">
                  <color theme="0"/>
                </bottom>
                <vertical/>
                <horizontal/>
              </border>
            </x14:dxf>
          </x14:cfRule>
          <xm:sqref>U214:U228</xm:sqref>
        </x14:conditionalFormatting>
        <x14:conditionalFormatting xmlns:xm="http://schemas.microsoft.com/office/excel/2006/main">
          <x14:cfRule type="expression" priority="1009" id="{3B264B50-F180-4FE0-8A6C-12ECE604D2C9}">
            <xm:f>$Z$8='Assessment Details'!$Q$23</xm:f>
            <x14:dxf>
              <font>
                <color theme="0"/>
              </font>
              <fill>
                <patternFill>
                  <bgColor theme="0"/>
                </patternFill>
              </fill>
            </x14:dxf>
          </x14:cfRule>
          <xm:sqref>U223:U228</xm:sqref>
        </x14:conditionalFormatting>
        <x14:conditionalFormatting xmlns:xm="http://schemas.microsoft.com/office/excel/2006/main">
          <x14:cfRule type="expression" priority="4182" id="{E03EFE18-FBBD-40FC-BDF3-34AF33D8729A}">
            <xm:f>$S$8='Assessment Details'!$Q$23</xm:f>
            <x14:dxf>
              <font>
                <color theme="0"/>
              </font>
              <fill>
                <patternFill>
                  <bgColor theme="0"/>
                </patternFill>
              </fill>
              <border>
                <vertical/>
                <horizontal/>
              </border>
            </x14:dxf>
          </x14:cfRule>
          <x14:cfRule type="expression" priority="4181" id="{1B409915-313F-482D-9590-169533B82CE8}">
            <xm:f>$S$8='Assessment Details'!$Q$23</xm:f>
            <x14:dxf>
              <border>
                <left style="thin">
                  <color theme="0"/>
                </left>
                <right style="thin">
                  <color theme="0"/>
                </right>
                <top style="thin">
                  <color theme="0"/>
                </top>
                <bottom style="thin">
                  <color theme="0"/>
                </bottom>
                <vertical/>
                <horizontal/>
              </border>
            </x14:dxf>
          </x14:cfRule>
          <xm:sqref>U238:W238</xm:sqref>
        </x14:conditionalFormatting>
        <x14:conditionalFormatting xmlns:xm="http://schemas.microsoft.com/office/excel/2006/main">
          <x14:cfRule type="expression" priority="4033" id="{3E1A5667-438E-4E2D-A819-A6E789848E50}">
            <xm:f>$Z$8='Assessment Details'!$Q$23</xm:f>
            <x14:dxf>
              <font>
                <color theme="0"/>
              </font>
              <fill>
                <patternFill>
                  <bgColor theme="0"/>
                </patternFill>
              </fill>
            </x14:dxf>
          </x14:cfRule>
          <xm:sqref>U253:W254</xm:sqref>
        </x14:conditionalFormatting>
        <x14:conditionalFormatting xmlns:xm="http://schemas.microsoft.com/office/excel/2006/main">
          <x14:cfRule type="expression" priority="3690" id="{77D1E0B0-30DF-4C79-9789-3D9EF437F938}">
            <xm:f>$Z$8='Assessment Details'!$Q$23</xm:f>
            <x14:dxf>
              <font>
                <color theme="0"/>
              </font>
              <fill>
                <patternFill>
                  <bgColor theme="0"/>
                </patternFill>
              </fill>
            </x14:dxf>
          </x14:cfRule>
          <x14:cfRule type="expression" priority="3689" id="{3612A464-E812-4286-B9F5-C19F3242B82C}">
            <xm:f>$Z$8='Assessment Details'!$Q$23</xm:f>
            <x14:dxf>
              <border>
                <left style="thin">
                  <color theme="0"/>
                </left>
                <right style="thin">
                  <color theme="0"/>
                </right>
                <top style="thin">
                  <color theme="0"/>
                </top>
                <bottom style="thin">
                  <color theme="0"/>
                </bottom>
                <vertical/>
                <horizontal/>
              </border>
            </x14:dxf>
          </x14:cfRule>
          <xm:sqref>U247:Y250</xm:sqref>
        </x14:conditionalFormatting>
        <x14:conditionalFormatting xmlns:xm="http://schemas.microsoft.com/office/excel/2006/main">
          <x14:cfRule type="expression" priority="4032" id="{548FE308-7257-4041-A67A-44E3146350BC}">
            <xm:f>$Z$8='Assessment Details'!$Q$23</xm:f>
            <x14:dxf>
              <border>
                <left style="thin">
                  <color theme="0"/>
                </left>
                <right style="thin">
                  <color theme="0"/>
                </right>
                <top style="thin">
                  <color theme="0"/>
                </top>
                <bottom style="thin">
                  <color theme="0"/>
                </bottom>
                <vertical/>
                <horizontal/>
              </border>
            </x14:dxf>
          </x14:cfRule>
          <xm:sqref>U253:Y254</xm:sqref>
        </x14:conditionalFormatting>
        <x14:conditionalFormatting xmlns:xm="http://schemas.microsoft.com/office/excel/2006/main">
          <x14:cfRule type="expression" priority="3969" id="{05CD3DBD-1D3C-47C4-979A-3B6551DB1F7B}">
            <xm:f>$Z$8='Assessment Details'!$Q$23</xm:f>
            <x14:dxf>
              <font>
                <color theme="0"/>
              </font>
              <fill>
                <patternFill>
                  <bgColor theme="0"/>
                </patternFill>
              </fill>
            </x14:dxf>
          </x14:cfRule>
          <xm:sqref>U256:Y257</xm:sqref>
        </x14:conditionalFormatting>
        <x14:conditionalFormatting xmlns:xm="http://schemas.microsoft.com/office/excel/2006/main">
          <x14:cfRule type="expression" priority="3924" id="{666DDFF4-B863-47FE-ABF9-E2EE77E7729D}">
            <xm:f>$Z$8='Assessment Details'!$Q$23</xm:f>
            <x14:dxf>
              <border>
                <left style="thin">
                  <color theme="0"/>
                </left>
                <right style="thin">
                  <color theme="0"/>
                </right>
                <top style="thin">
                  <color theme="0"/>
                </top>
                <bottom style="thin">
                  <color theme="0"/>
                </bottom>
                <vertical/>
                <horizontal/>
              </border>
            </x14:dxf>
          </x14:cfRule>
          <xm:sqref>U256:Y261</xm:sqref>
        </x14:conditionalFormatting>
        <x14:conditionalFormatting xmlns:xm="http://schemas.microsoft.com/office/excel/2006/main">
          <x14:cfRule type="expression" priority="3925" id="{8171F4EA-E567-40FF-BC0B-6FCFBEC7F2DA}">
            <xm:f>$Z$8='Assessment Details'!$Q$23</xm:f>
            <x14:dxf>
              <font>
                <color theme="0"/>
              </font>
              <fill>
                <patternFill>
                  <bgColor theme="0"/>
                </patternFill>
              </fill>
            </x14:dxf>
          </x14:cfRule>
          <xm:sqref>U259:Y261</xm:sqref>
        </x14:conditionalFormatting>
        <x14:conditionalFormatting xmlns:xm="http://schemas.microsoft.com/office/excel/2006/main">
          <x14:cfRule type="expression" priority="4507" id="{EF72BBD8-21BF-47F9-A216-8FDC90D5599B}">
            <xm:f>$Z$8='Assessment Details'!$Q$23</xm:f>
            <x14:dxf>
              <border>
                <left style="thin">
                  <color theme="0"/>
                </left>
                <right style="thin">
                  <color theme="0"/>
                </right>
                <top style="thin">
                  <color theme="0"/>
                </top>
                <bottom style="thin">
                  <color theme="0"/>
                </bottom>
                <vertical/>
                <horizontal/>
              </border>
            </x14:dxf>
          </x14:cfRule>
          <xm:sqref>U9:Z10 U37:V38 U65:V66 U95:V96 U104:V105 U118:V119 U148:V149 U163:V164 U195:V196 U212:V213 Z228</xm:sqref>
        </x14:conditionalFormatting>
        <x14:conditionalFormatting xmlns:xm="http://schemas.microsoft.com/office/excel/2006/main">
          <x14:cfRule type="expression" priority="21" id="{CFB16048-1C44-46C6-9915-C0B1B9D9D4D0}">
            <xm:f>$Z$8='Assessment Details'!$Q$23</xm:f>
            <x14:dxf>
              <font>
                <color theme="0"/>
              </font>
              <fill>
                <patternFill>
                  <bgColor theme="0"/>
                </patternFill>
              </fill>
              <border>
                <left/>
                <right/>
                <top/>
                <bottom/>
              </border>
            </x14:dxf>
          </x14:cfRule>
          <xm:sqref>U9:Z228</xm:sqref>
        </x14:conditionalFormatting>
        <x14:conditionalFormatting xmlns:xm="http://schemas.microsoft.com/office/excel/2006/main">
          <x14:cfRule type="expression" priority="572" id="{8549E820-C377-48FD-A48B-8593111D4F8A}">
            <xm:f>$S$8='Assessment Details'!$Q$23</xm:f>
            <x14:dxf>
              <font>
                <color theme="0"/>
              </font>
              <fill>
                <patternFill>
                  <bgColor theme="0"/>
                </patternFill>
              </fill>
              <border>
                <vertical/>
                <horizontal/>
              </border>
            </x14:dxf>
          </x14:cfRule>
          <x14:cfRule type="expression" priority="571" id="{3A81CF31-E8DE-433C-BBAB-BC4BC823E4CF}">
            <xm:f>$S$8='Assessment Details'!$Q$23</xm:f>
            <x14:dxf>
              <border>
                <left style="thin">
                  <color theme="0"/>
                </left>
                <right style="thin">
                  <color theme="0"/>
                </right>
                <top style="thin">
                  <color theme="0"/>
                </top>
                <bottom style="thin">
                  <color theme="0"/>
                </bottom>
                <vertical/>
                <horizontal/>
              </border>
            </x14:dxf>
          </x14:cfRule>
          <xm:sqref>W37:W38</xm:sqref>
        </x14:conditionalFormatting>
        <x14:conditionalFormatting xmlns:xm="http://schemas.microsoft.com/office/excel/2006/main">
          <x14:cfRule type="expression" priority="565" id="{56AD95EA-5B74-4280-B8EE-32D6E0A2A840}">
            <xm:f>$S$8='Assessment Details'!$Q$23</xm:f>
            <x14:dxf>
              <font>
                <color theme="0"/>
              </font>
              <fill>
                <patternFill>
                  <bgColor theme="0"/>
                </patternFill>
              </fill>
              <border>
                <vertical/>
                <horizontal/>
              </border>
            </x14:dxf>
          </x14:cfRule>
          <x14:cfRule type="expression" priority="564" id="{B29C4BCE-0079-496D-8EDC-BDB4F14A6BE5}">
            <xm:f>$S$8='Assessment Details'!$Q$23</xm:f>
            <x14:dxf>
              <border>
                <left style="thin">
                  <color theme="0"/>
                </left>
                <right style="thin">
                  <color theme="0"/>
                </right>
                <top style="thin">
                  <color theme="0"/>
                </top>
                <bottom style="thin">
                  <color theme="0"/>
                </bottom>
                <vertical/>
                <horizontal/>
              </border>
            </x14:dxf>
          </x14:cfRule>
          <xm:sqref>W65:W66</xm:sqref>
        </x14:conditionalFormatting>
        <x14:conditionalFormatting xmlns:xm="http://schemas.microsoft.com/office/excel/2006/main">
          <x14:cfRule type="expression" priority="557" id="{FCC3926C-CE4D-447F-B735-42A02E10F3CC}">
            <xm:f>$S$8='Assessment Details'!$Q$23</xm:f>
            <x14:dxf>
              <border>
                <left style="thin">
                  <color theme="0"/>
                </left>
                <right style="thin">
                  <color theme="0"/>
                </right>
                <top style="thin">
                  <color theme="0"/>
                </top>
                <bottom style="thin">
                  <color theme="0"/>
                </bottom>
                <vertical/>
                <horizontal/>
              </border>
            </x14:dxf>
          </x14:cfRule>
          <x14:cfRule type="expression" priority="558" id="{703C8C6D-B206-4EA6-8EF5-42C47E7733B6}">
            <xm:f>$S$8='Assessment Details'!$Q$23</xm:f>
            <x14:dxf>
              <font>
                <color theme="0"/>
              </font>
              <fill>
                <patternFill>
                  <bgColor theme="0"/>
                </patternFill>
              </fill>
              <border>
                <vertical/>
                <horizontal/>
              </border>
            </x14:dxf>
          </x14:cfRule>
          <xm:sqref>W95:W96</xm:sqref>
        </x14:conditionalFormatting>
        <x14:conditionalFormatting xmlns:xm="http://schemas.microsoft.com/office/excel/2006/main">
          <x14:cfRule type="expression" priority="551" id="{34E6D511-70AB-4E9D-B5C3-3CA4966EA31C}">
            <xm:f>$S$8='Assessment Details'!$Q$23</xm:f>
            <x14:dxf>
              <font>
                <color theme="0"/>
              </font>
              <fill>
                <patternFill>
                  <bgColor theme="0"/>
                </patternFill>
              </fill>
              <border>
                <vertical/>
                <horizontal/>
              </border>
            </x14:dxf>
          </x14:cfRule>
          <x14:cfRule type="expression" priority="550" id="{B7DC1EBD-D6C5-4B8C-8B3A-9E4F0FEC1CB8}">
            <xm:f>$S$8='Assessment Details'!$Q$23</xm:f>
            <x14:dxf>
              <border>
                <left style="thin">
                  <color theme="0"/>
                </left>
                <right style="thin">
                  <color theme="0"/>
                </right>
                <top style="thin">
                  <color theme="0"/>
                </top>
                <bottom style="thin">
                  <color theme="0"/>
                </bottom>
                <vertical/>
                <horizontal/>
              </border>
            </x14:dxf>
          </x14:cfRule>
          <xm:sqref>W104:W105</xm:sqref>
        </x14:conditionalFormatting>
        <x14:conditionalFormatting xmlns:xm="http://schemas.microsoft.com/office/excel/2006/main">
          <x14:cfRule type="expression" priority="543" id="{33E3661B-D345-4D41-B2F3-A7D4897D48C9}">
            <xm:f>$S$8='Assessment Details'!$Q$23</xm:f>
            <x14:dxf>
              <border>
                <left style="thin">
                  <color theme="0"/>
                </left>
                <right style="thin">
                  <color theme="0"/>
                </right>
                <top style="thin">
                  <color theme="0"/>
                </top>
                <bottom style="thin">
                  <color theme="0"/>
                </bottom>
                <vertical/>
                <horizontal/>
              </border>
            </x14:dxf>
          </x14:cfRule>
          <x14:cfRule type="expression" priority="544" id="{F94B71A7-BD36-4236-A6DC-1AAF0A79DA9C}">
            <xm:f>$S$8='Assessment Details'!$Q$23</xm:f>
            <x14:dxf>
              <font>
                <color theme="0"/>
              </font>
              <fill>
                <patternFill>
                  <bgColor theme="0"/>
                </patternFill>
              </fill>
              <border>
                <vertical/>
                <horizontal/>
              </border>
            </x14:dxf>
          </x14:cfRule>
          <xm:sqref>W118:W119</xm:sqref>
        </x14:conditionalFormatting>
        <x14:conditionalFormatting xmlns:xm="http://schemas.microsoft.com/office/excel/2006/main">
          <x14:cfRule type="expression" priority="537" id="{C86AD676-9B60-41E2-B9D1-2A4407514768}">
            <xm:f>$S$8='Assessment Details'!$Q$23</xm:f>
            <x14:dxf>
              <font>
                <color theme="0"/>
              </font>
              <fill>
                <patternFill>
                  <bgColor theme="0"/>
                </patternFill>
              </fill>
              <border>
                <vertical/>
                <horizontal/>
              </border>
            </x14:dxf>
          </x14:cfRule>
          <x14:cfRule type="expression" priority="536" id="{B009EFF1-5C4E-404B-97CB-A75E98C24251}">
            <xm:f>$S$8='Assessment Details'!$Q$23</xm:f>
            <x14:dxf>
              <border>
                <left style="thin">
                  <color theme="0"/>
                </left>
                <right style="thin">
                  <color theme="0"/>
                </right>
                <top style="thin">
                  <color theme="0"/>
                </top>
                <bottom style="thin">
                  <color theme="0"/>
                </bottom>
                <vertical/>
                <horizontal/>
              </border>
            </x14:dxf>
          </x14:cfRule>
          <xm:sqref>W148:W149</xm:sqref>
        </x14:conditionalFormatting>
        <x14:conditionalFormatting xmlns:xm="http://schemas.microsoft.com/office/excel/2006/main">
          <x14:cfRule type="expression" priority="529" id="{F0873F40-3A68-4411-B534-637CE6F9DFA3}">
            <xm:f>$S$8='Assessment Details'!$Q$23</xm:f>
            <x14:dxf>
              <border>
                <left style="thin">
                  <color theme="0"/>
                </left>
                <right style="thin">
                  <color theme="0"/>
                </right>
                <top style="thin">
                  <color theme="0"/>
                </top>
                <bottom style="thin">
                  <color theme="0"/>
                </bottom>
                <vertical/>
                <horizontal/>
              </border>
            </x14:dxf>
          </x14:cfRule>
          <x14:cfRule type="expression" priority="530" id="{6323C794-8A7C-4992-8E90-CAF3FDDFA08D}">
            <xm:f>$S$8='Assessment Details'!$Q$23</xm:f>
            <x14:dxf>
              <font>
                <color theme="0"/>
              </font>
              <fill>
                <patternFill>
                  <bgColor theme="0"/>
                </patternFill>
              </fill>
              <border>
                <vertical/>
                <horizontal/>
              </border>
            </x14:dxf>
          </x14:cfRule>
          <xm:sqref>W163:W164</xm:sqref>
        </x14:conditionalFormatting>
        <x14:conditionalFormatting xmlns:xm="http://schemas.microsoft.com/office/excel/2006/main">
          <x14:cfRule type="expression" priority="523" id="{FCD05809-E385-43B1-BEE9-32BBF65D574F}">
            <xm:f>$S$8='Assessment Details'!$Q$23</xm:f>
            <x14:dxf>
              <font>
                <color theme="0"/>
              </font>
              <fill>
                <patternFill>
                  <bgColor theme="0"/>
                </patternFill>
              </fill>
              <border>
                <vertical/>
                <horizontal/>
              </border>
            </x14:dxf>
          </x14:cfRule>
          <x14:cfRule type="expression" priority="522" id="{7FDAF1A2-2419-4B82-B8EF-8158B62BB591}">
            <xm:f>$S$8='Assessment Details'!$Q$23</xm:f>
            <x14:dxf>
              <border>
                <left style="thin">
                  <color theme="0"/>
                </left>
                <right style="thin">
                  <color theme="0"/>
                </right>
                <top style="thin">
                  <color theme="0"/>
                </top>
                <bottom style="thin">
                  <color theme="0"/>
                </bottom>
                <vertical/>
                <horizontal/>
              </border>
            </x14:dxf>
          </x14:cfRule>
          <xm:sqref>W195:W196</xm:sqref>
        </x14:conditionalFormatting>
        <x14:conditionalFormatting xmlns:xm="http://schemas.microsoft.com/office/excel/2006/main">
          <x14:cfRule type="expression" priority="515" id="{E1516C20-E913-452D-8F9C-E50184B72040}">
            <xm:f>$S$8='Assessment Details'!$Q$23</xm:f>
            <x14:dxf>
              <border>
                <left style="thin">
                  <color theme="0"/>
                </left>
                <right style="thin">
                  <color theme="0"/>
                </right>
                <top style="thin">
                  <color theme="0"/>
                </top>
                <bottom style="thin">
                  <color theme="0"/>
                </bottom>
                <vertical/>
                <horizontal/>
              </border>
            </x14:dxf>
          </x14:cfRule>
          <x14:cfRule type="expression" priority="516" id="{A07BA65D-7D48-4F65-A996-E0325805E0BB}">
            <xm:f>$S$8='Assessment Details'!$Q$23</xm:f>
            <x14:dxf>
              <font>
                <color theme="0"/>
              </font>
              <fill>
                <patternFill>
                  <bgColor theme="0"/>
                </patternFill>
              </fill>
              <border>
                <vertical/>
                <horizontal/>
              </border>
            </x14:dxf>
          </x14:cfRule>
          <xm:sqref>W212:W213</xm:sqref>
        </x14:conditionalFormatting>
        <x14:conditionalFormatting xmlns:xm="http://schemas.microsoft.com/office/excel/2006/main">
          <x14:cfRule type="expression" priority="1" id="{398E39D1-BCC5-4556-8857-4A1E52494546}">
            <xm:f>$Z$8='Assessment Details'!$Q$23</xm:f>
            <x14:dxf>
              <border>
                <left style="thin">
                  <color theme="0"/>
                </left>
                <right style="thin">
                  <color theme="0"/>
                </right>
                <top style="thin">
                  <color theme="0"/>
                </top>
                <bottom style="thin">
                  <color theme="0"/>
                </bottom>
                <vertical/>
                <horizontal/>
              </border>
            </x14:dxf>
          </x14:cfRule>
          <xm:sqref>X14</xm:sqref>
        </x14:conditionalFormatting>
        <x14:conditionalFormatting xmlns:xm="http://schemas.microsoft.com/office/excel/2006/main">
          <x14:cfRule type="expression" priority="3578" id="{02F69B67-FF1F-407F-A6A5-392A24E088D4}">
            <xm:f>$Z$8='Assessment Details'!$Q$23</xm:f>
            <x14:dxf>
              <border>
                <left style="thin">
                  <color theme="0"/>
                </left>
                <right style="thin">
                  <color theme="0"/>
                </right>
                <top style="thin">
                  <color theme="0"/>
                </top>
                <bottom style="thin">
                  <color theme="0"/>
                </bottom>
                <vertical/>
                <horizontal/>
              </border>
            </x14:dxf>
          </x14:cfRule>
          <xm:sqref>X11:Y13</xm:sqref>
        </x14:conditionalFormatting>
        <x14:conditionalFormatting xmlns:xm="http://schemas.microsoft.com/office/excel/2006/main">
          <x14:cfRule type="expression" priority="2" id="{EC5DF344-A2AB-4672-9322-4641004E6524}">
            <xm:f>$Z$8='Assessment Details'!$Q$23</xm:f>
            <x14:dxf>
              <font>
                <color theme="0"/>
              </font>
              <fill>
                <patternFill>
                  <bgColor theme="0"/>
                </patternFill>
              </fill>
            </x14:dxf>
          </x14:cfRule>
          <xm:sqref>X12:Y17</xm:sqref>
        </x14:conditionalFormatting>
        <x14:conditionalFormatting xmlns:xm="http://schemas.microsoft.com/office/excel/2006/main">
          <x14:cfRule type="expression" priority="693" id="{7D95453C-5677-4440-BFDC-5F1E0D951658}">
            <xm:f>$Z$8='Assessment Details'!$Q$23</xm:f>
            <x14:dxf>
              <border>
                <left style="thin">
                  <color theme="0"/>
                </left>
                <right style="thin">
                  <color theme="0"/>
                </right>
                <top style="thin">
                  <color theme="0"/>
                </top>
                <bottom style="thin">
                  <color theme="0"/>
                </bottom>
                <vertical/>
                <horizontal/>
              </border>
            </x14:dxf>
          </x14:cfRule>
          <xm:sqref>X15:Y106</xm:sqref>
        </x14:conditionalFormatting>
        <x14:conditionalFormatting xmlns:xm="http://schemas.microsoft.com/office/excel/2006/main">
          <x14:cfRule type="expression" priority="787" id="{4CF4F4F0-C7CE-4D35-BFC6-31BEBFEB74CC}">
            <xm:f>$Z$8='Assessment Details'!$Q$23</xm:f>
            <x14:dxf>
              <font>
                <color theme="0"/>
              </font>
              <fill>
                <patternFill>
                  <bgColor theme="0"/>
                </patternFill>
              </fill>
            </x14:dxf>
          </x14:cfRule>
          <xm:sqref>X22:Y27</xm:sqref>
        </x14:conditionalFormatting>
        <x14:conditionalFormatting xmlns:xm="http://schemas.microsoft.com/office/excel/2006/main">
          <x14:cfRule type="expression" priority="3467" id="{017C0CD2-BFC7-4472-8A84-D25E983FAB4B}">
            <xm:f>$Z$8='Assessment Details'!$Q$23</xm:f>
            <x14:dxf>
              <font>
                <color theme="0"/>
              </font>
              <fill>
                <patternFill>
                  <bgColor theme="0"/>
                </patternFill>
              </fill>
            </x14:dxf>
          </x14:cfRule>
          <xm:sqref>X29:Y31</xm:sqref>
        </x14:conditionalFormatting>
        <x14:conditionalFormatting xmlns:xm="http://schemas.microsoft.com/office/excel/2006/main">
          <x14:cfRule type="expression" priority="3419" id="{56402DFA-9922-456D-8512-574F77753863}">
            <xm:f>$Z$8='Assessment Details'!$Q$23</xm:f>
            <x14:dxf>
              <font>
                <color theme="0"/>
              </font>
              <fill>
                <patternFill>
                  <bgColor theme="0"/>
                </patternFill>
              </fill>
            </x14:dxf>
          </x14:cfRule>
          <xm:sqref>X33:Y35</xm:sqref>
        </x14:conditionalFormatting>
        <x14:conditionalFormatting xmlns:xm="http://schemas.microsoft.com/office/excel/2006/main">
          <x14:cfRule type="expression" priority="2277" id="{A4F5DEDE-ED55-4EA4-9A3D-3AE3E3BE1DDC}">
            <xm:f>$Z$8='Assessment Details'!$Q$23</xm:f>
            <x14:dxf>
              <font>
                <color theme="0"/>
              </font>
              <fill>
                <patternFill>
                  <bgColor theme="0"/>
                </patternFill>
              </fill>
            </x14:dxf>
          </x14:cfRule>
          <xm:sqref>X39:Y63</xm:sqref>
        </x14:conditionalFormatting>
        <x14:conditionalFormatting xmlns:xm="http://schemas.microsoft.com/office/excel/2006/main">
          <x14:cfRule type="expression" priority="759" id="{609FE846-1353-46BF-8A8E-52297A2A302F}">
            <xm:f>$Z$8='Assessment Details'!$Q$23</xm:f>
            <x14:dxf>
              <font>
                <color theme="0"/>
              </font>
              <fill>
                <patternFill>
                  <bgColor theme="0"/>
                </patternFill>
              </fill>
            </x14:dxf>
          </x14:cfRule>
          <xm:sqref>X67:Y87</xm:sqref>
        </x14:conditionalFormatting>
        <x14:conditionalFormatting xmlns:xm="http://schemas.microsoft.com/office/excel/2006/main">
          <x14:cfRule type="expression" priority="2074" id="{5664C6BB-F929-4B99-B383-9CE7C18DE75F}">
            <xm:f>$Z$8='Assessment Details'!$Q$23</xm:f>
            <x14:dxf>
              <font>
                <color theme="0"/>
              </font>
              <fill>
                <patternFill>
                  <bgColor theme="0"/>
                </patternFill>
              </fill>
            </x14:dxf>
          </x14:cfRule>
          <xm:sqref>X89:Y93</xm:sqref>
        </x14:conditionalFormatting>
        <x14:conditionalFormatting xmlns:xm="http://schemas.microsoft.com/office/excel/2006/main">
          <x14:cfRule type="expression" priority="724" id="{369EE6F7-B847-4C15-9E39-4DF832F655E4}">
            <xm:f>$Z$8='Assessment Details'!$Q$23</xm:f>
            <x14:dxf>
              <font>
                <color theme="0"/>
              </font>
              <fill>
                <patternFill>
                  <bgColor theme="0"/>
                </patternFill>
              </fill>
            </x14:dxf>
          </x14:cfRule>
          <xm:sqref>X97:Y102</xm:sqref>
        </x14:conditionalFormatting>
        <x14:conditionalFormatting xmlns:xm="http://schemas.microsoft.com/office/excel/2006/main">
          <x14:cfRule type="expression" priority="117" id="{221EEEEE-A194-4069-968F-DD9AB90A71E1}">
            <xm:f>$Z$8='Assessment Details'!$Q$23</xm:f>
            <x14:dxf>
              <font>
                <color theme="0"/>
              </font>
              <fill>
                <patternFill>
                  <bgColor theme="0"/>
                </patternFill>
              </fill>
            </x14:dxf>
          </x14:cfRule>
          <xm:sqref>X106:Y116</xm:sqref>
        </x14:conditionalFormatting>
        <x14:conditionalFormatting xmlns:xm="http://schemas.microsoft.com/office/excel/2006/main">
          <x14:cfRule type="expression" priority="116" id="{E75D99F3-6014-48CB-86CE-FECF76B23D21}">
            <xm:f>$Z$8='Assessment Details'!$Q$23</xm:f>
            <x14:dxf>
              <border>
                <left style="thin">
                  <color theme="0"/>
                </left>
                <right style="thin">
                  <color theme="0"/>
                </right>
                <top style="thin">
                  <color theme="0"/>
                </top>
                <bottom style="thin">
                  <color theme="0"/>
                </bottom>
                <vertical/>
                <horizontal/>
              </border>
            </x14:dxf>
          </x14:cfRule>
          <xm:sqref>X107:Y107</xm:sqref>
        </x14:conditionalFormatting>
        <x14:conditionalFormatting xmlns:xm="http://schemas.microsoft.com/office/excel/2006/main">
          <x14:cfRule type="expression" priority="901" id="{EEC41F94-236D-4872-A8F1-79FE52E4D557}">
            <xm:f>$Z$8='Assessment Details'!$Q$23</xm:f>
            <x14:dxf>
              <border>
                <left style="thin">
                  <color theme="0"/>
                </left>
                <right style="thin">
                  <color theme="0"/>
                </right>
                <top style="thin">
                  <color theme="0"/>
                </top>
                <bottom style="thin">
                  <color theme="0"/>
                </bottom>
                <vertical/>
                <horizontal/>
              </border>
            </x14:dxf>
          </x14:cfRule>
          <xm:sqref>X108:Y138</xm:sqref>
        </x14:conditionalFormatting>
        <x14:conditionalFormatting xmlns:xm="http://schemas.microsoft.com/office/excel/2006/main">
          <x14:cfRule type="expression" priority="46" id="{F4FCB03C-9991-4657-B3A4-C172320EADE2}">
            <xm:f>$Z$8='Assessment Details'!$Q$23</xm:f>
            <x14:dxf>
              <font>
                <color theme="0"/>
              </font>
              <fill>
                <patternFill>
                  <bgColor theme="0"/>
                </patternFill>
              </fill>
            </x14:dxf>
          </x14:cfRule>
          <xm:sqref>X120:Y146</xm:sqref>
        </x14:conditionalFormatting>
        <x14:conditionalFormatting xmlns:xm="http://schemas.microsoft.com/office/excel/2006/main">
          <x14:cfRule type="expression" priority="45" id="{52397341-4709-4971-B9C3-8F664875CBFF}">
            <xm:f>$Z$8='Assessment Details'!$Q$23</xm:f>
            <x14:dxf>
              <border>
                <left style="thin">
                  <color theme="0"/>
                </left>
                <right style="thin">
                  <color theme="0"/>
                </right>
                <top style="thin">
                  <color theme="0"/>
                </top>
                <bottom style="thin">
                  <color theme="0"/>
                </bottom>
                <vertical/>
                <horizontal/>
              </border>
            </x14:dxf>
          </x14:cfRule>
          <xm:sqref>X139:Y139</xm:sqref>
        </x14:conditionalFormatting>
        <x14:conditionalFormatting xmlns:xm="http://schemas.microsoft.com/office/excel/2006/main">
          <x14:cfRule type="expression" priority="1696" id="{BC2CB9DA-69B3-45A6-9FCD-E6C9BA123E03}">
            <xm:f>$Z$8='Assessment Details'!$Q$23</xm:f>
            <x14:dxf>
              <border>
                <left style="thin">
                  <color theme="0"/>
                </left>
                <right style="thin">
                  <color theme="0"/>
                </right>
                <top style="thin">
                  <color theme="0"/>
                </top>
                <bottom style="thin">
                  <color theme="0"/>
                </bottom>
                <vertical/>
                <horizontal/>
              </border>
            </x14:dxf>
          </x14:cfRule>
          <xm:sqref>X140:Y150</xm:sqref>
        </x14:conditionalFormatting>
        <x14:conditionalFormatting xmlns:xm="http://schemas.microsoft.com/office/excel/2006/main">
          <x14:cfRule type="expression" priority="76" id="{CB7E89B4-EAD9-4F74-9F14-36721AD881AE}">
            <xm:f>$Z$8='Assessment Details'!$Q$23</xm:f>
            <x14:dxf>
              <font>
                <color theme="0"/>
              </font>
              <fill>
                <patternFill>
                  <bgColor theme="0"/>
                </patternFill>
              </fill>
            </x14:dxf>
          </x14:cfRule>
          <xm:sqref>X150:Y161</xm:sqref>
        </x14:conditionalFormatting>
        <x14:conditionalFormatting xmlns:xm="http://schemas.microsoft.com/office/excel/2006/main">
          <x14:cfRule type="expression" priority="75" id="{4264F0D5-D4F3-401D-ADC2-375E1929F74B}">
            <xm:f>$Z$8='Assessment Details'!$Q$23</xm:f>
            <x14:dxf>
              <border>
                <left style="thin">
                  <color theme="0"/>
                </left>
                <right style="thin">
                  <color theme="0"/>
                </right>
                <top style="thin">
                  <color theme="0"/>
                </top>
                <bottom style="thin">
                  <color theme="0"/>
                </bottom>
                <vertical/>
                <horizontal/>
              </border>
            </x14:dxf>
          </x14:cfRule>
          <xm:sqref>X151:Y151</xm:sqref>
        </x14:conditionalFormatting>
        <x14:conditionalFormatting xmlns:xm="http://schemas.microsoft.com/office/excel/2006/main">
          <x14:cfRule type="expression" priority="166" id="{A1E9EE4F-CE82-46D0-BBA8-D422B26625B9}">
            <xm:f>$Z$8='Assessment Details'!$Q$23</xm:f>
            <x14:dxf>
              <border>
                <left style="thin">
                  <color theme="0"/>
                </left>
                <right style="thin">
                  <color theme="0"/>
                </right>
                <top style="thin">
                  <color theme="0"/>
                </top>
                <bottom style="thin">
                  <color theme="0"/>
                </bottom>
                <vertical/>
                <horizontal/>
              </border>
            </x14:dxf>
          </x14:cfRule>
          <xm:sqref>X152:Y228</xm:sqref>
        </x14:conditionalFormatting>
        <x14:conditionalFormatting xmlns:xm="http://schemas.microsoft.com/office/excel/2006/main">
          <x14:cfRule type="expression" priority="167" id="{B2FC46A1-2C92-496B-9E89-791D09A9AF0B}">
            <xm:f>$Z$8='Assessment Details'!$Q$23</xm:f>
            <x14:dxf>
              <font>
                <color theme="0"/>
              </font>
              <fill>
                <patternFill>
                  <bgColor theme="0"/>
                </patternFill>
              </fill>
            </x14:dxf>
          </x14:cfRule>
          <xm:sqref>X165:Y173</xm:sqref>
        </x14:conditionalFormatting>
        <x14:conditionalFormatting xmlns:xm="http://schemas.microsoft.com/office/excel/2006/main">
          <x14:cfRule type="expression" priority="1349" id="{12FE712B-FA74-4B7D-9AE3-59C41D8B7D36}">
            <xm:f>$Z$8='Assessment Details'!$Q$23</xm:f>
            <x14:dxf>
              <font>
                <color theme="0"/>
              </font>
              <fill>
                <patternFill>
                  <bgColor theme="0"/>
                </patternFill>
              </fill>
            </x14:dxf>
          </x14:cfRule>
          <xm:sqref>X176:Y193</xm:sqref>
        </x14:conditionalFormatting>
        <x14:conditionalFormatting xmlns:xm="http://schemas.microsoft.com/office/excel/2006/main">
          <x14:cfRule type="expression" priority="865" id="{70D6E1F0-AB43-49B6-A6D2-18A2BF9BD4BF}">
            <xm:f>$Z$8='Assessment Details'!$Q$23</xm:f>
            <x14:dxf>
              <font>
                <color theme="0"/>
              </font>
              <fill>
                <patternFill>
                  <bgColor theme="0"/>
                </patternFill>
              </fill>
            </x14:dxf>
          </x14:cfRule>
          <xm:sqref>X197:Y210</xm:sqref>
        </x14:conditionalFormatting>
        <x14:conditionalFormatting xmlns:xm="http://schemas.microsoft.com/office/excel/2006/main">
          <x14:cfRule type="expression" priority="4192" id="{003CF9C3-5882-4AE5-9825-DD5F562997CA}">
            <xm:f>$Z$8='Assessment Details'!$Q$23</xm:f>
            <x14:dxf>
              <font>
                <color theme="0"/>
              </font>
              <fill>
                <patternFill>
                  <bgColor theme="0"/>
                </patternFill>
              </fill>
            </x14:dxf>
          </x14:cfRule>
          <x14:cfRule type="expression" priority="4191" id="{506DB9F6-CF47-4A3E-8BDC-0CF6F0FB1801}">
            <xm:f>$Z$8='Assessment Details'!$Q$23</xm:f>
            <x14:dxf>
              <border>
                <left style="thin">
                  <color theme="0"/>
                </left>
                <right style="thin">
                  <color theme="0"/>
                </right>
                <top style="thin">
                  <color theme="0"/>
                </top>
                <bottom style="thin">
                  <color theme="0"/>
                </bottom>
                <vertical/>
                <horizontal/>
              </border>
            </x14:dxf>
          </x14:cfRule>
          <xm:sqref>X238:Y238</xm:sqref>
        </x14:conditionalFormatting>
        <x14:conditionalFormatting xmlns:xm="http://schemas.microsoft.com/office/excel/2006/main">
          <x14:cfRule type="expression" priority="4048" id="{089B1A5E-D6F8-4926-BCCD-A2B7E5A02655}">
            <xm:f>$Z$8='Assessment Details'!$Q$23</xm:f>
            <x14:dxf>
              <font>
                <color theme="0"/>
              </font>
              <fill>
                <patternFill>
                  <bgColor theme="0"/>
                </patternFill>
              </fill>
            </x14:dxf>
          </x14:cfRule>
          <xm:sqref>X254:Y254</xm:sqref>
        </x14:conditionalFormatting>
        <x14:conditionalFormatting xmlns:xm="http://schemas.microsoft.com/office/excel/2006/main">
          <x14:cfRule type="expression" priority="3594" id="{49F6A36B-037D-4ED3-A4E3-CE2698BA69BB}">
            <xm:f>$Z$8='Assessment Details'!$Q$23</xm:f>
            <x14:dxf>
              <border>
                <left style="thin">
                  <color theme="0"/>
                </left>
                <right style="thin">
                  <color theme="0"/>
                </right>
                <top style="thin">
                  <color theme="0"/>
                </top>
                <bottom style="thin">
                  <color theme="0"/>
                </bottom>
                <vertical/>
                <horizontal/>
              </border>
            </x14:dxf>
          </x14:cfRule>
          <xm:sqref>Y14</xm:sqref>
        </x14:conditionalFormatting>
        <x14:conditionalFormatting xmlns:xm="http://schemas.microsoft.com/office/excel/2006/main">
          <x14:cfRule type="expression" priority="4436" id="{3B48386A-6E88-435D-96E3-7ECE48307FC5}">
            <xm:f>$Z$8='Assessment Details'!$Q$23</xm:f>
            <x14:dxf>
              <font>
                <color theme="0"/>
              </font>
              <fill>
                <patternFill>
                  <bgColor theme="0"/>
                </patternFill>
              </fill>
            </x14:dxf>
          </x14:cfRule>
          <x14:cfRule type="expression" priority="4435" id="{DD02E5C0-2556-4DD5-BD85-B262FB3B1D1C}">
            <xm:f>$Z$8='Assessment Details'!$Q$23</xm:f>
            <x14:dxf>
              <border>
                <left style="thin">
                  <color theme="0"/>
                </left>
                <right style="thin">
                  <color theme="0"/>
                </right>
                <top style="thin">
                  <color theme="0"/>
                </top>
                <bottom style="thin">
                  <color theme="0"/>
                </bottom>
                <vertical/>
                <horizontal/>
              </border>
            </x14:dxf>
          </x14:cfRule>
          <xm:sqref>AB9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EDB0E46E-A690-4E9E-907B-0DEBCF537ED9}">
          <x14:formula1>
            <xm:f>'Assessment Details'!$R$55:$R$57</xm:f>
          </x14:formula1>
          <xm:sqref>G238 N238:P238 U238:W238</xm:sqref>
        </x14:dataValidation>
        <x14:dataValidation type="list" allowBlank="1" showInputMessage="1" showErrorMessage="1" xr:uid="{7BAB7664-1657-4388-A667-A1B92AB1F5BD}">
          <x14:formula1>
            <xm:f>'Assessment Details'!$S$55:$S$58</xm:f>
          </x14:formula1>
          <xm:sqref>G248 N248:P248 U248:W248</xm:sqref>
        </x14:dataValidation>
        <x14:dataValidation type="list" allowBlank="1" showInputMessage="1" showErrorMessage="1" xr:uid="{069A6983-AA53-496E-9371-44617596A3B1}">
          <x14:formula1>
            <xm:f>'Assessment Details'!$Y$55:$Y$58</xm:f>
          </x14:formula1>
          <xm:sqref>G261 N261:P261 U261:W261</xm:sqref>
        </x14:dataValidation>
        <x14:dataValidation type="list" allowBlank="1" showInputMessage="1" showErrorMessage="1" xr:uid="{015A6392-D46D-4C91-823D-B5853B933604}">
          <x14:formula1>
            <xm:f>'Assessment Details'!$V$55:$V$57</xm:f>
          </x14:formula1>
          <xm:sqref>G256 N256:P256 U256:W256</xm:sqref>
        </x14:dataValidation>
        <x14:dataValidation type="list" allowBlank="1" showInputMessage="1" showErrorMessage="1" xr:uid="{0FCCE17B-5FA7-4A25-8B07-FF398FDC2B42}">
          <x14:formula1>
            <xm:f>'Assessment Details'!$T$55:$T$57</xm:f>
          </x14:formula1>
          <xm:sqref>G249 N249:P249 U249:W249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46"/>
  <sheetViews>
    <sheetView topLeftCell="A64" zoomScale="90" zoomScaleNormal="90" workbookViewId="0">
      <selection activeCell="I32" sqref="I31:I32"/>
    </sheetView>
  </sheetViews>
  <sheetFormatPr defaultColWidth="8.85546875" defaultRowHeight="15" x14ac:dyDescent="0.25"/>
  <cols>
    <col min="1" max="1" width="13.5703125" customWidth="1"/>
    <col min="2" max="2" width="7.28515625" customWidth="1"/>
    <col min="3" max="3" width="60.28515625" bestFit="1" customWidth="1"/>
    <col min="4" max="4" width="19.85546875" hidden="1" customWidth="1"/>
    <col min="5" max="5" width="27.140625" hidden="1" customWidth="1"/>
    <col min="6" max="6" width="22.5703125" hidden="1" customWidth="1"/>
    <col min="7" max="7" width="8.85546875" customWidth="1"/>
    <col min="8" max="8" width="11.140625" customWidth="1"/>
    <col min="9" max="18" width="8.85546875" customWidth="1"/>
    <col min="19" max="19" width="20.140625" customWidth="1"/>
    <col min="20" max="20" width="45.85546875" customWidth="1"/>
    <col min="21" max="21" width="46.28515625" customWidth="1"/>
    <col min="22" max="22" width="36.140625" customWidth="1"/>
    <col min="23" max="30" width="8.85546875" customWidth="1"/>
  </cols>
  <sheetData>
    <row r="1" spans="1:31" ht="15.75" thickBot="1" x14ac:dyDescent="0.3">
      <c r="A1">
        <v>1</v>
      </c>
      <c r="B1">
        <v>2</v>
      </c>
      <c r="C1">
        <v>3</v>
      </c>
      <c r="D1">
        <v>4</v>
      </c>
      <c r="E1">
        <v>5</v>
      </c>
      <c r="F1">
        <v>6</v>
      </c>
      <c r="G1">
        <v>7</v>
      </c>
      <c r="H1">
        <v>8</v>
      </c>
    </row>
    <row r="2" spans="1:31" ht="15.75" thickBot="1" x14ac:dyDescent="0.3">
      <c r="C2" s="62" t="s">
        <v>240</v>
      </c>
      <c r="D2" s="62"/>
      <c r="E2" s="62"/>
      <c r="F2" s="62"/>
      <c r="G2" s="62"/>
      <c r="H2" s="316" t="s">
        <v>317</v>
      </c>
      <c r="I2" s="299" t="s">
        <v>13</v>
      </c>
      <c r="J2" t="s">
        <v>12</v>
      </c>
    </row>
    <row r="3" spans="1:31" ht="15.75" thickBot="1" x14ac:dyDescent="0.3">
      <c r="S3" t="s">
        <v>373</v>
      </c>
    </row>
    <row r="4" spans="1:31" ht="15.75" thickBot="1" x14ac:dyDescent="0.3">
      <c r="S4" s="312" t="s">
        <v>324</v>
      </c>
      <c r="T4" s="313" t="s">
        <v>325</v>
      </c>
      <c r="U4" s="313" t="s">
        <v>326</v>
      </c>
      <c r="V4" s="314"/>
    </row>
    <row r="5" spans="1:31" ht="15.75" thickBot="1" x14ac:dyDescent="0.3">
      <c r="C5" s="52" t="s">
        <v>81</v>
      </c>
      <c r="D5" s="55" t="s">
        <v>236</v>
      </c>
      <c r="E5" s="60" t="s">
        <v>239</v>
      </c>
      <c r="F5" s="55" t="s">
        <v>204</v>
      </c>
      <c r="H5" s="315" t="s">
        <v>371</v>
      </c>
      <c r="N5" s="1584" t="s">
        <v>372</v>
      </c>
      <c r="O5" s="1584"/>
      <c r="S5" s="303" t="s">
        <v>327</v>
      </c>
      <c r="T5" s="303"/>
      <c r="U5" s="736"/>
      <c r="V5" s="303"/>
      <c r="W5" s="734"/>
      <c r="X5" s="490"/>
      <c r="Y5" s="490"/>
      <c r="Z5" s="490"/>
      <c r="AA5" s="490"/>
      <c r="AB5" s="490"/>
      <c r="AC5" s="490"/>
      <c r="AD5" s="490"/>
    </row>
    <row r="6" spans="1:31" ht="15.75" thickBot="1" x14ac:dyDescent="0.3">
      <c r="B6" s="132"/>
      <c r="C6" s="133" t="s">
        <v>57</v>
      </c>
      <c r="D6" s="59"/>
      <c r="E6" s="59"/>
      <c r="F6" s="59"/>
      <c r="H6" s="133"/>
      <c r="N6" s="303" t="s">
        <v>327</v>
      </c>
      <c r="O6" t="b">
        <f>N6=S5</f>
        <v>1</v>
      </c>
      <c r="S6" s="1579" t="s">
        <v>87</v>
      </c>
      <c r="T6" s="762" t="s">
        <v>811</v>
      </c>
      <c r="W6" s="734"/>
      <c r="X6" s="490"/>
      <c r="Y6" s="490"/>
      <c r="Z6" s="490"/>
      <c r="AA6" s="490"/>
      <c r="AB6" s="490"/>
      <c r="AC6" s="490"/>
      <c r="AD6" s="490"/>
    </row>
    <row r="7" spans="1:31" x14ac:dyDescent="0.25">
      <c r="A7" s="121" t="s">
        <v>87</v>
      </c>
      <c r="B7" s="636" t="s">
        <v>87</v>
      </c>
      <c r="C7" s="636" t="s">
        <v>289</v>
      </c>
      <c r="D7" s="46">
        <f>Poeng!T10</f>
        <v>5</v>
      </c>
      <c r="E7" s="45"/>
      <c r="F7" s="46">
        <f>Poeng!AB10</f>
        <v>5</v>
      </c>
      <c r="H7" s="685">
        <f>SUMIF($R$7:$R$182,A7,$U$7:$U$182)</f>
        <v>0</v>
      </c>
      <c r="I7" s="317" t="str">
        <f>IF(F7=H7,"OK","FEIL")</f>
        <v>FEIL</v>
      </c>
      <c r="N7" s="306" t="s">
        <v>87</v>
      </c>
      <c r="O7" t="b">
        <f>N7=S6</f>
        <v>1</v>
      </c>
      <c r="R7" t="s">
        <v>691</v>
      </c>
      <c r="S7" s="1579"/>
      <c r="T7" s="827" t="s">
        <v>570</v>
      </c>
      <c r="U7" s="777">
        <v>1</v>
      </c>
      <c r="V7" s="785" t="s">
        <v>328</v>
      </c>
      <c r="W7" s="734"/>
      <c r="X7" s="490"/>
      <c r="Y7" s="490"/>
      <c r="Z7" s="490"/>
      <c r="AA7" s="490"/>
      <c r="AB7" s="490"/>
      <c r="AC7" s="490"/>
      <c r="AD7" s="490"/>
    </row>
    <row r="8" spans="1:31" x14ac:dyDescent="0.25">
      <c r="A8" t="s">
        <v>691</v>
      </c>
      <c r="B8" s="43" t="s">
        <v>673</v>
      </c>
      <c r="C8" s="826" t="s">
        <v>570</v>
      </c>
      <c r="D8" s="44">
        <f>Poeng!T16</f>
        <v>3</v>
      </c>
      <c r="E8" s="43"/>
      <c r="F8" s="46">
        <f>Poeng!AB16</f>
        <v>3</v>
      </c>
      <c r="H8" s="145">
        <f t="shared" ref="H8:H36" si="0">SUMIF($R$7:$R$182,A8,$U$7:$U$182)</f>
        <v>1</v>
      </c>
      <c r="I8" s="317" t="str">
        <f t="shared" ref="I8:I36" si="1">IF(F8=H8,"OK","FEIL")</f>
        <v>FEIL</v>
      </c>
      <c r="N8" s="306" t="s">
        <v>88</v>
      </c>
      <c r="O8" t="b">
        <f t="shared" ref="O8:O72" si="2">N8=S8</f>
        <v>0</v>
      </c>
      <c r="R8" t="s">
        <v>692</v>
      </c>
      <c r="S8" s="1579"/>
      <c r="T8" s="828" t="s">
        <v>569</v>
      </c>
      <c r="U8" s="777">
        <v>1</v>
      </c>
      <c r="V8" s="785" t="s">
        <v>328</v>
      </c>
      <c r="W8" s="734"/>
      <c r="X8" s="490"/>
      <c r="Y8" s="490"/>
      <c r="Z8" s="490"/>
      <c r="AA8" s="490"/>
      <c r="AB8" s="490"/>
      <c r="AC8" s="490"/>
      <c r="AD8" s="490"/>
      <c r="AE8">
        <v>1</v>
      </c>
    </row>
    <row r="9" spans="1:31" x14ac:dyDescent="0.25">
      <c r="A9" t="s">
        <v>692</v>
      </c>
      <c r="B9" s="43" t="s">
        <v>676</v>
      </c>
      <c r="C9" s="826" t="s">
        <v>569</v>
      </c>
      <c r="D9" s="44">
        <f>Poeng!T19</f>
        <v>7</v>
      </c>
      <c r="E9" s="43"/>
      <c r="F9" s="46">
        <f>Poeng!AB19</f>
        <v>7</v>
      </c>
      <c r="H9" s="145">
        <f t="shared" si="0"/>
        <v>1</v>
      </c>
      <c r="I9" s="317" t="str">
        <f t="shared" si="1"/>
        <v>FEIL</v>
      </c>
      <c r="N9" s="306" t="s">
        <v>89</v>
      </c>
      <c r="O9" t="b">
        <f t="shared" si="2"/>
        <v>0</v>
      </c>
      <c r="R9" t="s">
        <v>693</v>
      </c>
      <c r="S9" s="1579"/>
      <c r="T9" s="828" t="s">
        <v>566</v>
      </c>
      <c r="U9" s="777">
        <v>1</v>
      </c>
      <c r="V9" s="785" t="s">
        <v>328</v>
      </c>
      <c r="W9" s="734"/>
      <c r="X9" s="490"/>
      <c r="Y9" s="490"/>
      <c r="Z9" s="490"/>
      <c r="AA9" s="490"/>
      <c r="AB9" s="490"/>
      <c r="AC9" s="490"/>
      <c r="AD9" s="490"/>
      <c r="AE9">
        <v>2</v>
      </c>
    </row>
    <row r="10" spans="1:31" x14ac:dyDescent="0.25">
      <c r="A10" t="s">
        <v>693</v>
      </c>
      <c r="B10" s="43" t="s">
        <v>677</v>
      </c>
      <c r="C10" s="826" t="s">
        <v>566</v>
      </c>
      <c r="D10" s="44">
        <f>Poeng!T26</f>
        <v>3</v>
      </c>
      <c r="E10" s="43"/>
      <c r="F10" s="46">
        <f>Poeng!AB26</f>
        <v>3</v>
      </c>
      <c r="H10" s="145">
        <f t="shared" si="0"/>
        <v>1</v>
      </c>
      <c r="I10" s="317" t="str">
        <f t="shared" si="1"/>
        <v>FEIL</v>
      </c>
      <c r="N10" s="306" t="s">
        <v>90</v>
      </c>
      <c r="O10" t="b">
        <f t="shared" si="2"/>
        <v>0</v>
      </c>
      <c r="R10" t="s">
        <v>694</v>
      </c>
      <c r="S10" s="1579"/>
      <c r="T10" s="828" t="s">
        <v>567</v>
      </c>
      <c r="U10" s="777">
        <v>2</v>
      </c>
      <c r="V10" s="785" t="s">
        <v>328</v>
      </c>
      <c r="W10" s="734"/>
      <c r="X10" s="490"/>
      <c r="Y10" s="490"/>
      <c r="Z10" s="490"/>
      <c r="AA10" s="490"/>
      <c r="AB10" s="490"/>
      <c r="AC10" s="490"/>
      <c r="AD10" s="490"/>
      <c r="AE10">
        <v>3</v>
      </c>
    </row>
    <row r="11" spans="1:31" ht="15" customHeight="1" x14ac:dyDescent="0.25">
      <c r="A11" t="s">
        <v>694</v>
      </c>
      <c r="B11" s="43" t="s">
        <v>675</v>
      </c>
      <c r="C11" s="826" t="s">
        <v>567</v>
      </c>
      <c r="D11" s="44">
        <f>Poeng!T30</f>
        <v>3</v>
      </c>
      <c r="E11" s="43"/>
      <c r="F11" s="46">
        <f>Poeng!AB30</f>
        <v>3</v>
      </c>
      <c r="H11" s="145">
        <f t="shared" si="0"/>
        <v>2</v>
      </c>
      <c r="I11" s="317" t="str">
        <f t="shared" si="1"/>
        <v>FEIL</v>
      </c>
      <c r="N11" s="306" t="s">
        <v>91</v>
      </c>
      <c r="O11" t="b">
        <f t="shared" si="2"/>
        <v>0</v>
      </c>
      <c r="R11" t="s">
        <v>695</v>
      </c>
      <c r="S11" s="1580"/>
      <c r="T11" s="828" t="s">
        <v>568</v>
      </c>
      <c r="U11" s="777">
        <v>1</v>
      </c>
      <c r="V11" s="785" t="s">
        <v>328</v>
      </c>
      <c r="W11" s="734"/>
      <c r="X11" s="490"/>
      <c r="Y11" s="490"/>
      <c r="Z11" s="490"/>
      <c r="AA11" s="490"/>
      <c r="AB11" s="490"/>
      <c r="AC11" s="490"/>
      <c r="AD11" s="490"/>
      <c r="AE11">
        <v>4</v>
      </c>
    </row>
    <row r="12" spans="1:31" x14ac:dyDescent="0.25">
      <c r="A12" t="s">
        <v>695</v>
      </c>
      <c r="B12" s="43" t="s">
        <v>674</v>
      </c>
      <c r="C12" s="826" t="s">
        <v>568</v>
      </c>
      <c r="D12" s="44">
        <f>Poeng!T34</f>
        <v>0</v>
      </c>
      <c r="E12" s="43"/>
      <c r="F12" s="46">
        <f>Poeng!AB34</f>
        <v>0</v>
      </c>
      <c r="H12" s="145">
        <f t="shared" si="0"/>
        <v>1</v>
      </c>
      <c r="I12" s="317" t="str">
        <f t="shared" si="1"/>
        <v>FEIL</v>
      </c>
      <c r="N12" s="304"/>
      <c r="O12" t="b">
        <f t="shared" si="2"/>
        <v>0</v>
      </c>
      <c r="S12" s="1588" t="s">
        <v>88</v>
      </c>
      <c r="T12" s="829" t="s">
        <v>812</v>
      </c>
      <c r="U12" s="763"/>
      <c r="V12" s="764"/>
      <c r="W12" s="734"/>
      <c r="X12" s="490"/>
      <c r="Y12" s="490"/>
      <c r="Z12" s="490"/>
      <c r="AA12" s="490"/>
      <c r="AB12" s="490"/>
      <c r="AC12" s="490"/>
      <c r="AD12" s="490"/>
      <c r="AE12">
        <v>5</v>
      </c>
    </row>
    <row r="13" spans="1:31" ht="15.75" thickBot="1" x14ac:dyDescent="0.3">
      <c r="A13" s="121" t="s">
        <v>88</v>
      </c>
      <c r="B13" s="636" t="s">
        <v>88</v>
      </c>
      <c r="C13" s="636" t="s">
        <v>290</v>
      </c>
      <c r="D13" s="49">
        <f>Poeng!T35</f>
        <v>0</v>
      </c>
      <c r="E13" s="48"/>
      <c r="F13" s="46">
        <f>Poeng!AB35</f>
        <v>0</v>
      </c>
      <c r="H13" s="685">
        <f t="shared" si="0"/>
        <v>0</v>
      </c>
      <c r="I13" s="317" t="str">
        <f t="shared" si="1"/>
        <v>OK</v>
      </c>
      <c r="N13" s="305" t="s">
        <v>332</v>
      </c>
      <c r="O13" t="b">
        <f t="shared" si="2"/>
        <v>0</v>
      </c>
      <c r="R13" t="s">
        <v>696</v>
      </c>
      <c r="S13" s="1589"/>
      <c r="T13" s="828" t="s">
        <v>571</v>
      </c>
      <c r="U13" s="778">
        <v>2</v>
      </c>
      <c r="V13" s="785" t="s">
        <v>328</v>
      </c>
      <c r="W13" s="734"/>
      <c r="X13" s="490"/>
      <c r="Y13" s="490"/>
      <c r="Z13" s="490"/>
      <c r="AA13" s="490"/>
      <c r="AB13" s="490"/>
      <c r="AC13" s="490"/>
      <c r="AD13" s="490"/>
      <c r="AE13">
        <v>6</v>
      </c>
    </row>
    <row r="14" spans="1:31" ht="15.75" thickBot="1" x14ac:dyDescent="0.3">
      <c r="A14" t="s">
        <v>696</v>
      </c>
      <c r="B14" s="43" t="s">
        <v>673</v>
      </c>
      <c r="C14" s="826" t="s">
        <v>571</v>
      </c>
      <c r="D14" s="50">
        <f>Poeng!T36</f>
        <v>21</v>
      </c>
      <c r="E14" s="50"/>
      <c r="F14" s="50">
        <f>SUM(F7:F13)</f>
        <v>21</v>
      </c>
      <c r="H14" s="145">
        <f t="shared" si="0"/>
        <v>2</v>
      </c>
      <c r="I14" s="317" t="str">
        <f t="shared" si="1"/>
        <v>FEIL</v>
      </c>
      <c r="N14" s="309" t="s">
        <v>111</v>
      </c>
      <c r="O14" t="b">
        <f t="shared" si="2"/>
        <v>0</v>
      </c>
      <c r="R14" t="s">
        <v>697</v>
      </c>
      <c r="S14" s="1590"/>
      <c r="T14" s="828" t="s">
        <v>572</v>
      </c>
      <c r="U14" s="778">
        <v>1</v>
      </c>
      <c r="V14" s="785" t="s">
        <v>328</v>
      </c>
      <c r="W14" s="734"/>
      <c r="X14" s="490"/>
      <c r="Y14" s="490"/>
      <c r="Z14" s="490"/>
      <c r="AA14" s="490"/>
      <c r="AB14" s="490"/>
      <c r="AC14" s="490"/>
      <c r="AD14" s="490"/>
      <c r="AE14">
        <v>7</v>
      </c>
    </row>
    <row r="15" spans="1:31" ht="15.75" thickBot="1" x14ac:dyDescent="0.3">
      <c r="A15" t="s">
        <v>697</v>
      </c>
      <c r="B15" s="43" t="s">
        <v>676</v>
      </c>
      <c r="C15" s="826" t="s">
        <v>572</v>
      </c>
      <c r="H15" s="145">
        <f t="shared" si="0"/>
        <v>1</v>
      </c>
      <c r="I15" s="317" t="str">
        <f t="shared" si="1"/>
        <v>FEIL</v>
      </c>
      <c r="N15" s="310"/>
      <c r="O15" t="b">
        <f t="shared" si="2"/>
        <v>0</v>
      </c>
      <c r="S15" s="1588" t="s">
        <v>89</v>
      </c>
      <c r="T15" s="762" t="s">
        <v>329</v>
      </c>
      <c r="U15" s="763"/>
      <c r="V15" s="764"/>
      <c r="W15" s="734"/>
      <c r="AE15">
        <v>8</v>
      </c>
    </row>
    <row r="16" spans="1:31" ht="15.75" thickBot="1" x14ac:dyDescent="0.3">
      <c r="A16" s="121" t="s">
        <v>89</v>
      </c>
      <c r="B16" s="636" t="s">
        <v>89</v>
      </c>
      <c r="C16" s="636" t="s">
        <v>291</v>
      </c>
      <c r="D16" s="47"/>
      <c r="E16" s="47"/>
      <c r="F16" s="47"/>
      <c r="H16" s="685">
        <f t="shared" si="0"/>
        <v>0</v>
      </c>
      <c r="I16" s="317" t="str">
        <f t="shared" si="1"/>
        <v>OK</v>
      </c>
      <c r="N16" s="311"/>
      <c r="O16" t="b">
        <f t="shared" si="2"/>
        <v>1</v>
      </c>
      <c r="R16" t="s">
        <v>698</v>
      </c>
      <c r="S16" s="1589"/>
      <c r="T16" s="306" t="s">
        <v>573</v>
      </c>
      <c r="U16" s="777">
        <v>1</v>
      </c>
      <c r="V16" s="785" t="s">
        <v>328</v>
      </c>
      <c r="W16" s="734"/>
      <c r="AE16">
        <v>9</v>
      </c>
    </row>
    <row r="17" spans="1:31" x14ac:dyDescent="0.25">
      <c r="A17" t="s">
        <v>698</v>
      </c>
      <c r="B17" s="43" t="s">
        <v>673</v>
      </c>
      <c r="C17" s="683" t="s">
        <v>573</v>
      </c>
      <c r="D17" s="46">
        <f>Poeng!T39</f>
        <v>7</v>
      </c>
      <c r="E17" s="45"/>
      <c r="F17" s="46">
        <f>Poeng!AB39</f>
        <v>7</v>
      </c>
      <c r="H17" s="145">
        <f t="shared" si="0"/>
        <v>1</v>
      </c>
      <c r="I17" s="317" t="str">
        <f t="shared" si="1"/>
        <v>FEIL</v>
      </c>
      <c r="N17" s="309" t="s">
        <v>112</v>
      </c>
      <c r="O17" t="b">
        <f t="shared" si="2"/>
        <v>0</v>
      </c>
      <c r="R17" t="s">
        <v>699</v>
      </c>
      <c r="S17" s="1589"/>
      <c r="T17" s="306" t="s">
        <v>574</v>
      </c>
      <c r="U17" s="777">
        <v>1</v>
      </c>
      <c r="V17" s="785" t="s">
        <v>328</v>
      </c>
      <c r="W17" s="734"/>
      <c r="AE17">
        <v>10</v>
      </c>
    </row>
    <row r="18" spans="1:31" x14ac:dyDescent="0.25">
      <c r="A18" t="s">
        <v>699</v>
      </c>
      <c r="B18" s="43" t="s">
        <v>676</v>
      </c>
      <c r="C18" s="683" t="s">
        <v>574</v>
      </c>
      <c r="D18" s="44">
        <f>Poeng!T46</f>
        <v>4</v>
      </c>
      <c r="E18" s="43"/>
      <c r="F18" s="46">
        <f>Poeng!AB46</f>
        <v>4</v>
      </c>
      <c r="H18" s="145">
        <f t="shared" si="0"/>
        <v>1</v>
      </c>
      <c r="I18" s="317" t="str">
        <f t="shared" si="1"/>
        <v>FEIL</v>
      </c>
      <c r="N18" s="310"/>
      <c r="O18" t="b">
        <f t="shared" si="2"/>
        <v>1</v>
      </c>
      <c r="R18" t="s">
        <v>700</v>
      </c>
      <c r="S18" s="1589"/>
      <c r="T18" s="306" t="s">
        <v>575</v>
      </c>
      <c r="U18" s="777">
        <v>2</v>
      </c>
      <c r="V18" s="785" t="s">
        <v>328</v>
      </c>
      <c r="W18" s="734"/>
      <c r="AE18">
        <v>11</v>
      </c>
    </row>
    <row r="19" spans="1:31" x14ac:dyDescent="0.25">
      <c r="A19" t="s">
        <v>700</v>
      </c>
      <c r="B19" s="43" t="s">
        <v>677</v>
      </c>
      <c r="C19" s="749" t="s">
        <v>890</v>
      </c>
      <c r="D19" s="44">
        <f>Poeng!T51</f>
        <v>3</v>
      </c>
      <c r="E19" s="43"/>
      <c r="F19" s="46">
        <f>Poeng!AB51</f>
        <v>3</v>
      </c>
      <c r="H19" s="772">
        <f>IF(SUMIF($R$7:$R$182,A19,$U$7:$U$182)=2,1,SUMIF($R$7:$R$182,A19,$U$7:$U$182))</f>
        <v>1</v>
      </c>
      <c r="I19" s="317" t="str">
        <f t="shared" si="1"/>
        <v>FEIL</v>
      </c>
      <c r="J19" t="s">
        <v>920</v>
      </c>
      <c r="N19" s="311"/>
      <c r="O19" t="b">
        <f t="shared" si="2"/>
        <v>1</v>
      </c>
      <c r="R19" t="s">
        <v>888</v>
      </c>
      <c r="S19" s="1590"/>
      <c r="T19" s="306" t="s">
        <v>576</v>
      </c>
      <c r="U19" s="777">
        <v>1</v>
      </c>
      <c r="V19" s="785" t="s">
        <v>328</v>
      </c>
      <c r="W19" s="734"/>
      <c r="AE19">
        <v>12</v>
      </c>
    </row>
    <row r="20" spans="1:31" ht="15" customHeight="1" x14ac:dyDescent="0.25">
      <c r="A20" t="s">
        <v>701</v>
      </c>
      <c r="B20" s="43" t="s">
        <v>675</v>
      </c>
      <c r="C20" s="749" t="s">
        <v>891</v>
      </c>
      <c r="D20" s="44">
        <f>Poeng!T55</f>
        <v>0</v>
      </c>
      <c r="E20" s="43"/>
      <c r="F20" s="46">
        <f>Poeng!AB55</f>
        <v>0</v>
      </c>
      <c r="H20" s="772">
        <f>IF(SUMIF($R$7:$R$182,A19,$U$7:$U$182)=2,1,0)</f>
        <v>1</v>
      </c>
      <c r="I20" s="317" t="str">
        <f t="shared" si="1"/>
        <v>FEIL</v>
      </c>
      <c r="J20" t="s">
        <v>920</v>
      </c>
      <c r="N20" s="307" t="s">
        <v>113</v>
      </c>
      <c r="O20" t="b">
        <f t="shared" si="2"/>
        <v>0</v>
      </c>
      <c r="S20" s="1588" t="s">
        <v>90</v>
      </c>
      <c r="T20" s="762" t="s">
        <v>330</v>
      </c>
      <c r="U20" s="763"/>
      <c r="V20" s="764"/>
      <c r="W20" s="734"/>
      <c r="AE20">
        <v>13</v>
      </c>
    </row>
    <row r="21" spans="1:31" x14ac:dyDescent="0.25">
      <c r="A21" t="s">
        <v>888</v>
      </c>
      <c r="B21" s="43" t="s">
        <v>674</v>
      </c>
      <c r="C21" s="749" t="s">
        <v>892</v>
      </c>
      <c r="D21" s="44">
        <f>Poeng!T56</f>
        <v>3</v>
      </c>
      <c r="E21" s="43"/>
      <c r="F21" s="46">
        <f>Poeng!AB56</f>
        <v>3</v>
      </c>
      <c r="H21" s="772">
        <f>IF(SUMIF($R$7:$R$182,A21,$U$7:$U$182)=3,1,SUMIF($R$7:$R$182,A21,$U$7:$U$182))</f>
        <v>1</v>
      </c>
      <c r="I21" s="317" t="str">
        <f t="shared" si="1"/>
        <v>FEIL</v>
      </c>
      <c r="J21" t="s">
        <v>920</v>
      </c>
      <c r="N21" s="307" t="s">
        <v>114</v>
      </c>
      <c r="O21" t="b">
        <f t="shared" si="2"/>
        <v>0</v>
      </c>
      <c r="R21" t="s">
        <v>702</v>
      </c>
      <c r="S21" s="1589"/>
      <c r="T21" s="306" t="s">
        <v>577</v>
      </c>
      <c r="U21" s="777">
        <v>1</v>
      </c>
      <c r="V21" s="785" t="s">
        <v>328</v>
      </c>
      <c r="W21" s="734"/>
      <c r="AE21">
        <v>14</v>
      </c>
    </row>
    <row r="22" spans="1:31" ht="48.75" customHeight="1" x14ac:dyDescent="0.25">
      <c r="A22" t="s">
        <v>889</v>
      </c>
      <c r="B22" s="43" t="s">
        <v>887</v>
      </c>
      <c r="C22" s="749" t="s">
        <v>893</v>
      </c>
      <c r="D22" s="44">
        <f>Poeng!T59</f>
        <v>2</v>
      </c>
      <c r="E22" s="43"/>
      <c r="F22" s="46">
        <f>Poeng!AB59</f>
        <v>2</v>
      </c>
      <c r="H22" s="772">
        <f>IF(SUMIF($R$7:$R$182,A21,$U$7:$U$182)=3,2,0)</f>
        <v>0</v>
      </c>
      <c r="I22" s="317" t="str">
        <f t="shared" si="1"/>
        <v>FEIL</v>
      </c>
      <c r="J22" t="s">
        <v>920</v>
      </c>
      <c r="N22" s="307" t="s">
        <v>115</v>
      </c>
      <c r="O22" t="b">
        <f t="shared" si="2"/>
        <v>0</v>
      </c>
      <c r="R22" t="s">
        <v>703</v>
      </c>
      <c r="S22" s="1589"/>
      <c r="T22" s="306" t="s">
        <v>578</v>
      </c>
      <c r="U22" s="777">
        <v>1</v>
      </c>
      <c r="V22" s="785" t="s">
        <v>328</v>
      </c>
      <c r="W22" s="734"/>
      <c r="AE22">
        <v>15</v>
      </c>
    </row>
    <row r="23" spans="1:31" ht="15" customHeight="1" x14ac:dyDescent="0.25">
      <c r="A23" s="121" t="s">
        <v>90</v>
      </c>
      <c r="B23" s="636" t="s">
        <v>90</v>
      </c>
      <c r="C23" s="636" t="s">
        <v>375</v>
      </c>
      <c r="D23" s="61">
        <f>Poeng!T62</f>
        <v>0</v>
      </c>
      <c r="E23" s="43"/>
      <c r="F23" s="318">
        <f>Poeng!AB62</f>
        <v>0</v>
      </c>
      <c r="H23" s="685">
        <f t="shared" si="0"/>
        <v>0</v>
      </c>
      <c r="I23" s="317" t="str">
        <f t="shared" si="1"/>
        <v>OK</v>
      </c>
      <c r="N23" s="307" t="s">
        <v>116</v>
      </c>
      <c r="O23" t="b">
        <f t="shared" si="2"/>
        <v>0</v>
      </c>
      <c r="R23" t="s">
        <v>704</v>
      </c>
      <c r="S23" s="1590"/>
      <c r="T23" s="306" t="s">
        <v>579</v>
      </c>
      <c r="U23" s="777">
        <v>1</v>
      </c>
      <c r="V23" s="785" t="s">
        <v>328</v>
      </c>
      <c r="W23" s="734"/>
      <c r="AE23">
        <v>16</v>
      </c>
    </row>
    <row r="24" spans="1:31" x14ac:dyDescent="0.25">
      <c r="A24" t="s">
        <v>702</v>
      </c>
      <c r="B24" s="43" t="s">
        <v>673</v>
      </c>
      <c r="C24" s="683" t="s">
        <v>577</v>
      </c>
      <c r="D24" s="44">
        <f>Poeng!T63</f>
        <v>0</v>
      </c>
      <c r="E24" s="43"/>
      <c r="F24" s="46">
        <f>Poeng!AB63</f>
        <v>0</v>
      </c>
      <c r="H24" s="145">
        <f t="shared" si="0"/>
        <v>1</v>
      </c>
      <c r="I24" s="317" t="str">
        <f t="shared" si="1"/>
        <v>FEIL</v>
      </c>
      <c r="N24" s="307" t="s">
        <v>117</v>
      </c>
      <c r="O24" t="b">
        <f t="shared" si="2"/>
        <v>0</v>
      </c>
      <c r="S24" s="1591" t="s">
        <v>91</v>
      </c>
      <c r="T24" s="763" t="s">
        <v>331</v>
      </c>
      <c r="U24" s="763"/>
      <c r="V24" s="764"/>
      <c r="W24" s="734"/>
      <c r="AE24">
        <v>17</v>
      </c>
    </row>
    <row r="25" spans="1:31" ht="73.5" customHeight="1" thickBot="1" x14ac:dyDescent="0.3">
      <c r="A25" t="s">
        <v>703</v>
      </c>
      <c r="B25" s="43" t="s">
        <v>676</v>
      </c>
      <c r="C25" s="683" t="s">
        <v>578</v>
      </c>
      <c r="D25" s="49">
        <f>Poeng!T65</f>
        <v>0</v>
      </c>
      <c r="E25" s="48"/>
      <c r="F25" s="46">
        <f>Poeng!AB65</f>
        <v>0</v>
      </c>
      <c r="H25" s="145">
        <f t="shared" si="0"/>
        <v>1</v>
      </c>
      <c r="I25" s="317" t="str">
        <f t="shared" si="1"/>
        <v>FEIL</v>
      </c>
      <c r="N25" s="307" t="s">
        <v>118</v>
      </c>
      <c r="O25" t="b">
        <f t="shared" si="2"/>
        <v>0</v>
      </c>
      <c r="R25" t="s">
        <v>705</v>
      </c>
      <c r="S25" s="1579"/>
      <c r="T25" s="306" t="s">
        <v>580</v>
      </c>
      <c r="U25" s="777">
        <v>1</v>
      </c>
      <c r="V25" s="785" t="s">
        <v>328</v>
      </c>
      <c r="W25" s="734"/>
      <c r="AE25">
        <v>18</v>
      </c>
    </row>
    <row r="26" spans="1:31" ht="15.75" thickBot="1" x14ac:dyDescent="0.3">
      <c r="A26" t="s">
        <v>704</v>
      </c>
      <c r="B26" s="43" t="s">
        <v>677</v>
      </c>
      <c r="C26" s="683" t="s">
        <v>579</v>
      </c>
      <c r="D26" s="50">
        <f>Poeng!T66</f>
        <v>19</v>
      </c>
      <c r="E26" s="50"/>
      <c r="F26" s="50">
        <f>SUM(F17:F25)</f>
        <v>19</v>
      </c>
      <c r="H26" s="145">
        <f t="shared" si="0"/>
        <v>1</v>
      </c>
      <c r="I26" s="317" t="str">
        <f t="shared" si="1"/>
        <v>FEIL</v>
      </c>
      <c r="N26" s="307" t="s">
        <v>119</v>
      </c>
      <c r="O26" t="b">
        <f t="shared" si="2"/>
        <v>0</v>
      </c>
      <c r="R26" t="s">
        <v>706</v>
      </c>
      <c r="S26" s="1579"/>
      <c r="T26" s="306" t="s">
        <v>581</v>
      </c>
      <c r="U26" s="777">
        <v>1</v>
      </c>
      <c r="V26" s="785" t="s">
        <v>328</v>
      </c>
      <c r="W26" s="734"/>
      <c r="AE26">
        <v>19</v>
      </c>
    </row>
    <row r="27" spans="1:31" ht="15.75" thickBot="1" x14ac:dyDescent="0.3">
      <c r="A27" s="121" t="s">
        <v>91</v>
      </c>
      <c r="B27" s="636" t="s">
        <v>91</v>
      </c>
      <c r="C27" s="636" t="s">
        <v>292</v>
      </c>
      <c r="H27" s="685">
        <f t="shared" si="0"/>
        <v>0</v>
      </c>
      <c r="I27" s="317" t="str">
        <f t="shared" si="1"/>
        <v>OK</v>
      </c>
      <c r="N27" s="304"/>
      <c r="O27" t="b">
        <f t="shared" si="2"/>
        <v>1</v>
      </c>
      <c r="R27" t="s">
        <v>707</v>
      </c>
      <c r="S27" s="1579"/>
      <c r="T27" s="306" t="s">
        <v>582</v>
      </c>
      <c r="U27" s="777">
        <v>1</v>
      </c>
      <c r="V27" s="785" t="s">
        <v>328</v>
      </c>
      <c r="W27" s="734"/>
      <c r="AE27">
        <v>20</v>
      </c>
    </row>
    <row r="28" spans="1:31" ht="15.75" thickBot="1" x14ac:dyDescent="0.3">
      <c r="A28" t="s">
        <v>705</v>
      </c>
      <c r="B28" s="43" t="s">
        <v>673</v>
      </c>
      <c r="C28" s="683" t="s">
        <v>580</v>
      </c>
      <c r="D28" s="47"/>
      <c r="E28" s="47"/>
      <c r="F28" s="47"/>
      <c r="H28" s="145">
        <f t="shared" si="0"/>
        <v>1</v>
      </c>
      <c r="I28" s="317" t="str">
        <f t="shared" si="1"/>
        <v>FEIL</v>
      </c>
      <c r="N28" s="305" t="s">
        <v>335</v>
      </c>
      <c r="O28" t="b">
        <f t="shared" si="2"/>
        <v>0</v>
      </c>
      <c r="S28" s="305" t="s">
        <v>332</v>
      </c>
      <c r="T28" s="304"/>
      <c r="U28" s="305"/>
      <c r="V28" s="776"/>
      <c r="W28" s="734"/>
      <c r="AE28">
        <v>21</v>
      </c>
    </row>
    <row r="29" spans="1:31" x14ac:dyDescent="0.25">
      <c r="A29" t="s">
        <v>706</v>
      </c>
      <c r="B29" s="43" t="s">
        <v>676</v>
      </c>
      <c r="C29" s="683" t="s">
        <v>581</v>
      </c>
      <c r="D29" s="46">
        <f>Poeng!T69</f>
        <v>12</v>
      </c>
      <c r="E29" s="45"/>
      <c r="F29" s="46">
        <f>Poeng!AB69</f>
        <v>12</v>
      </c>
      <c r="H29" s="145">
        <f t="shared" si="0"/>
        <v>1</v>
      </c>
      <c r="I29" s="317" t="str">
        <f t="shared" si="1"/>
        <v>FEIL</v>
      </c>
      <c r="N29" s="307" t="s">
        <v>129</v>
      </c>
      <c r="O29" t="b">
        <f t="shared" si="2"/>
        <v>0</v>
      </c>
      <c r="S29" s="1585" t="s">
        <v>111</v>
      </c>
      <c r="T29" s="765" t="s">
        <v>813</v>
      </c>
      <c r="U29" s="784"/>
      <c r="V29" s="766"/>
      <c r="W29" s="734"/>
      <c r="AE29">
        <v>22</v>
      </c>
    </row>
    <row r="30" spans="1:31" x14ac:dyDescent="0.25">
      <c r="A30" t="s">
        <v>707</v>
      </c>
      <c r="B30" s="43" t="s">
        <v>677</v>
      </c>
      <c r="C30" s="683" t="s">
        <v>582</v>
      </c>
      <c r="D30" s="44">
        <f>Poeng!T75</f>
        <v>2</v>
      </c>
      <c r="E30" s="43"/>
      <c r="F30" s="46">
        <f>Poeng!AB75</f>
        <v>2</v>
      </c>
      <c r="H30" s="145">
        <f t="shared" si="0"/>
        <v>1</v>
      </c>
      <c r="I30" s="317" t="str">
        <f t="shared" si="1"/>
        <v>FEIL</v>
      </c>
      <c r="N30" s="307" t="s">
        <v>241</v>
      </c>
      <c r="O30" t="b">
        <f t="shared" si="2"/>
        <v>0</v>
      </c>
      <c r="R30" t="s">
        <v>708</v>
      </c>
      <c r="S30" s="1586"/>
      <c r="T30" s="735" t="s">
        <v>583</v>
      </c>
      <c r="U30" s="779">
        <v>3</v>
      </c>
      <c r="V30" s="786" t="s">
        <v>328</v>
      </c>
      <c r="W30" s="734"/>
      <c r="AE30">
        <v>23</v>
      </c>
    </row>
    <row r="31" spans="1:31" x14ac:dyDescent="0.25">
      <c r="B31" s="522" t="s">
        <v>92</v>
      </c>
      <c r="C31" s="522"/>
      <c r="D31" s="44">
        <f>Poeng!T79</f>
        <v>1</v>
      </c>
      <c r="E31" s="43"/>
      <c r="F31" s="46">
        <f>Poeng!AB79</f>
        <v>1</v>
      </c>
      <c r="H31" s="710">
        <f t="shared" si="0"/>
        <v>0</v>
      </c>
      <c r="I31" s="317" t="str">
        <f t="shared" si="1"/>
        <v>FEIL</v>
      </c>
      <c r="N31" s="307" t="s">
        <v>336</v>
      </c>
      <c r="O31" t="b">
        <f t="shared" si="2"/>
        <v>0</v>
      </c>
      <c r="R31" t="s">
        <v>709</v>
      </c>
      <c r="S31" s="1586"/>
      <c r="T31" s="735" t="s">
        <v>584</v>
      </c>
      <c r="U31" s="780">
        <v>1</v>
      </c>
      <c r="V31" s="787" t="s">
        <v>328</v>
      </c>
      <c r="W31" s="734"/>
      <c r="AE31">
        <v>24</v>
      </c>
    </row>
    <row r="32" spans="1:31" ht="15.75" customHeight="1" thickBot="1" x14ac:dyDescent="0.3">
      <c r="B32" s="522" t="s">
        <v>93</v>
      </c>
      <c r="C32" s="522"/>
      <c r="D32" s="44">
        <f>Poeng!T82</f>
        <v>0</v>
      </c>
      <c r="E32" s="43"/>
      <c r="F32" s="46">
        <f>Poeng!AB82</f>
        <v>0</v>
      </c>
      <c r="H32" s="710">
        <f t="shared" si="0"/>
        <v>0</v>
      </c>
      <c r="I32" s="317" t="str">
        <f t="shared" si="1"/>
        <v>OK</v>
      </c>
      <c r="N32" s="307" t="s">
        <v>131</v>
      </c>
      <c r="O32" t="b">
        <f t="shared" si="2"/>
        <v>0</v>
      </c>
      <c r="R32" t="s">
        <v>710</v>
      </c>
      <c r="S32" s="1586"/>
      <c r="T32" s="735" t="s">
        <v>585</v>
      </c>
      <c r="U32" s="780">
        <v>1</v>
      </c>
      <c r="V32" s="787" t="s">
        <v>328</v>
      </c>
      <c r="W32" s="734"/>
      <c r="AE32">
        <v>25</v>
      </c>
    </row>
    <row r="33" spans="1:31" ht="15.75" thickBot="1" x14ac:dyDescent="0.3">
      <c r="A33" t="s">
        <v>860</v>
      </c>
      <c r="B33" s="531"/>
      <c r="C33" s="530" t="s">
        <v>204</v>
      </c>
      <c r="D33" s="44">
        <f>Poeng!T83</f>
        <v>2</v>
      </c>
      <c r="E33" s="43"/>
      <c r="F33" s="46">
        <f>Poeng!AB83</f>
        <v>2</v>
      </c>
      <c r="H33" s="175">
        <f t="shared" si="0"/>
        <v>0</v>
      </c>
      <c r="I33" s="317" t="str">
        <f t="shared" si="1"/>
        <v>FEIL</v>
      </c>
      <c r="N33" s="307" t="s">
        <v>132</v>
      </c>
      <c r="O33" t="b">
        <f t="shared" si="2"/>
        <v>0</v>
      </c>
      <c r="R33" t="s">
        <v>711</v>
      </c>
      <c r="S33" s="1586"/>
      <c r="T33" s="735" t="s">
        <v>586</v>
      </c>
      <c r="U33" s="780">
        <v>1</v>
      </c>
      <c r="V33" s="787" t="s">
        <v>328</v>
      </c>
      <c r="W33" s="734"/>
      <c r="AE33">
        <v>26</v>
      </c>
    </row>
    <row r="34" spans="1:31" ht="15.75" thickBot="1" x14ac:dyDescent="0.3">
      <c r="D34" s="44">
        <f>Poeng!T86</f>
        <v>3</v>
      </c>
      <c r="E34" s="43"/>
      <c r="F34" s="46">
        <f>Poeng!AB86</f>
        <v>3</v>
      </c>
      <c r="H34">
        <f t="shared" si="0"/>
        <v>0</v>
      </c>
      <c r="I34" s="317" t="str">
        <f t="shared" si="1"/>
        <v>FEIL</v>
      </c>
      <c r="N34" s="307" t="s">
        <v>133</v>
      </c>
      <c r="O34" t="b">
        <f t="shared" si="2"/>
        <v>0</v>
      </c>
      <c r="R34" t="s">
        <v>712</v>
      </c>
      <c r="S34" s="1587"/>
      <c r="T34" s="735" t="s">
        <v>587</v>
      </c>
      <c r="U34" s="777">
        <v>1</v>
      </c>
      <c r="V34" s="786" t="s">
        <v>328</v>
      </c>
      <c r="W34" s="734"/>
      <c r="AE34">
        <v>27</v>
      </c>
    </row>
    <row r="35" spans="1:31" ht="15.75" thickBot="1" x14ac:dyDescent="0.3">
      <c r="B35" s="127"/>
      <c r="C35" s="47" t="s">
        <v>60</v>
      </c>
      <c r="D35" s="44">
        <f>Poeng!T90</f>
        <v>5</v>
      </c>
      <c r="E35" s="43"/>
      <c r="F35" s="46">
        <f>Poeng!AB90</f>
        <v>5</v>
      </c>
      <c r="H35" s="122">
        <f t="shared" si="0"/>
        <v>0</v>
      </c>
      <c r="I35" s="317" t="str">
        <f t="shared" si="1"/>
        <v>FEIL</v>
      </c>
      <c r="N35" s="307" t="s">
        <v>134</v>
      </c>
      <c r="O35" t="b">
        <f t="shared" si="2"/>
        <v>0</v>
      </c>
      <c r="S35" s="1585" t="s">
        <v>112</v>
      </c>
      <c r="T35" s="765" t="s">
        <v>814</v>
      </c>
      <c r="U35" s="784"/>
      <c r="V35" s="766"/>
      <c r="W35" s="734"/>
      <c r="AE35">
        <v>28</v>
      </c>
    </row>
    <row r="36" spans="1:31" x14ac:dyDescent="0.25">
      <c r="A36" s="121" t="s">
        <v>111</v>
      </c>
      <c r="B36" s="637" t="s">
        <v>111</v>
      </c>
      <c r="C36" s="635" t="s">
        <v>109</v>
      </c>
      <c r="D36" s="44">
        <f>Poeng!T93</f>
        <v>2</v>
      </c>
      <c r="E36" s="43"/>
      <c r="F36" s="46">
        <f>Poeng!AB93</f>
        <v>2</v>
      </c>
      <c r="H36" s="717">
        <f t="shared" si="0"/>
        <v>0</v>
      </c>
      <c r="I36" s="317" t="str">
        <f t="shared" si="1"/>
        <v>FEIL</v>
      </c>
      <c r="N36" s="307" t="s">
        <v>135</v>
      </c>
      <c r="O36" t="b">
        <f t="shared" si="2"/>
        <v>0</v>
      </c>
      <c r="R36" t="s">
        <v>714</v>
      </c>
      <c r="S36" s="1586"/>
      <c r="T36" s="735" t="s">
        <v>589</v>
      </c>
      <c r="U36" s="777">
        <v>1</v>
      </c>
      <c r="V36" s="786"/>
      <c r="W36" s="734"/>
      <c r="AE36">
        <v>29</v>
      </c>
    </row>
    <row r="37" spans="1:31" ht="15.75" customHeight="1" x14ac:dyDescent="0.25">
      <c r="A37" t="s">
        <v>708</v>
      </c>
      <c r="B37" t="s">
        <v>673</v>
      </c>
      <c r="N37" s="307" t="s">
        <v>136</v>
      </c>
      <c r="O37" t="b">
        <f t="shared" si="2"/>
        <v>0</v>
      </c>
      <c r="R37" t="s">
        <v>715</v>
      </c>
      <c r="S37" s="1586"/>
      <c r="T37" s="307" t="s">
        <v>590</v>
      </c>
      <c r="U37" s="777">
        <v>2</v>
      </c>
      <c r="V37" s="786" t="s">
        <v>328</v>
      </c>
      <c r="W37" s="734"/>
      <c r="AE37">
        <v>30</v>
      </c>
    </row>
    <row r="38" spans="1:31" ht="15.75" customHeight="1" x14ac:dyDescent="0.25">
      <c r="A38" t="s">
        <v>709</v>
      </c>
      <c r="B38" s="144" t="s">
        <v>676</v>
      </c>
      <c r="C38" s="683" t="s">
        <v>583</v>
      </c>
      <c r="D38" s="44">
        <f>Poeng!T95</f>
        <v>0</v>
      </c>
      <c r="E38" s="43"/>
      <c r="F38" s="46">
        <f>Poeng!AB95</f>
        <v>0</v>
      </c>
      <c r="H38" s="184">
        <f t="shared" ref="H38:H71" si="3">SUMIF($R$7:$R$182,A38,$U$7:$U$182)</f>
        <v>1</v>
      </c>
      <c r="I38" s="317" t="str">
        <f t="shared" ref="I38:I74" si="4">IF(F38=H38,"OK","FEIL")</f>
        <v>FEIL</v>
      </c>
      <c r="N38" s="307" t="s">
        <v>137</v>
      </c>
      <c r="O38" t="b">
        <f t="shared" si="2"/>
        <v>0</v>
      </c>
      <c r="R38" t="s">
        <v>716</v>
      </c>
      <c r="S38" s="1587"/>
      <c r="T38" s="307" t="s">
        <v>591</v>
      </c>
      <c r="U38" s="781">
        <v>1</v>
      </c>
      <c r="V38" s="786" t="s">
        <v>328</v>
      </c>
      <c r="W38" s="734"/>
      <c r="AE38">
        <v>31</v>
      </c>
    </row>
    <row r="39" spans="1:31" ht="15.75" thickBot="1" x14ac:dyDescent="0.3">
      <c r="A39" t="s">
        <v>710</v>
      </c>
      <c r="B39" s="144" t="s">
        <v>677</v>
      </c>
      <c r="C39" s="683" t="s">
        <v>584</v>
      </c>
      <c r="D39" s="44">
        <f>Poeng!T96</f>
        <v>0</v>
      </c>
      <c r="E39" s="43"/>
      <c r="F39" s="46">
        <f>Poeng!AB96</f>
        <v>0</v>
      </c>
      <c r="H39" s="184">
        <f t="shared" si="3"/>
        <v>1</v>
      </c>
      <c r="I39" s="317" t="str">
        <f t="shared" si="4"/>
        <v>FEIL</v>
      </c>
      <c r="N39" s="308" t="s">
        <v>138</v>
      </c>
      <c r="O39" t="b">
        <f t="shared" si="2"/>
        <v>0</v>
      </c>
      <c r="S39" s="1585" t="s">
        <v>113</v>
      </c>
      <c r="T39" s="765" t="s">
        <v>815</v>
      </c>
      <c r="U39" s="784"/>
      <c r="V39" s="766"/>
      <c r="W39" s="734"/>
      <c r="AE39">
        <v>32</v>
      </c>
    </row>
    <row r="40" spans="1:31" ht="15.75" thickBot="1" x14ac:dyDescent="0.3">
      <c r="A40" t="s">
        <v>711</v>
      </c>
      <c r="B40" s="144" t="s">
        <v>675</v>
      </c>
      <c r="C40" s="683" t="s">
        <v>585</v>
      </c>
      <c r="D40" s="50">
        <f>Poeng!T97</f>
        <v>27</v>
      </c>
      <c r="E40" s="50"/>
      <c r="F40" s="50">
        <f>SUM(F29:F39)</f>
        <v>27</v>
      </c>
      <c r="H40" s="184">
        <f t="shared" si="3"/>
        <v>1</v>
      </c>
      <c r="I40" s="317" t="str">
        <f t="shared" si="4"/>
        <v>FEIL</v>
      </c>
      <c r="N40" s="304"/>
      <c r="O40" t="b">
        <f t="shared" si="2"/>
        <v>1</v>
      </c>
      <c r="R40" t="s">
        <v>717</v>
      </c>
      <c r="S40" s="1586"/>
      <c r="T40" s="735" t="s">
        <v>592</v>
      </c>
      <c r="U40" s="777">
        <v>1</v>
      </c>
      <c r="V40" s="786" t="s">
        <v>328</v>
      </c>
      <c r="W40" s="734"/>
      <c r="AE40">
        <v>33</v>
      </c>
    </row>
    <row r="41" spans="1:31" ht="15.75" thickBot="1" x14ac:dyDescent="0.3">
      <c r="A41" t="s">
        <v>712</v>
      </c>
      <c r="B41" s="144" t="s">
        <v>674</v>
      </c>
      <c r="C41" s="683" t="s">
        <v>586</v>
      </c>
      <c r="H41" s="184">
        <f t="shared" si="3"/>
        <v>1</v>
      </c>
      <c r="I41" s="317" t="str">
        <f t="shared" si="4"/>
        <v>FEIL</v>
      </c>
      <c r="N41" s="305" t="s">
        <v>342</v>
      </c>
      <c r="O41" t="b">
        <f t="shared" si="2"/>
        <v>0</v>
      </c>
      <c r="R41" t="s">
        <v>718</v>
      </c>
      <c r="S41" s="1586"/>
      <c r="T41" s="307" t="s">
        <v>593</v>
      </c>
      <c r="U41" s="777">
        <v>1</v>
      </c>
      <c r="V41" s="786" t="s">
        <v>328</v>
      </c>
      <c r="W41" s="734"/>
      <c r="AE41">
        <v>34</v>
      </c>
    </row>
    <row r="42" spans="1:31" ht="15.75" thickBot="1" x14ac:dyDescent="0.3">
      <c r="A42" t="s">
        <v>932</v>
      </c>
      <c r="B42" s="144" t="s">
        <v>887</v>
      </c>
      <c r="C42" s="683" t="s">
        <v>587</v>
      </c>
      <c r="D42" s="47"/>
      <c r="E42" s="47"/>
      <c r="F42" s="47"/>
      <c r="H42" s="184">
        <f t="shared" si="3"/>
        <v>0</v>
      </c>
      <c r="I42" s="317" t="str">
        <f t="shared" si="4"/>
        <v>OK</v>
      </c>
      <c r="N42" s="307" t="s">
        <v>141</v>
      </c>
      <c r="O42" t="b">
        <f t="shared" si="2"/>
        <v>0</v>
      </c>
      <c r="R42" t="s">
        <v>719</v>
      </c>
      <c r="S42" s="1587"/>
      <c r="T42" s="307" t="s">
        <v>816</v>
      </c>
      <c r="U42" s="777">
        <v>1</v>
      </c>
      <c r="V42" s="786" t="s">
        <v>328</v>
      </c>
      <c r="W42" s="734"/>
      <c r="AE42">
        <v>35</v>
      </c>
    </row>
    <row r="43" spans="1:31" x14ac:dyDescent="0.25">
      <c r="A43" s="121" t="s">
        <v>112</v>
      </c>
      <c r="B43" s="638" t="s">
        <v>112</v>
      </c>
      <c r="C43" s="636" t="s">
        <v>106</v>
      </c>
      <c r="D43" s="44">
        <f>Poeng!T100</f>
        <v>3</v>
      </c>
      <c r="E43" s="43"/>
      <c r="F43" s="46">
        <f>Poeng!AB100</f>
        <v>3</v>
      </c>
      <c r="H43" s="717">
        <f t="shared" si="3"/>
        <v>0</v>
      </c>
      <c r="I43" s="317" t="str">
        <f t="shared" si="4"/>
        <v>FEIL</v>
      </c>
      <c r="N43" s="307" t="s">
        <v>142</v>
      </c>
      <c r="O43" t="b">
        <f t="shared" si="2"/>
        <v>0</v>
      </c>
      <c r="R43" t="s">
        <v>721</v>
      </c>
      <c r="S43" s="307" t="s">
        <v>115</v>
      </c>
      <c r="T43" s="738" t="s">
        <v>596</v>
      </c>
      <c r="U43" s="779">
        <v>4</v>
      </c>
      <c r="V43" s="786" t="s">
        <v>328</v>
      </c>
      <c r="W43" s="734"/>
      <c r="AE43">
        <v>36</v>
      </c>
    </row>
    <row r="44" spans="1:31" ht="15.75" customHeight="1" x14ac:dyDescent="0.25">
      <c r="B44" s="144" t="s">
        <v>673</v>
      </c>
      <c r="C44" s="705" t="s">
        <v>588</v>
      </c>
      <c r="D44" s="44">
        <f>Poeng!T103</f>
        <v>10</v>
      </c>
      <c r="E44" s="43"/>
      <c r="F44" s="46">
        <f>Poeng!AB103</f>
        <v>10</v>
      </c>
      <c r="H44" s="184">
        <f t="shared" si="3"/>
        <v>0</v>
      </c>
      <c r="I44" s="317" t="str">
        <f t="shared" si="4"/>
        <v>FEIL</v>
      </c>
      <c r="N44" s="307" t="s">
        <v>343</v>
      </c>
      <c r="O44" t="b">
        <f t="shared" si="2"/>
        <v>0</v>
      </c>
      <c r="S44" s="1581" t="s">
        <v>116</v>
      </c>
      <c r="T44" s="765" t="s">
        <v>817</v>
      </c>
      <c r="U44" s="784"/>
      <c r="V44" s="766"/>
      <c r="W44" s="734"/>
      <c r="AE44">
        <v>37</v>
      </c>
    </row>
    <row r="45" spans="1:31" ht="15.75" customHeight="1" x14ac:dyDescent="0.25">
      <c r="A45" t="s">
        <v>714</v>
      </c>
      <c r="B45" s="144" t="s">
        <v>676</v>
      </c>
      <c r="C45" s="683" t="s">
        <v>589</v>
      </c>
      <c r="D45" s="61">
        <f>Poeng!T106</f>
        <v>0</v>
      </c>
      <c r="E45" s="43"/>
      <c r="F45" s="46">
        <f>Poeng!AB106</f>
        <v>0</v>
      </c>
      <c r="H45" s="184">
        <f t="shared" si="3"/>
        <v>1</v>
      </c>
      <c r="I45" s="317" t="str">
        <f t="shared" si="4"/>
        <v>FEIL</v>
      </c>
      <c r="N45" s="307" t="s">
        <v>344</v>
      </c>
      <c r="O45" t="b">
        <f t="shared" si="2"/>
        <v>0</v>
      </c>
      <c r="R45" t="s">
        <v>722</v>
      </c>
      <c r="S45" s="1582"/>
      <c r="T45" s="735" t="s">
        <v>818</v>
      </c>
      <c r="U45" s="779">
        <v>2</v>
      </c>
      <c r="V45" s="788" t="s">
        <v>328</v>
      </c>
      <c r="W45" s="734"/>
      <c r="AE45">
        <v>38</v>
      </c>
    </row>
    <row r="46" spans="1:31" ht="15.75" customHeight="1" x14ac:dyDescent="0.25">
      <c r="A46" t="s">
        <v>715</v>
      </c>
      <c r="B46" s="146" t="s">
        <v>677</v>
      </c>
      <c r="C46" s="683" t="s">
        <v>590</v>
      </c>
      <c r="D46" s="61">
        <f>Poeng!T107</f>
        <v>0</v>
      </c>
      <c r="E46" s="43"/>
      <c r="F46" s="46">
        <f>Poeng!AB107</f>
        <v>0</v>
      </c>
      <c r="H46" s="184">
        <f t="shared" si="3"/>
        <v>2</v>
      </c>
      <c r="I46" s="317" t="str">
        <f t="shared" si="4"/>
        <v>FEIL</v>
      </c>
      <c r="N46" s="307" t="s">
        <v>144</v>
      </c>
      <c r="O46" t="b">
        <f t="shared" si="2"/>
        <v>0</v>
      </c>
      <c r="R46" t="s">
        <v>723</v>
      </c>
      <c r="S46" s="1583"/>
      <c r="T46" s="307" t="s">
        <v>819</v>
      </c>
      <c r="U46" s="779">
        <v>1</v>
      </c>
      <c r="V46" s="788" t="s">
        <v>328</v>
      </c>
      <c r="W46" s="734"/>
      <c r="AE46">
        <v>39</v>
      </c>
    </row>
    <row r="47" spans="1:31" ht="15.75" customHeight="1" x14ac:dyDescent="0.25">
      <c r="A47" t="s">
        <v>716</v>
      </c>
      <c r="B47" s="146" t="s">
        <v>675</v>
      </c>
      <c r="C47" s="683" t="s">
        <v>591</v>
      </c>
      <c r="D47" s="61">
        <f>Poeng!T108</f>
        <v>0</v>
      </c>
      <c r="E47" s="43"/>
      <c r="F47" s="46">
        <f>Poeng!AB108</f>
        <v>0</v>
      </c>
      <c r="H47" s="184">
        <f t="shared" si="3"/>
        <v>1</v>
      </c>
      <c r="I47" s="317" t="str">
        <f t="shared" si="4"/>
        <v>FEIL</v>
      </c>
      <c r="N47" s="307" t="s">
        <v>145</v>
      </c>
      <c r="O47" t="b">
        <f t="shared" si="2"/>
        <v>0</v>
      </c>
      <c r="R47" t="s">
        <v>724</v>
      </c>
      <c r="S47" s="307" t="s">
        <v>118</v>
      </c>
      <c r="T47" s="738" t="s">
        <v>334</v>
      </c>
      <c r="U47" s="777">
        <v>1</v>
      </c>
      <c r="V47" s="786" t="s">
        <v>328</v>
      </c>
      <c r="W47" s="734"/>
      <c r="AE47">
        <v>40</v>
      </c>
    </row>
    <row r="48" spans="1:31" ht="15.75" thickBot="1" x14ac:dyDescent="0.3">
      <c r="A48" s="121" t="s">
        <v>113</v>
      </c>
      <c r="B48" s="638" t="s">
        <v>113</v>
      </c>
      <c r="C48" s="636" t="s">
        <v>107</v>
      </c>
      <c r="D48" s="61">
        <f>Poeng!T109</f>
        <v>0</v>
      </c>
      <c r="E48" s="63"/>
      <c r="F48" s="46">
        <f>Poeng!AB109</f>
        <v>0</v>
      </c>
      <c r="H48" s="717">
        <f t="shared" si="3"/>
        <v>0</v>
      </c>
      <c r="I48" s="317" t="str">
        <f t="shared" si="4"/>
        <v>OK</v>
      </c>
      <c r="N48" s="307" t="s">
        <v>297</v>
      </c>
      <c r="O48" t="b">
        <f t="shared" si="2"/>
        <v>0</v>
      </c>
      <c r="S48" s="304"/>
      <c r="T48" s="304"/>
      <c r="U48" s="305"/>
      <c r="V48" s="776"/>
      <c r="W48" s="734"/>
      <c r="AE48">
        <v>41</v>
      </c>
    </row>
    <row r="49" spans="1:31" ht="15.75" thickBot="1" x14ac:dyDescent="0.3">
      <c r="A49" t="s">
        <v>717</v>
      </c>
      <c r="B49" s="144" t="s">
        <v>673</v>
      </c>
      <c r="C49" s="683" t="s">
        <v>592</v>
      </c>
      <c r="D49" s="50">
        <f>Poeng!T110</f>
        <v>13</v>
      </c>
      <c r="E49" s="50"/>
      <c r="F49" s="50">
        <f>SUM(F43:F48)</f>
        <v>13</v>
      </c>
      <c r="H49" s="184">
        <f t="shared" si="3"/>
        <v>1</v>
      </c>
      <c r="I49" s="317" t="str">
        <f t="shared" si="4"/>
        <v>FEIL</v>
      </c>
      <c r="N49" s="304"/>
      <c r="O49" t="b">
        <f t="shared" si="2"/>
        <v>0</v>
      </c>
      <c r="S49" s="305" t="s">
        <v>335</v>
      </c>
      <c r="T49" s="304"/>
      <c r="U49" s="305"/>
      <c r="V49" s="776"/>
      <c r="W49" s="734"/>
      <c r="AE49">
        <v>42</v>
      </c>
    </row>
    <row r="50" spans="1:31" ht="15.75" thickBot="1" x14ac:dyDescent="0.3">
      <c r="A50" t="s">
        <v>718</v>
      </c>
      <c r="B50" s="144" t="s">
        <v>676</v>
      </c>
      <c r="C50" s="683" t="s">
        <v>593</v>
      </c>
      <c r="H50" s="184">
        <f t="shared" si="3"/>
        <v>1</v>
      </c>
      <c r="I50" s="317" t="str">
        <f t="shared" si="4"/>
        <v>FEIL</v>
      </c>
      <c r="N50" s="305" t="s">
        <v>345</v>
      </c>
      <c r="O50" t="b">
        <f t="shared" si="2"/>
        <v>0</v>
      </c>
      <c r="S50" s="1581" t="s">
        <v>129</v>
      </c>
      <c r="T50" s="765" t="s">
        <v>820</v>
      </c>
      <c r="U50" s="784"/>
      <c r="V50" s="766"/>
      <c r="W50" s="734"/>
      <c r="AE50">
        <v>43</v>
      </c>
    </row>
    <row r="51" spans="1:31" ht="15.75" thickBot="1" x14ac:dyDescent="0.3">
      <c r="A51" t="s">
        <v>719</v>
      </c>
      <c r="B51" s="146" t="s">
        <v>677</v>
      </c>
      <c r="C51" s="683" t="s">
        <v>594</v>
      </c>
      <c r="D51" s="47"/>
      <c r="E51" s="47"/>
      <c r="F51" s="47"/>
      <c r="H51" s="184">
        <f t="shared" si="3"/>
        <v>1</v>
      </c>
      <c r="I51" s="317" t="str">
        <f t="shared" si="4"/>
        <v>FEIL</v>
      </c>
      <c r="N51" s="307" t="s">
        <v>163</v>
      </c>
      <c r="O51" t="b">
        <f t="shared" si="2"/>
        <v>0</v>
      </c>
      <c r="R51" t="s">
        <v>725</v>
      </c>
      <c r="S51" s="1582"/>
      <c r="T51" s="735" t="s">
        <v>600</v>
      </c>
      <c r="U51" s="777">
        <v>2</v>
      </c>
      <c r="V51" s="785" t="s">
        <v>328</v>
      </c>
      <c r="W51" s="734"/>
      <c r="AE51">
        <v>44</v>
      </c>
    </row>
    <row r="52" spans="1:31" x14ac:dyDescent="0.25">
      <c r="B52" s="523" t="s">
        <v>114</v>
      </c>
      <c r="C52" s="524"/>
      <c r="D52" s="46">
        <f>Poeng!T113</f>
        <v>5</v>
      </c>
      <c r="E52" s="45"/>
      <c r="F52" s="46">
        <f>Poeng!AB113</f>
        <v>5</v>
      </c>
      <c r="H52" s="718">
        <f t="shared" si="3"/>
        <v>0</v>
      </c>
      <c r="I52" s="317" t="str">
        <f t="shared" si="4"/>
        <v>FEIL</v>
      </c>
      <c r="N52" s="307" t="s">
        <v>164</v>
      </c>
      <c r="O52" t="b">
        <f t="shared" si="2"/>
        <v>0</v>
      </c>
      <c r="R52" t="s">
        <v>726</v>
      </c>
      <c r="S52" s="1582"/>
      <c r="T52" s="307" t="s">
        <v>601</v>
      </c>
      <c r="U52" s="777">
        <v>1</v>
      </c>
      <c r="V52" s="785" t="s">
        <v>328</v>
      </c>
      <c r="W52" s="734"/>
      <c r="AE52">
        <v>45</v>
      </c>
    </row>
    <row r="53" spans="1:31" x14ac:dyDescent="0.25">
      <c r="A53" s="121" t="s">
        <v>115</v>
      </c>
      <c r="B53" s="638" t="s">
        <v>115</v>
      </c>
      <c r="C53" s="636" t="s">
        <v>121</v>
      </c>
      <c r="D53" s="44">
        <f>Poeng!T115</f>
        <v>1</v>
      </c>
      <c r="E53" s="43"/>
      <c r="F53" s="46">
        <f>Poeng!AB115</f>
        <v>1</v>
      </c>
      <c r="H53" s="717">
        <f t="shared" si="3"/>
        <v>0</v>
      </c>
      <c r="I53" s="317" t="str">
        <f t="shared" si="4"/>
        <v>FEIL</v>
      </c>
      <c r="N53" s="307" t="s">
        <v>165</v>
      </c>
      <c r="O53" t="b">
        <f t="shared" si="2"/>
        <v>0</v>
      </c>
      <c r="R53" t="s">
        <v>727</v>
      </c>
      <c r="S53" s="1582"/>
      <c r="T53" s="307" t="s">
        <v>602</v>
      </c>
      <c r="U53" s="777">
        <v>4</v>
      </c>
      <c r="V53" s="785" t="s">
        <v>328</v>
      </c>
      <c r="W53" s="734"/>
      <c r="AE53">
        <v>46</v>
      </c>
    </row>
    <row r="54" spans="1:31" x14ac:dyDescent="0.25">
      <c r="B54" s="144" t="s">
        <v>673</v>
      </c>
      <c r="C54" s="705" t="s">
        <v>595</v>
      </c>
      <c r="D54" s="44">
        <f>Poeng!T117</f>
        <v>2</v>
      </c>
      <c r="E54" s="43"/>
      <c r="F54" s="46">
        <f>Poeng!AB117</f>
        <v>2</v>
      </c>
      <c r="H54" s="184">
        <f t="shared" si="3"/>
        <v>0</v>
      </c>
      <c r="I54" s="317" t="str">
        <f t="shared" si="4"/>
        <v>FEIL</v>
      </c>
      <c r="N54" s="307" t="s">
        <v>166</v>
      </c>
      <c r="O54" t="b">
        <f t="shared" si="2"/>
        <v>0</v>
      </c>
      <c r="R54" t="s">
        <v>728</v>
      </c>
      <c r="S54" s="1582"/>
      <c r="T54" s="307" t="s">
        <v>603</v>
      </c>
      <c r="U54" s="777">
        <v>1</v>
      </c>
      <c r="V54" s="785" t="s">
        <v>328</v>
      </c>
      <c r="W54" s="734"/>
      <c r="AE54">
        <v>47</v>
      </c>
    </row>
    <row r="55" spans="1:31" ht="15.75" thickBot="1" x14ac:dyDescent="0.3">
      <c r="A55" t="s">
        <v>721</v>
      </c>
      <c r="B55" s="144" t="s">
        <v>676</v>
      </c>
      <c r="C55" s="683" t="s">
        <v>596</v>
      </c>
      <c r="D55" s="44">
        <f>Poeng!T121</f>
        <v>1</v>
      </c>
      <c r="E55" s="43"/>
      <c r="F55" s="46">
        <f>Poeng!AB121</f>
        <v>1</v>
      </c>
      <c r="H55" s="184">
        <f t="shared" si="3"/>
        <v>4</v>
      </c>
      <c r="I55" s="317" t="str">
        <f t="shared" si="4"/>
        <v>FEIL</v>
      </c>
      <c r="N55" s="304"/>
      <c r="O55" t="b">
        <f t="shared" si="2"/>
        <v>1</v>
      </c>
      <c r="R55" t="s">
        <v>729</v>
      </c>
      <c r="S55" s="1583"/>
      <c r="T55" s="307" t="s">
        <v>604</v>
      </c>
      <c r="U55" s="777">
        <v>4</v>
      </c>
      <c r="V55" s="785" t="s">
        <v>328</v>
      </c>
      <c r="W55" s="734"/>
      <c r="AE55">
        <v>48</v>
      </c>
    </row>
    <row r="56" spans="1:31" ht="15.75" thickBot="1" x14ac:dyDescent="0.3">
      <c r="A56" s="121" t="s">
        <v>116</v>
      </c>
      <c r="B56" s="638" t="s">
        <v>116</v>
      </c>
      <c r="C56" s="636" t="s">
        <v>108</v>
      </c>
      <c r="D56" s="50">
        <f>Poeng!T123</f>
        <v>9</v>
      </c>
      <c r="E56" s="50"/>
      <c r="F56" s="50">
        <f>SUM(F52:F55)</f>
        <v>9</v>
      </c>
      <c r="H56" s="717">
        <f t="shared" si="3"/>
        <v>0</v>
      </c>
      <c r="I56" s="317" t="str">
        <f t="shared" si="4"/>
        <v>FEIL</v>
      </c>
      <c r="N56" s="305" t="s">
        <v>350</v>
      </c>
      <c r="O56" t="b">
        <f t="shared" si="2"/>
        <v>0</v>
      </c>
      <c r="S56" s="1581" t="s">
        <v>130</v>
      </c>
      <c r="T56" s="767" t="s">
        <v>821</v>
      </c>
      <c r="U56" s="768"/>
      <c r="V56" s="769"/>
      <c r="W56" s="734"/>
      <c r="AE56">
        <v>49</v>
      </c>
    </row>
    <row r="57" spans="1:31" ht="15.75" thickBot="1" x14ac:dyDescent="0.3">
      <c r="A57" t="s">
        <v>722</v>
      </c>
      <c r="B57" s="144" t="s">
        <v>673</v>
      </c>
      <c r="C57" s="683" t="s">
        <v>597</v>
      </c>
      <c r="H57" s="184">
        <f t="shared" si="3"/>
        <v>2</v>
      </c>
      <c r="I57" s="317" t="str">
        <f t="shared" si="4"/>
        <v>FEIL</v>
      </c>
      <c r="N57" s="307" t="s">
        <v>167</v>
      </c>
      <c r="O57" t="b">
        <f t="shared" si="2"/>
        <v>0</v>
      </c>
      <c r="R57" t="s">
        <v>241</v>
      </c>
      <c r="S57" s="1582"/>
      <c r="T57" s="307" t="s">
        <v>605</v>
      </c>
      <c r="U57" s="777">
        <v>1</v>
      </c>
      <c r="V57" s="789" t="s">
        <v>328</v>
      </c>
      <c r="W57" s="734"/>
      <c r="AE57">
        <v>50</v>
      </c>
    </row>
    <row r="58" spans="1:31" ht="15.75" thickBot="1" x14ac:dyDescent="0.3">
      <c r="A58" t="s">
        <v>723</v>
      </c>
      <c r="B58" s="144" t="s">
        <v>676</v>
      </c>
      <c r="C58" s="683" t="s">
        <v>598</v>
      </c>
      <c r="D58" s="47"/>
      <c r="E58" s="47"/>
      <c r="F58" s="47"/>
      <c r="H58" s="184">
        <f t="shared" si="3"/>
        <v>1</v>
      </c>
      <c r="I58" s="317" t="str">
        <f t="shared" si="4"/>
        <v>FEIL</v>
      </c>
      <c r="N58" s="307" t="s">
        <v>168</v>
      </c>
      <c r="O58" t="b">
        <f t="shared" si="2"/>
        <v>0</v>
      </c>
      <c r="R58" t="s">
        <v>336</v>
      </c>
      <c r="S58" s="1582"/>
      <c r="T58" s="307" t="s">
        <v>606</v>
      </c>
      <c r="U58" s="777">
        <v>1</v>
      </c>
      <c r="V58" s="789" t="s">
        <v>328</v>
      </c>
      <c r="W58" s="734"/>
      <c r="AE58">
        <v>51</v>
      </c>
    </row>
    <row r="59" spans="1:31" x14ac:dyDescent="0.25">
      <c r="B59" s="523" t="s">
        <v>117</v>
      </c>
      <c r="C59" s="522"/>
      <c r="D59" s="46">
        <f>Poeng!T126</f>
        <v>5</v>
      </c>
      <c r="E59" s="45"/>
      <c r="F59" s="46">
        <f>Poeng!AB126</f>
        <v>5</v>
      </c>
      <c r="H59" s="718">
        <f t="shared" si="3"/>
        <v>0</v>
      </c>
      <c r="I59" s="317" t="str">
        <f t="shared" si="4"/>
        <v>FEIL</v>
      </c>
      <c r="N59" s="307"/>
      <c r="R59" t="s">
        <v>730</v>
      </c>
      <c r="S59" s="1583"/>
      <c r="T59" s="307" t="s">
        <v>607</v>
      </c>
      <c r="U59" s="777">
        <v>1</v>
      </c>
      <c r="V59" s="789" t="s">
        <v>328</v>
      </c>
      <c r="W59" s="734"/>
      <c r="AE59">
        <v>52</v>
      </c>
    </row>
    <row r="60" spans="1:31" x14ac:dyDescent="0.25">
      <c r="A60" s="121" t="s">
        <v>118</v>
      </c>
      <c r="B60" s="638" t="s">
        <v>118</v>
      </c>
      <c r="C60" s="636" t="s">
        <v>110</v>
      </c>
      <c r="D60" s="46">
        <f>Poeng!T130</f>
        <v>3</v>
      </c>
      <c r="E60" s="45"/>
      <c r="F60" s="46">
        <f>Poeng!AB130</f>
        <v>3</v>
      </c>
      <c r="H60" s="717">
        <f t="shared" si="3"/>
        <v>0</v>
      </c>
      <c r="I60" s="317" t="str">
        <f t="shared" si="4"/>
        <v>FEIL</v>
      </c>
      <c r="N60" s="307" t="s">
        <v>169</v>
      </c>
      <c r="O60" t="b">
        <f t="shared" si="2"/>
        <v>0</v>
      </c>
      <c r="R60" t="s">
        <v>731</v>
      </c>
      <c r="S60" s="307" t="s">
        <v>131</v>
      </c>
      <c r="T60" s="740" t="s">
        <v>337</v>
      </c>
      <c r="U60" s="777">
        <v>1</v>
      </c>
      <c r="V60" s="789" t="s">
        <v>328</v>
      </c>
      <c r="W60" s="734"/>
      <c r="AE60">
        <v>53</v>
      </c>
    </row>
    <row r="61" spans="1:31" x14ac:dyDescent="0.25">
      <c r="A61" t="s">
        <v>724</v>
      </c>
      <c r="B61" s="167" t="s">
        <v>673</v>
      </c>
      <c r="C61" s="683" t="s">
        <v>599</v>
      </c>
      <c r="D61" s="46">
        <f>Poeng!T134</f>
        <v>3</v>
      </c>
      <c r="E61" s="43"/>
      <c r="F61" s="46">
        <f>Poeng!AB134</f>
        <v>3</v>
      </c>
      <c r="H61" s="184">
        <f t="shared" si="3"/>
        <v>1</v>
      </c>
      <c r="I61" s="317" t="str">
        <f t="shared" si="4"/>
        <v>FEIL</v>
      </c>
      <c r="N61" s="304"/>
      <c r="O61" t="b">
        <f t="shared" si="2"/>
        <v>0</v>
      </c>
      <c r="S61" s="1581" t="s">
        <v>133</v>
      </c>
      <c r="T61" s="762" t="s">
        <v>338</v>
      </c>
      <c r="U61" s="763"/>
      <c r="V61" s="764"/>
      <c r="W61" s="734"/>
      <c r="AE61">
        <v>54</v>
      </c>
    </row>
    <row r="62" spans="1:31" ht="15.75" thickBot="1" x14ac:dyDescent="0.3">
      <c r="B62" s="525" t="s">
        <v>119</v>
      </c>
      <c r="C62" s="526"/>
      <c r="D62" s="46">
        <f>Poeng!T138</f>
        <v>4</v>
      </c>
      <c r="E62" s="43"/>
      <c r="F62" s="46">
        <f>Poeng!AB138</f>
        <v>4</v>
      </c>
      <c r="H62" s="718">
        <f t="shared" si="3"/>
        <v>0</v>
      </c>
      <c r="I62" s="317" t="str">
        <f t="shared" si="4"/>
        <v>FEIL</v>
      </c>
      <c r="N62" s="304"/>
      <c r="R62" t="s">
        <v>733</v>
      </c>
      <c r="S62" s="1582"/>
      <c r="T62" s="307" t="s">
        <v>610</v>
      </c>
      <c r="U62" s="780">
        <v>0</v>
      </c>
      <c r="V62" s="790" t="s">
        <v>333</v>
      </c>
      <c r="W62" s="734"/>
      <c r="AE62">
        <v>55</v>
      </c>
    </row>
    <row r="63" spans="1:31" ht="15.75" thickBot="1" x14ac:dyDescent="0.3">
      <c r="A63" t="s">
        <v>861</v>
      </c>
      <c r="B63" s="174"/>
      <c r="C63" s="50" t="s">
        <v>204</v>
      </c>
      <c r="D63" s="46">
        <f>Poeng!T144</f>
        <v>3</v>
      </c>
      <c r="E63" s="43"/>
      <c r="F63" s="46">
        <f>Poeng!AB144</f>
        <v>3</v>
      </c>
      <c r="H63" s="195">
        <f t="shared" si="3"/>
        <v>0</v>
      </c>
      <c r="I63" s="317" t="str">
        <f t="shared" si="4"/>
        <v>FEIL</v>
      </c>
      <c r="N63" s="305" t="s">
        <v>352</v>
      </c>
      <c r="O63" t="b">
        <f t="shared" si="2"/>
        <v>0</v>
      </c>
      <c r="R63" t="s">
        <v>734</v>
      </c>
      <c r="S63" s="1583"/>
      <c r="T63" s="307" t="s">
        <v>611</v>
      </c>
      <c r="U63" s="780">
        <v>0</v>
      </c>
      <c r="V63" s="790" t="s">
        <v>333</v>
      </c>
      <c r="W63" s="734"/>
      <c r="AE63">
        <v>56</v>
      </c>
    </row>
    <row r="64" spans="1:31" ht="15.75" thickBot="1" x14ac:dyDescent="0.3">
      <c r="D64" s="46">
        <f>Poeng!T148</f>
        <v>3</v>
      </c>
      <c r="E64" s="43"/>
      <c r="F64" s="46">
        <f>Poeng!AB148</f>
        <v>3</v>
      </c>
      <c r="H64">
        <f t="shared" si="3"/>
        <v>0</v>
      </c>
      <c r="I64" s="317" t="str">
        <f t="shared" si="4"/>
        <v>FEIL</v>
      </c>
      <c r="N64" s="307" t="s">
        <v>171</v>
      </c>
      <c r="O64" t="b">
        <f t="shared" si="2"/>
        <v>0</v>
      </c>
      <c r="S64" s="1581" t="s">
        <v>134</v>
      </c>
      <c r="T64" s="762" t="s">
        <v>339</v>
      </c>
      <c r="U64" s="763"/>
      <c r="V64" s="764"/>
      <c r="W64" s="734"/>
      <c r="AE64">
        <v>57</v>
      </c>
    </row>
    <row r="65" spans="1:31" ht="15.75" thickBot="1" x14ac:dyDescent="0.3">
      <c r="B65" s="127"/>
      <c r="C65" s="47" t="s">
        <v>61</v>
      </c>
      <c r="D65" s="50">
        <f>Poeng!T152</f>
        <v>21</v>
      </c>
      <c r="E65" s="50"/>
      <c r="F65" s="50">
        <f>SUM(F59:F64)</f>
        <v>21</v>
      </c>
      <c r="H65" s="122">
        <f t="shared" si="3"/>
        <v>0</v>
      </c>
      <c r="I65" s="317" t="str">
        <f t="shared" si="4"/>
        <v>FEIL</v>
      </c>
      <c r="N65" s="307" t="s">
        <v>172</v>
      </c>
      <c r="O65" t="b">
        <f t="shared" si="2"/>
        <v>0</v>
      </c>
      <c r="R65" t="s">
        <v>735</v>
      </c>
      <c r="S65" s="1582"/>
      <c r="T65" s="307" t="s">
        <v>612</v>
      </c>
      <c r="U65" s="777">
        <v>1</v>
      </c>
      <c r="V65" s="785" t="s">
        <v>328</v>
      </c>
      <c r="W65" s="734"/>
      <c r="AE65">
        <v>58</v>
      </c>
    </row>
    <row r="66" spans="1:31" ht="15.75" thickBot="1" x14ac:dyDescent="0.3">
      <c r="A66" s="121" t="s">
        <v>129</v>
      </c>
      <c r="B66" s="637" t="s">
        <v>129</v>
      </c>
      <c r="C66" s="635" t="s">
        <v>122</v>
      </c>
      <c r="H66" s="131">
        <f t="shared" si="3"/>
        <v>0</v>
      </c>
      <c r="I66" s="317" t="str">
        <f t="shared" si="4"/>
        <v>OK</v>
      </c>
      <c r="N66" s="307" t="s">
        <v>354</v>
      </c>
      <c r="O66" t="b">
        <f t="shared" si="2"/>
        <v>0</v>
      </c>
      <c r="R66" t="s">
        <v>736</v>
      </c>
      <c r="S66" s="1583"/>
      <c r="T66" s="307" t="s">
        <v>613</v>
      </c>
      <c r="U66" s="777">
        <v>1</v>
      </c>
      <c r="V66" s="785" t="s">
        <v>328</v>
      </c>
      <c r="W66" s="734"/>
      <c r="AE66">
        <v>59</v>
      </c>
    </row>
    <row r="67" spans="1:31" ht="15.75" thickBot="1" x14ac:dyDescent="0.3">
      <c r="A67" t="s">
        <v>725</v>
      </c>
      <c r="B67" s="144" t="s">
        <v>673</v>
      </c>
      <c r="C67" s="683" t="s">
        <v>600</v>
      </c>
      <c r="D67" s="47"/>
      <c r="E67" s="47"/>
      <c r="F67" s="47"/>
      <c r="H67" s="148">
        <f t="shared" si="3"/>
        <v>2</v>
      </c>
      <c r="I67" s="317" t="str">
        <f t="shared" si="4"/>
        <v>FEIL</v>
      </c>
      <c r="N67" s="307" t="s">
        <v>356</v>
      </c>
      <c r="O67" t="b">
        <f t="shared" si="2"/>
        <v>0</v>
      </c>
      <c r="S67" s="1581" t="s">
        <v>135</v>
      </c>
      <c r="T67" s="762" t="s">
        <v>340</v>
      </c>
      <c r="U67" s="763"/>
      <c r="V67" s="764"/>
      <c r="W67" s="734"/>
      <c r="AE67">
        <v>60</v>
      </c>
    </row>
    <row r="68" spans="1:31" ht="15" customHeight="1" x14ac:dyDescent="0.25">
      <c r="A68" t="s">
        <v>726</v>
      </c>
      <c r="B68" s="144" t="s">
        <v>676</v>
      </c>
      <c r="C68" s="683" t="s">
        <v>601</v>
      </c>
      <c r="D68" s="46">
        <f>Poeng!T155</f>
        <v>5</v>
      </c>
      <c r="E68" s="45"/>
      <c r="F68" s="46">
        <f>Poeng!AB155</f>
        <v>5</v>
      </c>
      <c r="H68" s="148">
        <f t="shared" si="3"/>
        <v>1</v>
      </c>
      <c r="I68" s="317" t="str">
        <f t="shared" si="4"/>
        <v>FEIL</v>
      </c>
      <c r="N68" s="307" t="s">
        <v>173</v>
      </c>
      <c r="O68" t="b">
        <f t="shared" si="2"/>
        <v>0</v>
      </c>
      <c r="R68" t="s">
        <v>737</v>
      </c>
      <c r="S68" s="1582"/>
      <c r="T68" s="307" t="s">
        <v>614</v>
      </c>
      <c r="U68" s="777">
        <v>0</v>
      </c>
      <c r="V68" s="785" t="s">
        <v>333</v>
      </c>
      <c r="W68" s="734"/>
      <c r="AE68">
        <v>61</v>
      </c>
    </row>
    <row r="69" spans="1:31" x14ac:dyDescent="0.25">
      <c r="A69" t="s">
        <v>727</v>
      </c>
      <c r="B69" s="144" t="s">
        <v>677</v>
      </c>
      <c r="C69" s="683" t="s">
        <v>602</v>
      </c>
      <c r="D69" s="44">
        <f>Poeng!T159</f>
        <v>0</v>
      </c>
      <c r="E69" s="43"/>
      <c r="F69" s="46">
        <f>Poeng!AB159</f>
        <v>0</v>
      </c>
      <c r="H69" s="148">
        <f t="shared" si="3"/>
        <v>4</v>
      </c>
      <c r="I69" s="317" t="str">
        <f t="shared" si="4"/>
        <v>FEIL</v>
      </c>
      <c r="N69" s="304"/>
      <c r="O69" t="b">
        <f t="shared" si="2"/>
        <v>1</v>
      </c>
      <c r="R69" t="s">
        <v>738</v>
      </c>
      <c r="S69" s="1583"/>
      <c r="T69" s="307" t="s">
        <v>615</v>
      </c>
      <c r="U69" s="777">
        <v>0</v>
      </c>
      <c r="V69" s="785" t="s">
        <v>333</v>
      </c>
      <c r="W69" s="734"/>
      <c r="AE69">
        <v>62</v>
      </c>
    </row>
    <row r="70" spans="1:31" x14ac:dyDescent="0.25">
      <c r="A70" t="s">
        <v>728</v>
      </c>
      <c r="B70" s="144" t="s">
        <v>675</v>
      </c>
      <c r="C70" s="683" t="s">
        <v>603</v>
      </c>
      <c r="D70" s="44">
        <f>Poeng!T160</f>
        <v>1</v>
      </c>
      <c r="E70" s="43"/>
      <c r="F70" s="46">
        <f>Poeng!AB160</f>
        <v>1</v>
      </c>
      <c r="H70" s="148">
        <f t="shared" si="3"/>
        <v>1</v>
      </c>
      <c r="I70" s="317" t="str">
        <f t="shared" si="4"/>
        <v>OK</v>
      </c>
      <c r="N70" s="305" t="s">
        <v>358</v>
      </c>
      <c r="O70" t="b">
        <f t="shared" si="2"/>
        <v>0</v>
      </c>
      <c r="R70" t="s">
        <v>739</v>
      </c>
      <c r="S70" s="307" t="s">
        <v>136</v>
      </c>
      <c r="T70" s="738" t="s">
        <v>341</v>
      </c>
      <c r="U70" s="777">
        <v>2</v>
      </c>
      <c r="V70" s="785" t="s">
        <v>328</v>
      </c>
      <c r="W70" s="734"/>
      <c r="AE70">
        <v>63</v>
      </c>
    </row>
    <row r="71" spans="1:31" ht="15.75" thickBot="1" x14ac:dyDescent="0.3">
      <c r="A71" t="s">
        <v>729</v>
      </c>
      <c r="B71" s="144" t="s">
        <v>674</v>
      </c>
      <c r="C71" s="683" t="s">
        <v>604</v>
      </c>
      <c r="D71" s="44">
        <f>Poeng!T164</f>
        <v>1</v>
      </c>
      <c r="E71" s="43"/>
      <c r="F71" s="46">
        <f>Poeng!AB164</f>
        <v>1</v>
      </c>
      <c r="H71" s="148">
        <f t="shared" si="3"/>
        <v>4</v>
      </c>
      <c r="I71" s="317" t="str">
        <f t="shared" si="4"/>
        <v>FEIL</v>
      </c>
      <c r="N71" s="307" t="s">
        <v>174</v>
      </c>
      <c r="O71" t="b">
        <f t="shared" si="2"/>
        <v>0</v>
      </c>
      <c r="S71" s="304"/>
      <c r="T71" s="304"/>
      <c r="U71" s="305"/>
      <c r="V71" s="776"/>
      <c r="W71" s="734"/>
      <c r="AE71">
        <v>64</v>
      </c>
    </row>
    <row r="72" spans="1:31" ht="15.75" thickBot="1" x14ac:dyDescent="0.3">
      <c r="A72" s="121" t="s">
        <v>130</v>
      </c>
      <c r="B72" s="638" t="s">
        <v>130</v>
      </c>
      <c r="C72" s="636" t="s">
        <v>128</v>
      </c>
      <c r="D72" s="50">
        <f>Poeng!T166</f>
        <v>7</v>
      </c>
      <c r="E72" s="50"/>
      <c r="F72" s="50">
        <f>SUM(F68:F71)</f>
        <v>7</v>
      </c>
      <c r="H72" s="719">
        <f t="shared" ref="H72:H135" si="5">SUMIF($R$7:$R$182,A72,$U$7:$U$182)</f>
        <v>0</v>
      </c>
      <c r="I72" s="317" t="str">
        <f t="shared" si="4"/>
        <v>FEIL</v>
      </c>
      <c r="N72" s="307" t="s">
        <v>175</v>
      </c>
      <c r="O72" t="b">
        <f t="shared" si="2"/>
        <v>0</v>
      </c>
      <c r="S72" s="305" t="s">
        <v>342</v>
      </c>
      <c r="T72" s="304"/>
      <c r="U72" s="305"/>
      <c r="V72" s="776"/>
      <c r="W72" s="734"/>
      <c r="AE72">
        <v>65</v>
      </c>
    </row>
    <row r="73" spans="1:31" ht="15.75" thickBot="1" x14ac:dyDescent="0.3">
      <c r="A73" t="s">
        <v>241</v>
      </c>
      <c r="B73" s="144" t="s">
        <v>673</v>
      </c>
      <c r="C73" s="683" t="s">
        <v>605</v>
      </c>
      <c r="H73" s="148">
        <f t="shared" si="5"/>
        <v>1</v>
      </c>
      <c r="I73" s="317" t="str">
        <f t="shared" si="4"/>
        <v>FEIL</v>
      </c>
      <c r="N73" s="307" t="s">
        <v>176</v>
      </c>
      <c r="O73" t="b">
        <f t="shared" ref="O73:O97" si="6">N73=S73</f>
        <v>0</v>
      </c>
      <c r="S73" s="1581" t="s">
        <v>141</v>
      </c>
      <c r="T73" s="762" t="s">
        <v>822</v>
      </c>
      <c r="U73" s="763"/>
      <c r="V73" s="763"/>
      <c r="W73" s="734"/>
      <c r="AE73">
        <v>66</v>
      </c>
    </row>
    <row r="74" spans="1:31" ht="15.75" thickBot="1" x14ac:dyDescent="0.3">
      <c r="A74" t="s">
        <v>336</v>
      </c>
      <c r="B74" s="144" t="s">
        <v>676</v>
      </c>
      <c r="C74" s="683" t="s">
        <v>606</v>
      </c>
      <c r="D74" s="47"/>
      <c r="E74" s="47"/>
      <c r="F74" s="47"/>
      <c r="H74" s="148">
        <f t="shared" si="5"/>
        <v>1</v>
      </c>
      <c r="I74" s="317" t="str">
        <f t="shared" si="4"/>
        <v>FEIL</v>
      </c>
      <c r="N74" s="307" t="s">
        <v>177</v>
      </c>
      <c r="O74" t="b">
        <f t="shared" si="6"/>
        <v>0</v>
      </c>
      <c r="R74" t="s">
        <v>740</v>
      </c>
      <c r="S74" s="1582"/>
      <c r="T74" s="307" t="s">
        <v>617</v>
      </c>
      <c r="U74" s="777">
        <v>2</v>
      </c>
      <c r="V74" s="788" t="s">
        <v>328</v>
      </c>
      <c r="W74" s="734"/>
      <c r="AE74">
        <v>67</v>
      </c>
    </row>
    <row r="75" spans="1:31" x14ac:dyDescent="0.25">
      <c r="A75" t="s">
        <v>730</v>
      </c>
      <c r="B75" s="146" t="s">
        <v>677</v>
      </c>
      <c r="C75" s="683" t="s">
        <v>607</v>
      </c>
      <c r="D75" s="46">
        <f>Poeng!T169</f>
        <v>2</v>
      </c>
      <c r="E75" s="45"/>
      <c r="F75" s="46">
        <f>Poeng!AB169</f>
        <v>2</v>
      </c>
      <c r="H75" s="148">
        <f t="shared" si="5"/>
        <v>1</v>
      </c>
      <c r="I75" s="317" t="str">
        <f t="shared" ref="I75:I107" si="7">IF(F75=H75,"OK","FEIL")</f>
        <v>FEIL</v>
      </c>
      <c r="N75" s="307" t="s">
        <v>178</v>
      </c>
      <c r="O75" t="b">
        <f t="shared" si="6"/>
        <v>0</v>
      </c>
      <c r="R75" t="s">
        <v>741</v>
      </c>
      <c r="S75" s="1583"/>
      <c r="T75" s="307" t="s">
        <v>618</v>
      </c>
      <c r="U75" s="782">
        <v>1</v>
      </c>
      <c r="V75" s="791" t="s">
        <v>328</v>
      </c>
      <c r="W75" s="734"/>
      <c r="AE75">
        <v>68</v>
      </c>
    </row>
    <row r="76" spans="1:31" x14ac:dyDescent="0.25">
      <c r="A76" s="121" t="s">
        <v>131</v>
      </c>
      <c r="B76" s="706" t="s">
        <v>131</v>
      </c>
      <c r="C76" s="636" t="s">
        <v>123</v>
      </c>
      <c r="D76" s="44">
        <f>Poeng!T171</f>
        <v>2</v>
      </c>
      <c r="E76" s="43"/>
      <c r="F76" s="46">
        <f>Poeng!AB171</f>
        <v>2</v>
      </c>
      <c r="H76" s="719">
        <f t="shared" si="5"/>
        <v>0</v>
      </c>
      <c r="I76" s="317" t="str">
        <f t="shared" si="7"/>
        <v>FEIL</v>
      </c>
      <c r="N76" s="307"/>
      <c r="R76" t="s">
        <v>743</v>
      </c>
      <c r="S76" s="307" t="s">
        <v>142</v>
      </c>
      <c r="T76" s="738" t="s">
        <v>823</v>
      </c>
      <c r="U76" s="782">
        <v>10</v>
      </c>
      <c r="V76" s="791" t="s">
        <v>328</v>
      </c>
      <c r="W76" s="734"/>
      <c r="AE76">
        <v>69</v>
      </c>
    </row>
    <row r="77" spans="1:31" x14ac:dyDescent="0.25">
      <c r="A77" t="s">
        <v>731</v>
      </c>
      <c r="B77" s="144" t="s">
        <v>673</v>
      </c>
      <c r="C77" s="683" t="s">
        <v>608</v>
      </c>
      <c r="D77" s="44">
        <f>Poeng!T175</f>
        <v>3</v>
      </c>
      <c r="E77" s="43"/>
      <c r="F77" s="46">
        <f>Poeng!AB175</f>
        <v>3</v>
      </c>
      <c r="H77" s="148">
        <f t="shared" si="5"/>
        <v>1</v>
      </c>
      <c r="I77" s="317"/>
      <c r="N77" s="304"/>
      <c r="O77" t="b">
        <f t="shared" si="6"/>
        <v>1</v>
      </c>
      <c r="S77" s="304"/>
      <c r="T77" s="304"/>
      <c r="U77" s="305"/>
      <c r="V77" s="776"/>
      <c r="W77" s="734"/>
      <c r="AE77">
        <v>70</v>
      </c>
    </row>
    <row r="78" spans="1:31" x14ac:dyDescent="0.25">
      <c r="A78" t="s">
        <v>732</v>
      </c>
      <c r="B78" s="144" t="s">
        <v>676</v>
      </c>
      <c r="C78" s="683" t="s">
        <v>609</v>
      </c>
      <c r="D78" s="44">
        <f>Poeng!T179</f>
        <v>4</v>
      </c>
      <c r="E78" s="43"/>
      <c r="F78" s="46">
        <f>Poeng!AB179</f>
        <v>4</v>
      </c>
      <c r="H78" s="770">
        <f>H77</f>
        <v>1</v>
      </c>
      <c r="I78" s="317" t="str">
        <f t="shared" si="7"/>
        <v>FEIL</v>
      </c>
      <c r="N78" s="305" t="s">
        <v>361</v>
      </c>
      <c r="O78" t="b">
        <f t="shared" si="6"/>
        <v>0</v>
      </c>
      <c r="S78" s="305" t="s">
        <v>345</v>
      </c>
      <c r="T78" s="304"/>
      <c r="U78" s="305"/>
      <c r="V78" s="776"/>
      <c r="W78" s="734"/>
      <c r="AE78">
        <v>71</v>
      </c>
    </row>
    <row r="79" spans="1:31" x14ac:dyDescent="0.25">
      <c r="B79" s="523" t="s">
        <v>132</v>
      </c>
      <c r="C79" s="522"/>
      <c r="D79" s="44">
        <f>Poeng!T183</f>
        <v>2</v>
      </c>
      <c r="E79" s="43"/>
      <c r="F79" s="46">
        <f>Poeng!AB183</f>
        <v>2</v>
      </c>
      <c r="H79" s="712">
        <f t="shared" si="5"/>
        <v>0</v>
      </c>
      <c r="I79" s="317" t="str">
        <f t="shared" si="7"/>
        <v>FEIL</v>
      </c>
      <c r="N79" s="307" t="s">
        <v>362</v>
      </c>
      <c r="O79" t="b">
        <f t="shared" si="6"/>
        <v>0</v>
      </c>
      <c r="R79" t="s">
        <v>744</v>
      </c>
      <c r="S79" s="307" t="s">
        <v>163</v>
      </c>
      <c r="T79" s="738" t="s">
        <v>346</v>
      </c>
      <c r="U79" s="782">
        <v>1</v>
      </c>
      <c r="V79" s="791" t="s">
        <v>328</v>
      </c>
      <c r="W79" s="734"/>
      <c r="AE79">
        <v>72</v>
      </c>
    </row>
    <row r="80" spans="1:31" x14ac:dyDescent="0.25">
      <c r="A80" s="121" t="s">
        <v>133</v>
      </c>
      <c r="B80" s="638" t="s">
        <v>133</v>
      </c>
      <c r="C80" s="636" t="s">
        <v>124</v>
      </c>
      <c r="D80" s="44">
        <f>Poeng!T187</f>
        <v>1</v>
      </c>
      <c r="E80" s="43"/>
      <c r="F80" s="46">
        <f>Poeng!AB187</f>
        <v>1</v>
      </c>
      <c r="H80" s="719">
        <f t="shared" si="5"/>
        <v>0</v>
      </c>
      <c r="I80" s="317" t="str">
        <f t="shared" si="7"/>
        <v>FEIL</v>
      </c>
      <c r="N80" s="307"/>
      <c r="R80" t="s">
        <v>745</v>
      </c>
      <c r="S80" s="307" t="s">
        <v>164</v>
      </c>
      <c r="T80" s="738" t="s">
        <v>347</v>
      </c>
      <c r="U80" s="782">
        <v>1</v>
      </c>
      <c r="V80" s="791" t="s">
        <v>328</v>
      </c>
      <c r="W80" s="734"/>
      <c r="AE80">
        <v>73</v>
      </c>
    </row>
    <row r="81" spans="1:31" x14ac:dyDescent="0.25">
      <c r="A81" t="s">
        <v>733</v>
      </c>
      <c r="B81" s="144" t="s">
        <v>673</v>
      </c>
      <c r="C81" s="683" t="s">
        <v>610</v>
      </c>
      <c r="D81" s="44">
        <f>Poeng!T189</f>
        <v>2</v>
      </c>
      <c r="E81" s="43"/>
      <c r="F81" s="46">
        <f>Poeng!AB189</f>
        <v>2</v>
      </c>
      <c r="H81" s="148">
        <f t="shared" si="5"/>
        <v>0</v>
      </c>
      <c r="I81" s="317" t="str">
        <f t="shared" si="7"/>
        <v>FEIL</v>
      </c>
      <c r="N81" s="307"/>
      <c r="S81" s="307" t="s">
        <v>165</v>
      </c>
      <c r="T81" s="762" t="s">
        <v>348</v>
      </c>
      <c r="U81" s="763"/>
      <c r="V81" s="763"/>
      <c r="W81" s="734"/>
      <c r="AE81">
        <v>74</v>
      </c>
    </row>
    <row r="82" spans="1:31" ht="15.75" thickBot="1" x14ac:dyDescent="0.3">
      <c r="A82" t="s">
        <v>734</v>
      </c>
      <c r="B82" s="144" t="s">
        <v>676</v>
      </c>
      <c r="C82" s="683" t="s">
        <v>611</v>
      </c>
      <c r="D82" s="44">
        <f>Poeng!T192</f>
        <v>3</v>
      </c>
      <c r="E82" s="63"/>
      <c r="F82" s="46">
        <f>Poeng!AB192</f>
        <v>3</v>
      </c>
      <c r="H82" s="148">
        <f t="shared" si="5"/>
        <v>0</v>
      </c>
      <c r="I82" s="317" t="str">
        <f t="shared" si="7"/>
        <v>FEIL</v>
      </c>
      <c r="N82" s="307" t="s">
        <v>364</v>
      </c>
      <c r="O82" t="b">
        <f t="shared" si="6"/>
        <v>0</v>
      </c>
      <c r="R82" t="s">
        <v>746</v>
      </c>
      <c r="S82" s="307"/>
      <c r="T82" s="307" t="s">
        <v>623</v>
      </c>
      <c r="U82" s="782">
        <v>1</v>
      </c>
      <c r="V82" s="791" t="s">
        <v>328</v>
      </c>
      <c r="W82" s="734"/>
      <c r="AE82">
        <v>75</v>
      </c>
    </row>
    <row r="83" spans="1:31" ht="15.75" thickBot="1" x14ac:dyDescent="0.3">
      <c r="A83" s="121" t="s">
        <v>134</v>
      </c>
      <c r="B83" s="638" t="s">
        <v>134</v>
      </c>
      <c r="C83" s="636" t="s">
        <v>125</v>
      </c>
      <c r="D83" s="50">
        <f>Poeng!T197</f>
        <v>19</v>
      </c>
      <c r="E83" s="50"/>
      <c r="F83" s="50">
        <f>SUM(F75:F82)</f>
        <v>19</v>
      </c>
      <c r="H83" s="719">
        <f t="shared" si="5"/>
        <v>0</v>
      </c>
      <c r="I83" s="317" t="str">
        <f t="shared" si="7"/>
        <v>FEIL</v>
      </c>
      <c r="N83" s="307" t="s">
        <v>365</v>
      </c>
      <c r="O83" t="b">
        <f t="shared" si="6"/>
        <v>0</v>
      </c>
      <c r="R83" t="s">
        <v>747</v>
      </c>
      <c r="S83" s="307"/>
      <c r="T83" s="307" t="s">
        <v>624</v>
      </c>
      <c r="U83" s="782">
        <v>1</v>
      </c>
      <c r="V83" s="791" t="s">
        <v>328</v>
      </c>
      <c r="W83" s="734"/>
      <c r="AE83">
        <v>76</v>
      </c>
    </row>
    <row r="84" spans="1:31" ht="15.75" thickBot="1" x14ac:dyDescent="0.3">
      <c r="A84" t="s">
        <v>735</v>
      </c>
      <c r="B84" s="144" t="s">
        <v>673</v>
      </c>
      <c r="C84" s="683" t="s">
        <v>870</v>
      </c>
      <c r="H84" s="148">
        <f t="shared" si="5"/>
        <v>1</v>
      </c>
      <c r="I84" s="317" t="str">
        <f t="shared" si="7"/>
        <v>FEIL</v>
      </c>
      <c r="N84" s="307" t="s">
        <v>366</v>
      </c>
      <c r="O84" t="b">
        <f t="shared" si="6"/>
        <v>0</v>
      </c>
      <c r="R84" t="s">
        <v>748</v>
      </c>
      <c r="S84" s="307"/>
      <c r="T84" s="307" t="s">
        <v>625</v>
      </c>
      <c r="U84" s="782">
        <v>1</v>
      </c>
      <c r="V84" s="791" t="s">
        <v>328</v>
      </c>
      <c r="W84" s="734"/>
      <c r="AE84">
        <v>77</v>
      </c>
    </row>
    <row r="85" spans="1:31" ht="15.75" thickBot="1" x14ac:dyDescent="0.3">
      <c r="A85" t="s">
        <v>736</v>
      </c>
      <c r="B85" s="144" t="s">
        <v>676</v>
      </c>
      <c r="C85" s="749" t="s">
        <v>894</v>
      </c>
      <c r="D85" s="47"/>
      <c r="E85" s="47"/>
      <c r="F85" s="47"/>
      <c r="H85" s="770">
        <f>IF(SUMIF($R$7:$R$182,A85,$U$7:$U$182)=2,1,SUMIF($R$7:$R$182,A85,$U$7:$U$182))</f>
        <v>1</v>
      </c>
      <c r="I85" s="317" t="str">
        <f t="shared" si="7"/>
        <v>FEIL</v>
      </c>
      <c r="J85" t="s">
        <v>919</v>
      </c>
      <c r="N85" s="307" t="s">
        <v>368</v>
      </c>
      <c r="O85" t="b">
        <f t="shared" si="6"/>
        <v>0</v>
      </c>
      <c r="R85" t="s">
        <v>749</v>
      </c>
      <c r="S85" s="307" t="s">
        <v>166</v>
      </c>
      <c r="T85" s="738" t="s">
        <v>349</v>
      </c>
      <c r="U85" s="782">
        <v>1</v>
      </c>
      <c r="V85" s="791" t="s">
        <v>328</v>
      </c>
      <c r="W85" s="734"/>
      <c r="AE85">
        <v>78</v>
      </c>
    </row>
    <row r="86" spans="1:31" x14ac:dyDescent="0.25">
      <c r="A86" t="s">
        <v>896</v>
      </c>
      <c r="B86" s="144" t="s">
        <v>677</v>
      </c>
      <c r="C86" s="749" t="s">
        <v>895</v>
      </c>
      <c r="D86" s="44">
        <f>Poeng!T200</f>
        <v>3</v>
      </c>
      <c r="E86" s="43"/>
      <c r="F86" s="46">
        <f>Poeng!AB200</f>
        <v>3</v>
      </c>
      <c r="H86" s="770">
        <f>IF(SUMIF($R$7:$R$182,A85,$U$7:$U$182)=2,1,0)</f>
        <v>0</v>
      </c>
      <c r="I86" s="317" t="str">
        <f t="shared" si="7"/>
        <v>FEIL</v>
      </c>
      <c r="J86" t="s">
        <v>919</v>
      </c>
      <c r="N86" s="304"/>
      <c r="O86" t="b">
        <f t="shared" si="6"/>
        <v>1</v>
      </c>
      <c r="S86" s="304"/>
      <c r="T86" s="304"/>
      <c r="U86" s="305"/>
      <c r="V86" s="776"/>
      <c r="W86" s="734"/>
      <c r="AE86">
        <v>79</v>
      </c>
    </row>
    <row r="87" spans="1:31" ht="15" customHeight="1" x14ac:dyDescent="0.25">
      <c r="A87" s="121" t="s">
        <v>135</v>
      </c>
      <c r="B87" s="638" t="s">
        <v>135</v>
      </c>
      <c r="C87" s="636" t="s">
        <v>126</v>
      </c>
      <c r="D87" s="44">
        <f>Poeng!T204</f>
        <v>2</v>
      </c>
      <c r="E87" s="43"/>
      <c r="F87" s="46">
        <f>Poeng!AB204</f>
        <v>2</v>
      </c>
      <c r="H87" s="719">
        <f t="shared" si="5"/>
        <v>0</v>
      </c>
      <c r="I87" s="317" t="str">
        <f t="shared" si="7"/>
        <v>FEIL</v>
      </c>
      <c r="N87" s="304"/>
      <c r="O87" t="b">
        <f t="shared" si="6"/>
        <v>0</v>
      </c>
      <c r="S87" s="305" t="s">
        <v>350</v>
      </c>
      <c r="T87" s="304"/>
      <c r="U87" s="305"/>
      <c r="V87" s="776"/>
      <c r="W87" s="734"/>
      <c r="AE87">
        <v>80</v>
      </c>
    </row>
    <row r="88" spans="1:31" x14ac:dyDescent="0.25">
      <c r="A88" t="s">
        <v>737</v>
      </c>
      <c r="B88" s="144" t="s">
        <v>673</v>
      </c>
      <c r="C88" s="683" t="s">
        <v>614</v>
      </c>
      <c r="D88" s="44">
        <f>Poeng!T207</f>
        <v>0</v>
      </c>
      <c r="E88" s="43"/>
      <c r="F88" s="46">
        <f>Poeng!AB207</f>
        <v>0</v>
      </c>
      <c r="H88" s="148">
        <f t="shared" si="5"/>
        <v>0</v>
      </c>
      <c r="I88" s="317" t="str">
        <f t="shared" si="7"/>
        <v>OK</v>
      </c>
      <c r="N88" s="305" t="s">
        <v>370</v>
      </c>
      <c r="O88" t="b">
        <f t="shared" si="6"/>
        <v>0</v>
      </c>
      <c r="S88" s="307" t="s">
        <v>167</v>
      </c>
      <c r="T88" s="762" t="s">
        <v>824</v>
      </c>
      <c r="U88" s="763"/>
      <c r="V88" s="764"/>
      <c r="W88" s="734"/>
      <c r="AE88">
        <v>81</v>
      </c>
    </row>
    <row r="89" spans="1:31" x14ac:dyDescent="0.25">
      <c r="A89" t="s">
        <v>738</v>
      </c>
      <c r="B89" s="144" t="s">
        <v>676</v>
      </c>
      <c r="C89" s="683" t="s">
        <v>615</v>
      </c>
      <c r="D89" s="44">
        <f>Poeng!T208</f>
        <v>1</v>
      </c>
      <c r="E89" s="43"/>
      <c r="F89" s="46">
        <f>Poeng!AB208</f>
        <v>1</v>
      </c>
      <c r="H89" s="148">
        <f t="shared" si="5"/>
        <v>0</v>
      </c>
      <c r="I89" s="317" t="str">
        <f t="shared" si="7"/>
        <v>FEIL</v>
      </c>
      <c r="N89" s="307" t="s">
        <v>91</v>
      </c>
      <c r="O89" t="b">
        <f t="shared" si="6"/>
        <v>0</v>
      </c>
      <c r="R89" t="s">
        <v>751</v>
      </c>
      <c r="S89" s="307"/>
      <c r="T89" s="307" t="s">
        <v>627</v>
      </c>
      <c r="U89" s="777">
        <v>3</v>
      </c>
      <c r="V89" s="785" t="s">
        <v>328</v>
      </c>
      <c r="W89" s="734"/>
      <c r="AE89">
        <v>82</v>
      </c>
    </row>
    <row r="90" spans="1:31" ht="15.75" thickBot="1" x14ac:dyDescent="0.3">
      <c r="A90" s="121" t="s">
        <v>136</v>
      </c>
      <c r="B90" s="638" t="s">
        <v>136</v>
      </c>
      <c r="C90" s="636" t="s">
        <v>127</v>
      </c>
      <c r="D90" s="44">
        <f>Poeng!T211</f>
        <v>1</v>
      </c>
      <c r="E90" s="43"/>
      <c r="F90" s="46">
        <f>Poeng!AB211</f>
        <v>1</v>
      </c>
      <c r="H90" s="719">
        <f t="shared" si="5"/>
        <v>0</v>
      </c>
      <c r="I90" s="317" t="str">
        <f t="shared" si="7"/>
        <v>FEIL</v>
      </c>
      <c r="N90" s="307" t="s">
        <v>112</v>
      </c>
      <c r="O90" t="b">
        <f t="shared" si="6"/>
        <v>0</v>
      </c>
      <c r="R90" t="s">
        <v>752</v>
      </c>
      <c r="S90" s="307"/>
      <c r="T90" s="307" t="s">
        <v>628</v>
      </c>
      <c r="U90" s="777">
        <v>2</v>
      </c>
      <c r="V90" s="785" t="s">
        <v>328</v>
      </c>
      <c r="W90" s="734"/>
      <c r="AE90">
        <v>83</v>
      </c>
    </row>
    <row r="91" spans="1:31" ht="15.75" thickBot="1" x14ac:dyDescent="0.3">
      <c r="A91" t="s">
        <v>739</v>
      </c>
      <c r="B91" s="146" t="s">
        <v>673</v>
      </c>
      <c r="C91" s="683" t="s">
        <v>616</v>
      </c>
      <c r="D91" s="50">
        <f>Poeng!T214</f>
        <v>7</v>
      </c>
      <c r="E91" s="50"/>
      <c r="F91" s="50">
        <f>SUM(F86:F90)</f>
        <v>7</v>
      </c>
      <c r="H91" s="148">
        <f t="shared" si="5"/>
        <v>2</v>
      </c>
      <c r="I91" s="317" t="str">
        <f t="shared" si="7"/>
        <v>FEIL</v>
      </c>
      <c r="N91" s="307" t="s">
        <v>343</v>
      </c>
      <c r="O91" t="b">
        <f t="shared" si="6"/>
        <v>0</v>
      </c>
      <c r="S91" s="307" t="s">
        <v>457</v>
      </c>
      <c r="T91" s="762" t="s">
        <v>825</v>
      </c>
      <c r="U91" s="763"/>
      <c r="V91" s="764"/>
      <c r="W91" s="734"/>
      <c r="AE91">
        <v>84</v>
      </c>
    </row>
    <row r="92" spans="1:31" ht="15.75" thickBot="1" x14ac:dyDescent="0.3">
      <c r="B92" s="523" t="s">
        <v>137</v>
      </c>
      <c r="C92" s="522"/>
      <c r="H92" s="712">
        <f t="shared" si="5"/>
        <v>0</v>
      </c>
      <c r="I92" s="317" t="str">
        <f t="shared" si="7"/>
        <v>OK</v>
      </c>
      <c r="N92" s="307" t="s">
        <v>344</v>
      </c>
      <c r="O92" t="b">
        <f t="shared" si="6"/>
        <v>0</v>
      </c>
      <c r="R92" t="s">
        <v>754</v>
      </c>
      <c r="S92" s="307"/>
      <c r="T92" s="307" t="s">
        <v>630</v>
      </c>
      <c r="U92" s="777">
        <v>1</v>
      </c>
      <c r="V92" s="785" t="s">
        <v>328</v>
      </c>
      <c r="W92" s="734"/>
      <c r="AE92">
        <v>85</v>
      </c>
    </row>
    <row r="93" spans="1:31" ht="15.75" thickBot="1" x14ac:dyDescent="0.3">
      <c r="B93" s="523" t="s">
        <v>138</v>
      </c>
      <c r="C93" s="522"/>
      <c r="D93" s="47"/>
      <c r="E93" s="47"/>
      <c r="F93" s="47"/>
      <c r="H93" s="712">
        <f t="shared" si="5"/>
        <v>0</v>
      </c>
      <c r="I93" s="317" t="str">
        <f t="shared" si="7"/>
        <v>OK</v>
      </c>
      <c r="N93" s="307" t="s">
        <v>163</v>
      </c>
      <c r="O93" t="b">
        <f t="shared" si="6"/>
        <v>0</v>
      </c>
      <c r="R93" t="s">
        <v>755</v>
      </c>
      <c r="S93" s="307"/>
      <c r="T93" s="307" t="s">
        <v>631</v>
      </c>
      <c r="U93" s="777">
        <v>1</v>
      </c>
      <c r="V93" s="785" t="s">
        <v>328</v>
      </c>
      <c r="W93" s="734"/>
      <c r="AE93">
        <v>86</v>
      </c>
    </row>
    <row r="94" spans="1:31" ht="15.75" thickBot="1" x14ac:dyDescent="0.3">
      <c r="A94" t="s">
        <v>862</v>
      </c>
      <c r="B94" s="174"/>
      <c r="C94" s="50" t="s">
        <v>204</v>
      </c>
      <c r="D94" s="46">
        <f>Poeng!T217</f>
        <v>1</v>
      </c>
      <c r="E94" s="45"/>
      <c r="F94" s="46">
        <f>Poeng!AB217</f>
        <v>1</v>
      </c>
      <c r="H94" s="195">
        <f t="shared" si="5"/>
        <v>0</v>
      </c>
      <c r="I94" s="317" t="str">
        <f t="shared" si="7"/>
        <v>FEIL</v>
      </c>
      <c r="N94" s="307" t="s">
        <v>167</v>
      </c>
      <c r="O94" t="b">
        <f t="shared" si="6"/>
        <v>0</v>
      </c>
      <c r="S94" s="307" t="s">
        <v>168</v>
      </c>
      <c r="T94" s="762" t="s">
        <v>826</v>
      </c>
      <c r="U94" s="763"/>
      <c r="V94" s="764"/>
      <c r="W94" s="734"/>
      <c r="AE94">
        <v>87</v>
      </c>
    </row>
    <row r="95" spans="1:31" ht="15.75" thickBot="1" x14ac:dyDescent="0.3">
      <c r="D95" s="44">
        <f>Poeng!T218</f>
        <v>1</v>
      </c>
      <c r="E95" s="43"/>
      <c r="F95" s="46">
        <f>Poeng!AB218</f>
        <v>1</v>
      </c>
      <c r="H95">
        <f t="shared" si="5"/>
        <v>0</v>
      </c>
      <c r="I95" s="317" t="str">
        <f t="shared" si="7"/>
        <v>FEIL</v>
      </c>
      <c r="N95" s="307" t="s">
        <v>168</v>
      </c>
      <c r="O95" t="b">
        <f t="shared" si="6"/>
        <v>0</v>
      </c>
      <c r="R95" t="s">
        <v>757</v>
      </c>
      <c r="S95" s="307"/>
      <c r="T95" s="307" t="s">
        <v>633</v>
      </c>
      <c r="U95" s="777">
        <v>1</v>
      </c>
      <c r="V95" s="785" t="s">
        <v>328</v>
      </c>
      <c r="W95" s="734"/>
      <c r="AE95">
        <v>88</v>
      </c>
    </row>
    <row r="96" spans="1:31" ht="15.75" thickBot="1" x14ac:dyDescent="0.3">
      <c r="B96" s="127"/>
      <c r="C96" s="47" t="s">
        <v>62</v>
      </c>
      <c r="D96" s="44">
        <f>Poeng!T219</f>
        <v>1</v>
      </c>
      <c r="E96" s="43"/>
      <c r="F96" s="46">
        <f>Poeng!AB219</f>
        <v>1</v>
      </c>
      <c r="H96" s="122">
        <f t="shared" si="5"/>
        <v>0</v>
      </c>
      <c r="I96" s="317" t="str">
        <f t="shared" si="7"/>
        <v>FEIL</v>
      </c>
      <c r="N96" s="307" t="s">
        <v>171</v>
      </c>
      <c r="O96" t="b">
        <f t="shared" si="6"/>
        <v>0</v>
      </c>
      <c r="R96" t="s">
        <v>758</v>
      </c>
      <c r="S96" s="307"/>
      <c r="T96" s="307" t="s">
        <v>634</v>
      </c>
      <c r="U96" s="777">
        <v>1</v>
      </c>
      <c r="V96" s="785" t="s">
        <v>328</v>
      </c>
      <c r="W96" s="734"/>
      <c r="AE96">
        <v>89</v>
      </c>
    </row>
    <row r="97" spans="1:31" x14ac:dyDescent="0.25">
      <c r="A97" s="121" t="s">
        <v>141</v>
      </c>
      <c r="B97" s="637" t="s">
        <v>141</v>
      </c>
      <c r="C97" s="635" t="s">
        <v>440</v>
      </c>
      <c r="D97" s="44">
        <f>Poeng!T220</f>
        <v>1</v>
      </c>
      <c r="E97" s="43"/>
      <c r="F97" s="46">
        <f>Poeng!AB220</f>
        <v>1</v>
      </c>
      <c r="H97" s="131">
        <f t="shared" si="5"/>
        <v>0</v>
      </c>
      <c r="I97" s="317" t="str">
        <f t="shared" si="7"/>
        <v>FEIL</v>
      </c>
      <c r="N97" t="s">
        <v>172</v>
      </c>
      <c r="O97" t="b">
        <f t="shared" si="6"/>
        <v>0</v>
      </c>
      <c r="S97" s="307" t="s">
        <v>169</v>
      </c>
      <c r="T97" s="762" t="s">
        <v>351</v>
      </c>
      <c r="U97" s="763"/>
      <c r="V97" s="764"/>
      <c r="W97" s="734"/>
      <c r="AE97">
        <v>90</v>
      </c>
    </row>
    <row r="98" spans="1:31" x14ac:dyDescent="0.25">
      <c r="A98" t="s">
        <v>740</v>
      </c>
      <c r="B98" s="144" t="s">
        <v>673</v>
      </c>
      <c r="C98" s="683" t="s">
        <v>617</v>
      </c>
      <c r="D98" s="44">
        <f>Poeng!T221</f>
        <v>2</v>
      </c>
      <c r="E98" s="43"/>
      <c r="F98" s="46">
        <f>Poeng!AB221</f>
        <v>2</v>
      </c>
      <c r="H98" s="148">
        <f t="shared" si="5"/>
        <v>2</v>
      </c>
      <c r="I98" s="317" t="str">
        <f t="shared" si="7"/>
        <v>OK</v>
      </c>
      <c r="R98" t="s">
        <v>760</v>
      </c>
      <c r="S98" s="737"/>
      <c r="T98" s="307" t="s">
        <v>636</v>
      </c>
      <c r="U98" s="777">
        <v>1</v>
      </c>
      <c r="V98" s="785" t="s">
        <v>328</v>
      </c>
      <c r="W98" s="734"/>
      <c r="AE98">
        <v>91</v>
      </c>
    </row>
    <row r="99" spans="1:31" x14ac:dyDescent="0.25">
      <c r="A99" t="s">
        <v>741</v>
      </c>
      <c r="B99" s="144" t="s">
        <v>676</v>
      </c>
      <c r="C99" s="683" t="s">
        <v>618</v>
      </c>
      <c r="D99" s="44">
        <f>Poeng!T222</f>
        <v>1</v>
      </c>
      <c r="E99" s="43"/>
      <c r="F99" s="46">
        <f>Poeng!AB222</f>
        <v>1</v>
      </c>
      <c r="H99" s="148">
        <f t="shared" si="5"/>
        <v>1</v>
      </c>
      <c r="I99" s="317" t="str">
        <f t="shared" si="7"/>
        <v>OK</v>
      </c>
      <c r="R99" t="s">
        <v>761</v>
      </c>
      <c r="S99" s="737"/>
      <c r="T99" s="307" t="s">
        <v>637</v>
      </c>
      <c r="U99" s="777">
        <v>1</v>
      </c>
      <c r="V99" s="785" t="s">
        <v>328</v>
      </c>
      <c r="W99" s="734"/>
      <c r="AE99">
        <v>92</v>
      </c>
    </row>
    <row r="100" spans="1:31" x14ac:dyDescent="0.25">
      <c r="A100" s="121" t="s">
        <v>142</v>
      </c>
      <c r="B100" s="638" t="s">
        <v>142</v>
      </c>
      <c r="C100" s="636" t="s">
        <v>441</v>
      </c>
      <c r="D100" s="44">
        <f>Poeng!T223</f>
        <v>1</v>
      </c>
      <c r="E100" s="43"/>
      <c r="F100" s="46">
        <f>Poeng!AB223</f>
        <v>1</v>
      </c>
      <c r="H100" s="719">
        <f t="shared" si="5"/>
        <v>0</v>
      </c>
      <c r="I100" s="317" t="str">
        <f t="shared" si="7"/>
        <v>FEIL</v>
      </c>
      <c r="R100" t="s">
        <v>762</v>
      </c>
      <c r="S100" s="737"/>
      <c r="T100" s="307" t="s">
        <v>638</v>
      </c>
      <c r="U100" s="777">
        <v>2</v>
      </c>
      <c r="V100" s="785" t="s">
        <v>328</v>
      </c>
      <c r="W100" s="734"/>
      <c r="AE100">
        <v>93</v>
      </c>
    </row>
    <row r="101" spans="1:31" x14ac:dyDescent="0.25">
      <c r="B101" s="144" t="s">
        <v>673</v>
      </c>
      <c r="C101" s="683" t="s">
        <v>619</v>
      </c>
      <c r="D101" s="44">
        <f>Poeng!T224</f>
        <v>1</v>
      </c>
      <c r="E101" s="43"/>
      <c r="F101" s="46">
        <f>Poeng!AB224</f>
        <v>1</v>
      </c>
      <c r="H101" s="148">
        <f t="shared" si="5"/>
        <v>0</v>
      </c>
      <c r="I101" s="317" t="str">
        <f t="shared" si="7"/>
        <v>FEIL</v>
      </c>
      <c r="S101" s="307" t="s">
        <v>170</v>
      </c>
      <c r="T101" s="762" t="s">
        <v>640</v>
      </c>
      <c r="U101" s="763"/>
      <c r="V101" s="764"/>
      <c r="W101" s="734"/>
      <c r="AE101">
        <v>94</v>
      </c>
    </row>
    <row r="102" spans="1:31" x14ac:dyDescent="0.25">
      <c r="A102" t="s">
        <v>743</v>
      </c>
      <c r="B102" s="144" t="s">
        <v>676</v>
      </c>
      <c r="C102" s="683" t="s">
        <v>620</v>
      </c>
      <c r="D102" s="44">
        <f>Poeng!T225</f>
        <v>1</v>
      </c>
      <c r="E102" s="43"/>
      <c r="F102" s="46">
        <f>D102-E102</f>
        <v>1</v>
      </c>
      <c r="H102" s="148">
        <f t="shared" si="5"/>
        <v>10</v>
      </c>
      <c r="I102" s="317" t="str">
        <f t="shared" si="7"/>
        <v>FEIL</v>
      </c>
      <c r="R102" t="s">
        <v>763</v>
      </c>
      <c r="S102" s="737"/>
      <c r="T102" s="307" t="s">
        <v>639</v>
      </c>
      <c r="U102" s="777">
        <v>1</v>
      </c>
      <c r="V102" s="785" t="s">
        <v>328</v>
      </c>
      <c r="W102" s="734"/>
      <c r="AE102">
        <v>95</v>
      </c>
    </row>
    <row r="103" spans="1:31" x14ac:dyDescent="0.25">
      <c r="B103" s="523" t="s">
        <v>143</v>
      </c>
      <c r="C103" s="522"/>
      <c r="D103" s="44">
        <f>Poeng!T226</f>
        <v>1</v>
      </c>
      <c r="E103" s="43"/>
      <c r="F103" s="46">
        <f t="shared" ref="F103:F106" si="8">D103-E103</f>
        <v>1</v>
      </c>
      <c r="H103" s="712">
        <f t="shared" si="5"/>
        <v>0</v>
      </c>
      <c r="I103" s="317"/>
      <c r="R103" t="s">
        <v>764</v>
      </c>
      <c r="S103" s="737"/>
      <c r="T103" s="307" t="s">
        <v>640</v>
      </c>
      <c r="U103" s="777">
        <v>1</v>
      </c>
      <c r="V103" s="785" t="s">
        <v>328</v>
      </c>
      <c r="W103" s="734"/>
      <c r="AE103">
        <v>96</v>
      </c>
    </row>
    <row r="104" spans="1:31" x14ac:dyDescent="0.25">
      <c r="B104" s="523" t="s">
        <v>144</v>
      </c>
      <c r="C104" s="522"/>
      <c r="D104" s="44">
        <f>Poeng!T227</f>
        <v>1</v>
      </c>
      <c r="E104" s="43"/>
      <c r="F104" s="46">
        <f t="shared" si="8"/>
        <v>1</v>
      </c>
      <c r="H104" s="712">
        <f t="shared" si="5"/>
        <v>0</v>
      </c>
      <c r="I104" s="317"/>
      <c r="R104" t="s">
        <v>765</v>
      </c>
      <c r="S104" s="737"/>
      <c r="T104" s="307" t="s">
        <v>641</v>
      </c>
      <c r="U104" s="777">
        <v>2</v>
      </c>
      <c r="V104" s="785" t="s">
        <v>328</v>
      </c>
      <c r="W104" s="734"/>
      <c r="AE104">
        <v>97</v>
      </c>
    </row>
    <row r="105" spans="1:31" x14ac:dyDescent="0.25">
      <c r="B105" s="523" t="s">
        <v>145</v>
      </c>
      <c r="C105" s="522"/>
      <c r="D105" s="44">
        <f>Poeng!T228</f>
        <v>1</v>
      </c>
      <c r="E105" s="43"/>
      <c r="F105" s="46">
        <f t="shared" si="8"/>
        <v>1</v>
      </c>
      <c r="H105" s="712">
        <f t="shared" si="5"/>
        <v>0</v>
      </c>
      <c r="I105" s="317"/>
      <c r="S105" s="307" t="s">
        <v>458</v>
      </c>
      <c r="T105" s="762" t="s">
        <v>827</v>
      </c>
      <c r="U105" s="763"/>
      <c r="V105" s="764"/>
      <c r="W105" s="734"/>
      <c r="AE105">
        <v>98</v>
      </c>
    </row>
    <row r="106" spans="1:31" ht="15.75" thickBot="1" x14ac:dyDescent="0.3">
      <c r="B106" s="527" t="s">
        <v>297</v>
      </c>
      <c r="C106" s="528"/>
      <c r="D106" s="44">
        <f>Poeng!T229</f>
        <v>1</v>
      </c>
      <c r="E106" s="43"/>
      <c r="F106" s="46">
        <f t="shared" si="8"/>
        <v>1</v>
      </c>
      <c r="H106" s="712">
        <f t="shared" si="5"/>
        <v>0</v>
      </c>
      <c r="I106" s="317"/>
      <c r="R106" t="s">
        <v>766</v>
      </c>
      <c r="S106" s="737"/>
      <c r="T106" s="307" t="s">
        <v>642</v>
      </c>
      <c r="U106" s="777">
        <v>1</v>
      </c>
      <c r="V106" s="785" t="s">
        <v>328</v>
      </c>
      <c r="W106" s="734"/>
      <c r="AE106">
        <v>99</v>
      </c>
    </row>
    <row r="107" spans="1:31" ht="15.75" thickBot="1" x14ac:dyDescent="0.3">
      <c r="A107" t="s">
        <v>863</v>
      </c>
      <c r="B107" s="174"/>
      <c r="C107" s="50" t="s">
        <v>204</v>
      </c>
      <c r="D107" s="50">
        <f>Poeng!T231</f>
        <v>10</v>
      </c>
      <c r="E107" s="50"/>
      <c r="F107" s="50">
        <f>IF(SUM(F94:F106)&gt;10,10,SUM(F94:F106))</f>
        <v>10</v>
      </c>
      <c r="H107" s="195">
        <f t="shared" si="5"/>
        <v>0</v>
      </c>
      <c r="I107" s="317" t="str">
        <f t="shared" si="7"/>
        <v>FEIL</v>
      </c>
      <c r="R107" t="s">
        <v>767</v>
      </c>
      <c r="S107" s="737"/>
      <c r="T107" s="307" t="s">
        <v>643</v>
      </c>
      <c r="U107" s="777">
        <v>1</v>
      </c>
      <c r="V107" s="785" t="s">
        <v>328</v>
      </c>
      <c r="W107" s="734"/>
      <c r="AE107">
        <v>100</v>
      </c>
    </row>
    <row r="108" spans="1:31" ht="15.75" thickBot="1" x14ac:dyDescent="0.3">
      <c r="H108">
        <f t="shared" si="5"/>
        <v>0</v>
      </c>
      <c r="R108" t="s">
        <v>768</v>
      </c>
      <c r="S108" s="737"/>
      <c r="T108" s="307" t="s">
        <v>828</v>
      </c>
      <c r="U108" s="777">
        <v>2</v>
      </c>
      <c r="V108" s="785" t="s">
        <v>328</v>
      </c>
      <c r="W108" s="734"/>
      <c r="AE108">
        <v>101</v>
      </c>
    </row>
    <row r="109" spans="1:31" ht="15.75" thickBot="1" x14ac:dyDescent="0.3">
      <c r="B109" s="127"/>
      <c r="C109" s="47" t="s">
        <v>54</v>
      </c>
      <c r="H109" s="122">
        <f t="shared" si="5"/>
        <v>0</v>
      </c>
      <c r="S109" s="305" t="s">
        <v>352</v>
      </c>
      <c r="T109" s="304"/>
      <c r="U109" s="305"/>
      <c r="V109" s="776"/>
      <c r="W109" s="734"/>
      <c r="AE109">
        <v>102</v>
      </c>
    </row>
    <row r="110" spans="1:31" ht="15" customHeight="1" x14ac:dyDescent="0.25">
      <c r="A110" s="121" t="s">
        <v>163</v>
      </c>
      <c r="B110" s="637" t="s">
        <v>163</v>
      </c>
      <c r="C110" s="635" t="s">
        <v>146</v>
      </c>
      <c r="H110" s="717">
        <f t="shared" si="5"/>
        <v>0</v>
      </c>
      <c r="S110" s="738" t="s">
        <v>171</v>
      </c>
      <c r="T110" s="740" t="s">
        <v>353</v>
      </c>
      <c r="U110" s="739"/>
      <c r="V110" s="792"/>
      <c r="W110" s="734"/>
      <c r="AE110">
        <v>103</v>
      </c>
    </row>
    <row r="111" spans="1:31" ht="15" customHeight="1" x14ac:dyDescent="0.25">
      <c r="A111" t="s">
        <v>744</v>
      </c>
      <c r="B111" s="144" t="s">
        <v>673</v>
      </c>
      <c r="C111" s="683" t="s">
        <v>621</v>
      </c>
      <c r="H111" s="148">
        <f t="shared" si="5"/>
        <v>1</v>
      </c>
      <c r="R111" t="s">
        <v>769</v>
      </c>
      <c r="S111" s="307"/>
      <c r="T111" s="307" t="s">
        <v>645</v>
      </c>
      <c r="U111" s="777">
        <v>1</v>
      </c>
      <c r="V111" s="785" t="s">
        <v>328</v>
      </c>
      <c r="W111" s="734"/>
      <c r="AE111">
        <v>104</v>
      </c>
    </row>
    <row r="112" spans="1:31" ht="15" customHeight="1" x14ac:dyDescent="0.25">
      <c r="A112" s="121" t="s">
        <v>164</v>
      </c>
      <c r="B112" s="638" t="s">
        <v>164</v>
      </c>
      <c r="C112" s="636" t="s">
        <v>147</v>
      </c>
      <c r="H112" s="719">
        <f t="shared" si="5"/>
        <v>0</v>
      </c>
      <c r="R112" t="s">
        <v>770</v>
      </c>
      <c r="S112" s="307"/>
      <c r="T112" s="307" t="s">
        <v>646</v>
      </c>
      <c r="U112" s="777">
        <v>2</v>
      </c>
      <c r="V112" s="785" t="s">
        <v>328</v>
      </c>
      <c r="W112" s="734"/>
      <c r="AE112">
        <v>105</v>
      </c>
    </row>
    <row r="113" spans="1:31" ht="15" customHeight="1" x14ac:dyDescent="0.25">
      <c r="A113" t="s">
        <v>745</v>
      </c>
      <c r="B113" s="146" t="s">
        <v>673</v>
      </c>
      <c r="C113" s="683" t="s">
        <v>622</v>
      </c>
      <c r="H113" s="148">
        <f t="shared" si="5"/>
        <v>1</v>
      </c>
      <c r="R113" t="s">
        <v>771</v>
      </c>
      <c r="S113" s="307"/>
      <c r="T113" s="307" t="s">
        <v>647</v>
      </c>
      <c r="U113" s="777">
        <v>2</v>
      </c>
      <c r="V113" s="785" t="s">
        <v>328</v>
      </c>
      <c r="W113" s="734"/>
      <c r="AE113">
        <v>106</v>
      </c>
    </row>
    <row r="114" spans="1:31" ht="15" customHeight="1" x14ac:dyDescent="0.25">
      <c r="A114" s="121" t="s">
        <v>165</v>
      </c>
      <c r="B114" s="638" t="s">
        <v>165</v>
      </c>
      <c r="C114" s="636" t="s">
        <v>148</v>
      </c>
      <c r="H114" s="719">
        <f t="shared" si="5"/>
        <v>0</v>
      </c>
      <c r="R114" t="s">
        <v>772</v>
      </c>
      <c r="S114" s="738" t="s">
        <v>354</v>
      </c>
      <c r="T114" s="738" t="s">
        <v>355</v>
      </c>
      <c r="U114" s="777">
        <v>1</v>
      </c>
      <c r="V114" s="785" t="s">
        <v>328</v>
      </c>
      <c r="W114" s="734"/>
      <c r="AE114">
        <v>107</v>
      </c>
    </row>
    <row r="115" spans="1:31" ht="15" customHeight="1" x14ac:dyDescent="0.25">
      <c r="A115" t="s">
        <v>746</v>
      </c>
      <c r="B115" s="144" t="s">
        <v>673</v>
      </c>
      <c r="C115" s="683" t="s">
        <v>623</v>
      </c>
      <c r="H115" s="148">
        <f t="shared" si="5"/>
        <v>1</v>
      </c>
      <c r="R115" t="s">
        <v>773</v>
      </c>
      <c r="S115" s="738" t="s">
        <v>356</v>
      </c>
      <c r="T115" s="738" t="s">
        <v>355</v>
      </c>
      <c r="U115" s="777">
        <v>1</v>
      </c>
      <c r="V115" s="785" t="s">
        <v>328</v>
      </c>
      <c r="W115" s="734"/>
      <c r="AE115">
        <v>108</v>
      </c>
    </row>
    <row r="116" spans="1:31" ht="15.75" customHeight="1" x14ac:dyDescent="0.25">
      <c r="A116" t="s">
        <v>747</v>
      </c>
      <c r="B116" s="144" t="s">
        <v>676</v>
      </c>
      <c r="C116" s="683" t="s">
        <v>897</v>
      </c>
      <c r="H116" s="148">
        <f t="shared" si="5"/>
        <v>1</v>
      </c>
      <c r="R116" t="s">
        <v>774</v>
      </c>
      <c r="S116" s="738" t="s">
        <v>173</v>
      </c>
      <c r="T116" s="738" t="s">
        <v>357</v>
      </c>
      <c r="U116" s="777">
        <v>1</v>
      </c>
      <c r="V116" s="785" t="s">
        <v>328</v>
      </c>
      <c r="W116" s="734"/>
      <c r="AE116">
        <v>109</v>
      </c>
    </row>
    <row r="117" spans="1:31" ht="15" customHeight="1" x14ac:dyDescent="0.25">
      <c r="A117" t="s">
        <v>748</v>
      </c>
      <c r="B117" s="146" t="s">
        <v>677</v>
      </c>
      <c r="C117" s="683" t="s">
        <v>625</v>
      </c>
      <c r="H117" s="148">
        <f t="shared" si="5"/>
        <v>1</v>
      </c>
      <c r="S117" s="304"/>
      <c r="T117" s="304"/>
      <c r="U117" s="305"/>
      <c r="V117" s="776"/>
      <c r="W117" s="734"/>
      <c r="AE117">
        <v>110</v>
      </c>
    </row>
    <row r="118" spans="1:31" ht="15" customHeight="1" x14ac:dyDescent="0.25">
      <c r="A118" s="121" t="s">
        <v>166</v>
      </c>
      <c r="B118" s="638" t="s">
        <v>166</v>
      </c>
      <c r="C118" s="636" t="s">
        <v>149</v>
      </c>
      <c r="H118" s="719">
        <f t="shared" si="5"/>
        <v>0</v>
      </c>
      <c r="S118" s="305" t="s">
        <v>358</v>
      </c>
      <c r="T118" s="304"/>
      <c r="U118" s="305"/>
      <c r="V118" s="776"/>
      <c r="W118" s="734"/>
      <c r="AE118">
        <v>111</v>
      </c>
    </row>
    <row r="119" spans="1:31" ht="15" customHeight="1" thickBot="1" x14ac:dyDescent="0.3">
      <c r="A119" t="s">
        <v>749</v>
      </c>
      <c r="B119" s="198" t="s">
        <v>673</v>
      </c>
      <c r="C119" s="683" t="s">
        <v>349</v>
      </c>
      <c r="H119" s="148">
        <f t="shared" si="5"/>
        <v>1</v>
      </c>
      <c r="R119" t="s">
        <v>777</v>
      </c>
      <c r="S119" s="738" t="s">
        <v>174</v>
      </c>
      <c r="T119" s="738" t="s">
        <v>359</v>
      </c>
      <c r="U119" s="777">
        <v>1</v>
      </c>
      <c r="V119" s="785" t="s">
        <v>328</v>
      </c>
      <c r="W119" s="734"/>
      <c r="AE119">
        <v>112</v>
      </c>
    </row>
    <row r="120" spans="1:31" ht="15" customHeight="1" thickBot="1" x14ac:dyDescent="0.3">
      <c r="A120" t="s">
        <v>864</v>
      </c>
      <c r="B120" s="174"/>
      <c r="C120" s="50" t="s">
        <v>204</v>
      </c>
      <c r="H120" s="195">
        <f t="shared" si="5"/>
        <v>0</v>
      </c>
      <c r="S120" s="738" t="s">
        <v>175</v>
      </c>
      <c r="T120" s="762" t="s">
        <v>829</v>
      </c>
      <c r="U120" s="763"/>
      <c r="V120" s="764"/>
      <c r="W120" s="734"/>
      <c r="AE120">
        <v>113</v>
      </c>
    </row>
    <row r="121" spans="1:31" ht="15.75" thickBot="1" x14ac:dyDescent="0.3">
      <c r="H121">
        <f t="shared" si="5"/>
        <v>0</v>
      </c>
      <c r="R121" t="s">
        <v>779</v>
      </c>
      <c r="S121" s="307"/>
      <c r="T121" s="307" t="s">
        <v>653</v>
      </c>
      <c r="U121" s="777">
        <v>1</v>
      </c>
      <c r="V121" s="785" t="s">
        <v>328</v>
      </c>
      <c r="W121" s="734"/>
      <c r="AE121">
        <v>114</v>
      </c>
    </row>
    <row r="122" spans="1:31" ht="15.75" thickBot="1" x14ac:dyDescent="0.3">
      <c r="B122" s="132"/>
      <c r="C122" s="133" t="s">
        <v>63</v>
      </c>
      <c r="H122" s="122">
        <f t="shared" si="5"/>
        <v>0</v>
      </c>
      <c r="R122" t="s">
        <v>780</v>
      </c>
      <c r="S122" s="307"/>
      <c r="T122" s="307" t="s">
        <v>654</v>
      </c>
      <c r="U122" s="777">
        <v>1</v>
      </c>
      <c r="V122" s="785" t="s">
        <v>328</v>
      </c>
      <c r="W122" s="734"/>
      <c r="AE122">
        <v>115</v>
      </c>
    </row>
    <row r="123" spans="1:31" x14ac:dyDescent="0.25">
      <c r="A123" s="121" t="s">
        <v>167</v>
      </c>
      <c r="B123" s="660" t="s">
        <v>167</v>
      </c>
      <c r="C123" s="661" t="s">
        <v>442</v>
      </c>
      <c r="H123" s="717">
        <f t="shared" si="5"/>
        <v>0</v>
      </c>
      <c r="S123" s="738" t="s">
        <v>830</v>
      </c>
      <c r="T123" s="740" t="s">
        <v>831</v>
      </c>
      <c r="U123" s="739"/>
      <c r="V123" s="792"/>
      <c r="W123" s="734"/>
      <c r="AE123">
        <v>116</v>
      </c>
    </row>
    <row r="124" spans="1:31" x14ac:dyDescent="0.25">
      <c r="A124" s="121"/>
      <c r="B124" s="146" t="s">
        <v>673</v>
      </c>
      <c r="C124" s="705" t="s">
        <v>626</v>
      </c>
      <c r="H124" s="148">
        <f t="shared" si="5"/>
        <v>0</v>
      </c>
      <c r="R124" t="s">
        <v>782</v>
      </c>
      <c r="S124" s="307"/>
      <c r="T124" s="307" t="s">
        <v>656</v>
      </c>
      <c r="U124" s="777">
        <v>1</v>
      </c>
      <c r="V124" s="785" t="s">
        <v>328</v>
      </c>
      <c r="W124" s="734"/>
      <c r="AE124">
        <v>117</v>
      </c>
    </row>
    <row r="125" spans="1:31" x14ac:dyDescent="0.25">
      <c r="A125" t="s">
        <v>751</v>
      </c>
      <c r="B125" s="146" t="s">
        <v>676</v>
      </c>
      <c r="C125" s="683" t="s">
        <v>627</v>
      </c>
      <c r="H125" s="148">
        <f t="shared" si="5"/>
        <v>3</v>
      </c>
      <c r="R125" t="s">
        <v>783</v>
      </c>
      <c r="S125" s="307"/>
      <c r="T125" s="307" t="s">
        <v>657</v>
      </c>
      <c r="U125" s="777">
        <v>1</v>
      </c>
      <c r="V125" s="785" t="s">
        <v>328</v>
      </c>
      <c r="W125" s="734"/>
      <c r="AE125">
        <v>118</v>
      </c>
    </row>
    <row r="126" spans="1:31" x14ac:dyDescent="0.25">
      <c r="A126" t="s">
        <v>752</v>
      </c>
      <c r="B126" s="146" t="s">
        <v>677</v>
      </c>
      <c r="C126" s="683" t="s">
        <v>628</v>
      </c>
      <c r="H126" s="148">
        <f t="shared" si="5"/>
        <v>2</v>
      </c>
      <c r="S126" s="738" t="s">
        <v>176</v>
      </c>
      <c r="T126" s="762" t="s">
        <v>832</v>
      </c>
      <c r="U126" s="763"/>
      <c r="V126" s="764"/>
      <c r="W126" s="734"/>
      <c r="AE126">
        <v>119</v>
      </c>
    </row>
    <row r="127" spans="1:31" x14ac:dyDescent="0.25">
      <c r="A127" s="121" t="s">
        <v>457</v>
      </c>
      <c r="B127" s="638" t="s">
        <v>457</v>
      </c>
      <c r="C127" s="636" t="s">
        <v>443</v>
      </c>
      <c r="H127" s="719">
        <f t="shared" si="5"/>
        <v>0</v>
      </c>
      <c r="R127" t="s">
        <v>785</v>
      </c>
      <c r="S127" s="307"/>
      <c r="T127" s="307" t="s">
        <v>659</v>
      </c>
      <c r="U127" s="777">
        <v>1</v>
      </c>
      <c r="V127" s="785" t="s">
        <v>328</v>
      </c>
      <c r="W127" s="734"/>
      <c r="AE127">
        <v>120</v>
      </c>
    </row>
    <row r="128" spans="1:31" x14ac:dyDescent="0.25">
      <c r="A128" s="121"/>
      <c r="B128" s="146" t="s">
        <v>673</v>
      </c>
      <c r="C128" s="705" t="s">
        <v>629</v>
      </c>
      <c r="H128" s="148">
        <f t="shared" si="5"/>
        <v>0</v>
      </c>
      <c r="R128" t="s">
        <v>786</v>
      </c>
      <c r="S128" s="307"/>
      <c r="T128" s="307" t="s">
        <v>660</v>
      </c>
      <c r="U128" s="777">
        <v>3</v>
      </c>
      <c r="V128" s="785" t="s">
        <v>328</v>
      </c>
      <c r="W128" s="734"/>
      <c r="AE128">
        <v>121</v>
      </c>
    </row>
    <row r="129" spans="1:31" x14ac:dyDescent="0.25">
      <c r="A129" t="s">
        <v>754</v>
      </c>
      <c r="B129" s="146" t="s">
        <v>676</v>
      </c>
      <c r="C129" s="683" t="s">
        <v>630</v>
      </c>
      <c r="H129" s="148">
        <f t="shared" si="5"/>
        <v>1</v>
      </c>
      <c r="S129" s="738" t="s">
        <v>177</v>
      </c>
      <c r="T129" s="762" t="s">
        <v>360</v>
      </c>
      <c r="U129" s="763"/>
      <c r="V129" s="764"/>
      <c r="W129" s="734"/>
      <c r="AE129">
        <v>122</v>
      </c>
    </row>
    <row r="130" spans="1:31" x14ac:dyDescent="0.25">
      <c r="A130" t="s">
        <v>755</v>
      </c>
      <c r="B130" s="146" t="s">
        <v>677</v>
      </c>
      <c r="C130" s="683" t="s">
        <v>631</v>
      </c>
      <c r="H130" s="148">
        <f t="shared" si="5"/>
        <v>1</v>
      </c>
      <c r="R130" t="s">
        <v>788</v>
      </c>
      <c r="S130" s="307"/>
      <c r="T130" s="307" t="s">
        <v>662</v>
      </c>
      <c r="U130" s="777">
        <v>1</v>
      </c>
      <c r="V130" s="785" t="s">
        <v>328</v>
      </c>
      <c r="W130" s="734"/>
      <c r="AE130">
        <v>123</v>
      </c>
    </row>
    <row r="131" spans="1:31" x14ac:dyDescent="0.25">
      <c r="A131" s="121" t="s">
        <v>168</v>
      </c>
      <c r="B131" s="638" t="s">
        <v>168</v>
      </c>
      <c r="C131" s="636" t="s">
        <v>444</v>
      </c>
      <c r="H131" s="719">
        <f t="shared" si="5"/>
        <v>0</v>
      </c>
      <c r="R131" t="s">
        <v>789</v>
      </c>
      <c r="S131" s="307"/>
      <c r="T131" s="307" t="s">
        <v>663</v>
      </c>
      <c r="U131" s="777">
        <v>1</v>
      </c>
      <c r="V131" s="785" t="s">
        <v>328</v>
      </c>
      <c r="W131" s="734"/>
      <c r="AE131">
        <v>124</v>
      </c>
    </row>
    <row r="132" spans="1:31" x14ac:dyDescent="0.25">
      <c r="B132" s="146" t="s">
        <v>673</v>
      </c>
      <c r="C132" s="705" t="s">
        <v>632</v>
      </c>
      <c r="H132" s="148">
        <f t="shared" si="5"/>
        <v>0</v>
      </c>
      <c r="R132" t="s">
        <v>790</v>
      </c>
      <c r="S132" s="738" t="s">
        <v>178</v>
      </c>
      <c r="T132" s="738" t="s">
        <v>833</v>
      </c>
      <c r="U132" s="777">
        <v>1</v>
      </c>
      <c r="V132" s="785" t="s">
        <v>328</v>
      </c>
      <c r="W132" s="734"/>
      <c r="AE132">
        <v>125</v>
      </c>
    </row>
    <row r="133" spans="1:31" x14ac:dyDescent="0.25">
      <c r="A133" t="s">
        <v>757</v>
      </c>
      <c r="B133" s="146" t="s">
        <v>676</v>
      </c>
      <c r="C133" s="683" t="s">
        <v>633</v>
      </c>
      <c r="H133" s="148">
        <f t="shared" si="5"/>
        <v>1</v>
      </c>
      <c r="R133" t="s">
        <v>792</v>
      </c>
      <c r="S133" s="739" t="s">
        <v>834</v>
      </c>
      <c r="T133" s="739" t="s">
        <v>835</v>
      </c>
      <c r="U133" s="777">
        <v>2</v>
      </c>
      <c r="V133" s="785" t="s">
        <v>328</v>
      </c>
      <c r="W133" s="734"/>
      <c r="AE133">
        <v>126</v>
      </c>
    </row>
    <row r="134" spans="1:31" x14ac:dyDescent="0.25">
      <c r="A134" t="s">
        <v>758</v>
      </c>
      <c r="B134" s="146" t="s">
        <v>677</v>
      </c>
      <c r="C134" s="683" t="s">
        <v>634</v>
      </c>
      <c r="H134" s="148">
        <f t="shared" si="5"/>
        <v>1</v>
      </c>
      <c r="S134" s="739" t="s">
        <v>836</v>
      </c>
      <c r="T134" s="739" t="s">
        <v>837</v>
      </c>
      <c r="U134" s="739"/>
      <c r="V134" s="792"/>
      <c r="W134" s="734"/>
      <c r="AE134">
        <v>127</v>
      </c>
    </row>
    <row r="135" spans="1:31" x14ac:dyDescent="0.25">
      <c r="A135" s="121" t="s">
        <v>169</v>
      </c>
      <c r="B135" s="638" t="s">
        <v>169</v>
      </c>
      <c r="C135" s="636" t="s">
        <v>445</v>
      </c>
      <c r="H135" s="719">
        <f t="shared" si="5"/>
        <v>0</v>
      </c>
      <c r="R135" t="s">
        <v>794</v>
      </c>
      <c r="S135" s="737"/>
      <c r="T135" s="307" t="s">
        <v>668</v>
      </c>
      <c r="U135" s="777">
        <v>1</v>
      </c>
      <c r="V135" s="785" t="s">
        <v>328</v>
      </c>
      <c r="W135" s="734"/>
      <c r="AE135">
        <v>128</v>
      </c>
    </row>
    <row r="136" spans="1:31" x14ac:dyDescent="0.25">
      <c r="B136" s="146" t="s">
        <v>673</v>
      </c>
      <c r="C136" s="705" t="s">
        <v>635</v>
      </c>
      <c r="H136" s="148">
        <f t="shared" ref="H136:H198" si="9">SUMIF($R$7:$R$182,A136,$U$7:$U$182)</f>
        <v>0</v>
      </c>
      <c r="R136" t="s">
        <v>795</v>
      </c>
      <c r="S136" s="737"/>
      <c r="T136" s="307" t="s">
        <v>669</v>
      </c>
      <c r="U136" s="777">
        <v>1</v>
      </c>
      <c r="V136" s="785" t="s">
        <v>328</v>
      </c>
      <c r="W136" s="734"/>
      <c r="AE136">
        <v>129</v>
      </c>
    </row>
    <row r="137" spans="1:31" x14ac:dyDescent="0.25">
      <c r="A137" t="s">
        <v>760</v>
      </c>
      <c r="B137" s="146" t="s">
        <v>676</v>
      </c>
      <c r="C137" s="683" t="s">
        <v>636</v>
      </c>
      <c r="H137" s="148">
        <f t="shared" si="9"/>
        <v>1</v>
      </c>
      <c r="S137" s="737"/>
      <c r="T137" s="737"/>
      <c r="U137" s="783"/>
      <c r="V137" s="776"/>
      <c r="W137" s="734"/>
      <c r="AE137">
        <v>130</v>
      </c>
    </row>
    <row r="138" spans="1:31" x14ac:dyDescent="0.25">
      <c r="A138" t="s">
        <v>761</v>
      </c>
      <c r="B138" s="146" t="s">
        <v>677</v>
      </c>
      <c r="C138" s="683" t="s">
        <v>637</v>
      </c>
      <c r="H138" s="148">
        <f t="shared" si="9"/>
        <v>1</v>
      </c>
      <c r="S138" s="305" t="s">
        <v>361</v>
      </c>
      <c r="T138" s="304"/>
      <c r="U138" s="305"/>
      <c r="V138" s="776"/>
      <c r="W138" s="734"/>
      <c r="AE138">
        <v>131</v>
      </c>
    </row>
    <row r="139" spans="1:31" x14ac:dyDescent="0.25">
      <c r="A139" t="s">
        <v>762</v>
      </c>
      <c r="B139" s="146" t="s">
        <v>675</v>
      </c>
      <c r="C139" s="749" t="s">
        <v>871</v>
      </c>
      <c r="H139" s="770">
        <f>IF(SUMIF($R$7:$R$182,A139,$U$7:$U$182)=2,1,SUMIF($R$7:$R$182,A139,$U$7:$U$182))</f>
        <v>1</v>
      </c>
      <c r="I139" t="s">
        <v>921</v>
      </c>
      <c r="R139" t="s">
        <v>796</v>
      </c>
      <c r="S139" s="738" t="s">
        <v>362</v>
      </c>
      <c r="T139" s="738" t="s">
        <v>363</v>
      </c>
      <c r="U139" s="777">
        <v>3</v>
      </c>
      <c r="V139" s="785" t="s">
        <v>328</v>
      </c>
      <c r="W139" s="734"/>
      <c r="AE139">
        <v>132</v>
      </c>
    </row>
    <row r="140" spans="1:31" x14ac:dyDescent="0.25">
      <c r="A140" t="s">
        <v>873</v>
      </c>
      <c r="B140" s="146" t="s">
        <v>674</v>
      </c>
      <c r="C140" s="749" t="s">
        <v>872</v>
      </c>
      <c r="H140" s="770">
        <f>IF(SUMIF($R$7:$R$182,A139,$U$7:$U$182)=2,1,0)</f>
        <v>1</v>
      </c>
      <c r="I140" t="s">
        <v>921</v>
      </c>
      <c r="R140" t="s">
        <v>799</v>
      </c>
      <c r="S140" s="738" t="s">
        <v>364</v>
      </c>
      <c r="T140" s="738" t="s">
        <v>838</v>
      </c>
      <c r="U140" s="777">
        <v>2</v>
      </c>
      <c r="V140" s="785" t="s">
        <v>328</v>
      </c>
      <c r="W140" s="734"/>
      <c r="AE140">
        <v>133</v>
      </c>
    </row>
    <row r="141" spans="1:31" x14ac:dyDescent="0.25">
      <c r="A141" s="121" t="s">
        <v>170</v>
      </c>
      <c r="B141" s="638" t="s">
        <v>170</v>
      </c>
      <c r="C141" s="636" t="s">
        <v>446</v>
      </c>
      <c r="H141" s="719">
        <f t="shared" si="9"/>
        <v>0</v>
      </c>
      <c r="R141" t="s">
        <v>801</v>
      </c>
      <c r="S141" s="738" t="s">
        <v>366</v>
      </c>
      <c r="T141" s="738" t="s">
        <v>367</v>
      </c>
      <c r="U141" s="777">
        <v>1</v>
      </c>
      <c r="V141" s="785" t="s">
        <v>328</v>
      </c>
      <c r="W141" s="734"/>
      <c r="AE141">
        <v>134</v>
      </c>
    </row>
    <row r="142" spans="1:31" x14ac:dyDescent="0.25">
      <c r="A142" t="s">
        <v>763</v>
      </c>
      <c r="B142" s="146" t="s">
        <v>673</v>
      </c>
      <c r="C142" s="683" t="s">
        <v>639</v>
      </c>
      <c r="H142" s="148">
        <f t="shared" si="9"/>
        <v>1</v>
      </c>
      <c r="R142" t="s">
        <v>803</v>
      </c>
      <c r="S142" s="738" t="s">
        <v>368</v>
      </c>
      <c r="T142" s="738" t="s">
        <v>369</v>
      </c>
      <c r="U142" s="777">
        <v>1</v>
      </c>
      <c r="V142" s="785" t="s">
        <v>328</v>
      </c>
      <c r="W142" s="734"/>
      <c r="AE142">
        <v>135</v>
      </c>
    </row>
    <row r="143" spans="1:31" x14ac:dyDescent="0.25">
      <c r="A143" t="s">
        <v>764</v>
      </c>
      <c r="B143" s="146" t="s">
        <v>676</v>
      </c>
      <c r="C143" s="683" t="s">
        <v>640</v>
      </c>
      <c r="H143" s="148">
        <f t="shared" si="9"/>
        <v>1</v>
      </c>
      <c r="S143" s="304"/>
      <c r="T143" s="304"/>
      <c r="U143" s="305"/>
      <c r="V143" s="776"/>
      <c r="W143" s="734"/>
      <c r="AE143">
        <v>136</v>
      </c>
    </row>
    <row r="144" spans="1:31" x14ac:dyDescent="0.25">
      <c r="A144" t="s">
        <v>765</v>
      </c>
      <c r="B144" s="146" t="s">
        <v>677</v>
      </c>
      <c r="C144" s="683" t="s">
        <v>641</v>
      </c>
      <c r="H144" s="148">
        <f t="shared" si="9"/>
        <v>2</v>
      </c>
      <c r="S144" s="305" t="s">
        <v>370</v>
      </c>
      <c r="T144" s="304"/>
      <c r="U144" s="305"/>
      <c r="V144" s="776"/>
      <c r="W144" s="734"/>
      <c r="AE144">
        <v>137</v>
      </c>
    </row>
    <row r="145" spans="1:31" x14ac:dyDescent="0.25">
      <c r="A145" s="121" t="s">
        <v>458</v>
      </c>
      <c r="B145" s="638" t="s">
        <v>458</v>
      </c>
      <c r="C145" s="636" t="s">
        <v>447</v>
      </c>
      <c r="H145" s="719">
        <f t="shared" si="9"/>
        <v>0</v>
      </c>
      <c r="R145" t="s">
        <v>184</v>
      </c>
      <c r="S145" s="307" t="s">
        <v>527</v>
      </c>
      <c r="T145" s="307" t="s">
        <v>839</v>
      </c>
      <c r="U145" s="777">
        <v>1</v>
      </c>
      <c r="V145" s="785" t="s">
        <v>328</v>
      </c>
      <c r="W145" s="734"/>
      <c r="AE145">
        <v>138</v>
      </c>
    </row>
    <row r="146" spans="1:31" x14ac:dyDescent="0.25">
      <c r="A146" t="s">
        <v>766</v>
      </c>
      <c r="B146" s="146" t="s">
        <v>673</v>
      </c>
      <c r="C146" s="683" t="s">
        <v>642</v>
      </c>
      <c r="H146" s="148">
        <f t="shared" si="9"/>
        <v>1</v>
      </c>
      <c r="R146" t="s">
        <v>185</v>
      </c>
      <c r="S146" s="307" t="s">
        <v>840</v>
      </c>
      <c r="T146" s="307" t="s">
        <v>841</v>
      </c>
      <c r="U146" s="777">
        <v>1</v>
      </c>
      <c r="V146" s="785" t="s">
        <v>328</v>
      </c>
      <c r="W146" s="734"/>
      <c r="AE146">
        <v>139</v>
      </c>
    </row>
    <row r="147" spans="1:31" x14ac:dyDescent="0.25">
      <c r="A147" t="s">
        <v>767</v>
      </c>
      <c r="B147" s="146" t="s">
        <v>676</v>
      </c>
      <c r="C147" s="683" t="s">
        <v>643</v>
      </c>
      <c r="H147" s="148">
        <f t="shared" si="9"/>
        <v>1</v>
      </c>
      <c r="R147" t="s">
        <v>186</v>
      </c>
      <c r="S147" s="307" t="s">
        <v>840</v>
      </c>
      <c r="T147" s="307" t="s">
        <v>842</v>
      </c>
      <c r="U147" s="777">
        <v>1</v>
      </c>
      <c r="V147" s="785" t="s">
        <v>328</v>
      </c>
      <c r="W147" s="734"/>
      <c r="AE147">
        <v>140</v>
      </c>
    </row>
    <row r="148" spans="1:31" ht="15.75" thickBot="1" x14ac:dyDescent="0.3">
      <c r="A148" t="s">
        <v>768</v>
      </c>
      <c r="B148" s="168" t="s">
        <v>677</v>
      </c>
      <c r="C148" s="708" t="s">
        <v>644</v>
      </c>
      <c r="H148" s="148">
        <f t="shared" si="9"/>
        <v>2</v>
      </c>
      <c r="R148" t="s">
        <v>187</v>
      </c>
      <c r="S148" s="307" t="s">
        <v>521</v>
      </c>
      <c r="T148" s="307" t="s">
        <v>843</v>
      </c>
      <c r="U148" s="777">
        <v>1</v>
      </c>
      <c r="V148" s="785" t="s">
        <v>328</v>
      </c>
      <c r="W148" s="734"/>
      <c r="AE148">
        <v>141</v>
      </c>
    </row>
    <row r="149" spans="1:31" ht="15.75" thickBot="1" x14ac:dyDescent="0.3">
      <c r="A149" t="s">
        <v>865</v>
      </c>
      <c r="B149" s="531"/>
      <c r="C149" s="530" t="s">
        <v>204</v>
      </c>
      <c r="H149" s="195">
        <f t="shared" si="9"/>
        <v>0</v>
      </c>
      <c r="R149" t="s">
        <v>188</v>
      </c>
      <c r="S149" s="307" t="s">
        <v>552</v>
      </c>
      <c r="T149" s="307" t="s">
        <v>844</v>
      </c>
      <c r="U149" s="777">
        <v>1</v>
      </c>
      <c r="V149" s="785" t="s">
        <v>328</v>
      </c>
      <c r="W149" s="734"/>
      <c r="AE149">
        <v>142</v>
      </c>
    </row>
    <row r="150" spans="1:31" ht="15.75" thickBot="1" x14ac:dyDescent="0.3">
      <c r="H150">
        <f t="shared" si="9"/>
        <v>0</v>
      </c>
      <c r="R150" t="s">
        <v>189</v>
      </c>
      <c r="S150" s="307" t="s">
        <v>552</v>
      </c>
      <c r="T150" s="307" t="s">
        <v>845</v>
      </c>
      <c r="U150" s="777">
        <v>1</v>
      </c>
      <c r="V150" s="785" t="s">
        <v>328</v>
      </c>
      <c r="W150" s="734"/>
      <c r="AE150">
        <v>143</v>
      </c>
    </row>
    <row r="151" spans="1:31" ht="15.75" thickBot="1" x14ac:dyDescent="0.3">
      <c r="B151" s="127"/>
      <c r="C151" s="47" t="s">
        <v>64</v>
      </c>
      <c r="H151" s="122">
        <f t="shared" si="9"/>
        <v>0</v>
      </c>
      <c r="R151" t="s">
        <v>190</v>
      </c>
      <c r="S151" s="307" t="s">
        <v>846</v>
      </c>
      <c r="T151" s="307" t="s">
        <v>847</v>
      </c>
      <c r="U151" s="777">
        <v>1</v>
      </c>
      <c r="V151" s="785" t="s">
        <v>328</v>
      </c>
      <c r="W151" s="734"/>
      <c r="AE151">
        <v>144</v>
      </c>
    </row>
    <row r="152" spans="1:31" x14ac:dyDescent="0.25">
      <c r="A152" s="121" t="s">
        <v>171</v>
      </c>
      <c r="B152" s="637" t="s">
        <v>171</v>
      </c>
      <c r="C152" s="635" t="s">
        <v>153</v>
      </c>
      <c r="H152" s="717">
        <f t="shared" si="9"/>
        <v>0</v>
      </c>
      <c r="R152" t="s">
        <v>212</v>
      </c>
      <c r="S152" s="307" t="s">
        <v>4</v>
      </c>
      <c r="T152" s="307" t="s">
        <v>848</v>
      </c>
      <c r="U152" s="777">
        <v>1</v>
      </c>
      <c r="V152" s="785" t="s">
        <v>328</v>
      </c>
      <c r="W152" s="734"/>
      <c r="AE152">
        <v>145</v>
      </c>
    </row>
    <row r="153" spans="1:31" x14ac:dyDescent="0.25">
      <c r="A153" t="s">
        <v>769</v>
      </c>
      <c r="B153" s="144" t="s">
        <v>673</v>
      </c>
      <c r="C153" s="683" t="s">
        <v>645</v>
      </c>
      <c r="H153" s="148">
        <f t="shared" si="9"/>
        <v>1</v>
      </c>
      <c r="R153" t="s">
        <v>242</v>
      </c>
      <c r="S153" s="307" t="s">
        <v>530</v>
      </c>
      <c r="T153" s="307" t="s">
        <v>849</v>
      </c>
      <c r="U153" s="777">
        <v>1</v>
      </c>
      <c r="V153" s="785" t="s">
        <v>328</v>
      </c>
      <c r="W153" s="734"/>
      <c r="AE153">
        <v>146</v>
      </c>
    </row>
    <row r="154" spans="1:31" x14ac:dyDescent="0.25">
      <c r="A154" t="s">
        <v>770</v>
      </c>
      <c r="B154" s="144" t="s">
        <v>676</v>
      </c>
      <c r="C154" s="683" t="s">
        <v>646</v>
      </c>
      <c r="H154" s="148">
        <f t="shared" si="9"/>
        <v>2</v>
      </c>
      <c r="R154" t="s">
        <v>453</v>
      </c>
      <c r="S154" s="304" t="s">
        <v>532</v>
      </c>
      <c r="T154" s="307" t="s">
        <v>850</v>
      </c>
      <c r="U154" s="777">
        <v>1</v>
      </c>
      <c r="V154" s="785" t="s">
        <v>328</v>
      </c>
      <c r="W154" s="734"/>
      <c r="AE154">
        <v>147</v>
      </c>
    </row>
    <row r="155" spans="1:31" x14ac:dyDescent="0.25">
      <c r="A155" t="s">
        <v>771</v>
      </c>
      <c r="B155" s="144" t="s">
        <v>677</v>
      </c>
      <c r="C155" s="683" t="s">
        <v>647</v>
      </c>
      <c r="H155" s="148">
        <f t="shared" si="9"/>
        <v>2</v>
      </c>
      <c r="R155" t="s">
        <v>454</v>
      </c>
      <c r="S155" s="304" t="s">
        <v>851</v>
      </c>
      <c r="T155" s="307" t="s">
        <v>852</v>
      </c>
      <c r="U155" s="777">
        <v>1</v>
      </c>
      <c r="V155" s="785" t="s">
        <v>328</v>
      </c>
      <c r="W155" s="734"/>
      <c r="AE155">
        <v>148</v>
      </c>
    </row>
    <row r="156" spans="1:31" x14ac:dyDescent="0.25">
      <c r="B156" s="523" t="s">
        <v>172</v>
      </c>
      <c r="C156" s="524"/>
      <c r="H156" s="712">
        <f t="shared" si="9"/>
        <v>0</v>
      </c>
      <c r="R156" t="s">
        <v>455</v>
      </c>
      <c r="S156" s="304" t="s">
        <v>853</v>
      </c>
      <c r="T156" s="307" t="s">
        <v>854</v>
      </c>
      <c r="U156" s="777">
        <v>1</v>
      </c>
      <c r="V156" s="785" t="s">
        <v>328</v>
      </c>
      <c r="W156" s="734"/>
      <c r="AE156">
        <v>149</v>
      </c>
    </row>
    <row r="157" spans="1:31" x14ac:dyDescent="0.25">
      <c r="A157" s="121" t="s">
        <v>354</v>
      </c>
      <c r="B157" s="638" t="s">
        <v>354</v>
      </c>
      <c r="C157" s="636" t="s">
        <v>775</v>
      </c>
      <c r="H157" s="148">
        <f t="shared" si="9"/>
        <v>0</v>
      </c>
      <c r="R157" t="s">
        <v>456</v>
      </c>
      <c r="S157" s="304" t="s">
        <v>855</v>
      </c>
      <c r="T157" s="307" t="s">
        <v>856</v>
      </c>
      <c r="U157" s="777">
        <v>1</v>
      </c>
      <c r="V157" s="785" t="s">
        <v>328</v>
      </c>
      <c r="W157" s="734"/>
      <c r="AE157">
        <v>150</v>
      </c>
    </row>
    <row r="158" spans="1:31" x14ac:dyDescent="0.25">
      <c r="A158" t="s">
        <v>772</v>
      </c>
      <c r="B158" s="146" t="s">
        <v>673</v>
      </c>
      <c r="C158" s="683" t="s">
        <v>355</v>
      </c>
      <c r="H158" s="148">
        <f>SUMIF($R$7:$R$182,A158,$U$7:$U$182)</f>
        <v>1</v>
      </c>
      <c r="R158" t="s">
        <v>678</v>
      </c>
      <c r="S158" s="304" t="s">
        <v>836</v>
      </c>
      <c r="T158" s="307" t="s">
        <v>857</v>
      </c>
      <c r="U158" s="777">
        <v>1</v>
      </c>
      <c r="V158" s="785" t="s">
        <v>328</v>
      </c>
      <c r="W158" s="734"/>
      <c r="AE158">
        <v>151</v>
      </c>
    </row>
    <row r="159" spans="1:31" x14ac:dyDescent="0.25">
      <c r="A159" s="121" t="s">
        <v>356</v>
      </c>
      <c r="B159" s="638" t="s">
        <v>356</v>
      </c>
      <c r="C159" s="636" t="s">
        <v>776</v>
      </c>
      <c r="H159" s="719">
        <f t="shared" si="9"/>
        <v>0</v>
      </c>
      <c r="V159" s="776"/>
      <c r="W159" s="734"/>
      <c r="Z159">
        <v>2</v>
      </c>
      <c r="AE159">
        <v>152</v>
      </c>
    </row>
    <row r="160" spans="1:31" x14ac:dyDescent="0.25">
      <c r="A160" t="s">
        <v>773</v>
      </c>
      <c r="B160" s="146" t="s">
        <v>673</v>
      </c>
      <c r="C160" s="683" t="s">
        <v>648</v>
      </c>
      <c r="H160" s="148">
        <f t="shared" si="9"/>
        <v>1</v>
      </c>
      <c r="V160" s="776"/>
      <c r="W160" s="734"/>
      <c r="AE160">
        <v>153</v>
      </c>
    </row>
    <row r="161" spans="1:31" x14ac:dyDescent="0.25">
      <c r="A161" s="121" t="s">
        <v>173</v>
      </c>
      <c r="B161" s="638" t="s">
        <v>173</v>
      </c>
      <c r="C161" s="636" t="s">
        <v>650</v>
      </c>
      <c r="H161" s="719">
        <f t="shared" si="9"/>
        <v>0</v>
      </c>
      <c r="V161" s="776"/>
      <c r="W161" s="734"/>
      <c r="AE161">
        <v>154</v>
      </c>
    </row>
    <row r="162" spans="1:31" ht="15.75" thickBot="1" x14ac:dyDescent="0.3">
      <c r="A162" t="s">
        <v>774</v>
      </c>
      <c r="B162" s="198" t="s">
        <v>673</v>
      </c>
      <c r="C162" s="683" t="s">
        <v>649</v>
      </c>
      <c r="H162" s="148">
        <f t="shared" si="9"/>
        <v>1</v>
      </c>
      <c r="V162" s="776"/>
      <c r="W162" s="734"/>
      <c r="AE162">
        <v>155</v>
      </c>
    </row>
    <row r="163" spans="1:31" ht="15.75" thickBot="1" x14ac:dyDescent="0.3">
      <c r="A163" t="s">
        <v>866</v>
      </c>
      <c r="B163" s="174"/>
      <c r="C163" s="50" t="s">
        <v>204</v>
      </c>
      <c r="H163" s="195">
        <f t="shared" si="9"/>
        <v>0</v>
      </c>
      <c r="V163" s="776"/>
      <c r="W163" s="734"/>
      <c r="AE163">
        <v>156</v>
      </c>
    </row>
    <row r="164" spans="1:31" ht="15.75" thickBot="1" x14ac:dyDescent="0.3">
      <c r="H164">
        <f t="shared" si="9"/>
        <v>0</v>
      </c>
      <c r="V164" s="776"/>
      <c r="W164" s="734"/>
      <c r="AE164">
        <v>157</v>
      </c>
    </row>
    <row r="165" spans="1:31" ht="15.75" thickBot="1" x14ac:dyDescent="0.3">
      <c r="B165" s="132"/>
      <c r="C165" s="133" t="s">
        <v>213</v>
      </c>
      <c r="H165" s="122">
        <f t="shared" si="9"/>
        <v>0</v>
      </c>
      <c r="V165" s="776"/>
      <c r="W165" s="734"/>
    </row>
    <row r="166" spans="1:31" x14ac:dyDescent="0.25">
      <c r="A166" s="121" t="s">
        <v>174</v>
      </c>
      <c r="B166" s="660" t="s">
        <v>174</v>
      </c>
      <c r="C166" s="661" t="s">
        <v>154</v>
      </c>
      <c r="H166" s="717">
        <f t="shared" si="9"/>
        <v>0</v>
      </c>
      <c r="V166" s="776"/>
      <c r="W166" s="734"/>
    </row>
    <row r="167" spans="1:31" x14ac:dyDescent="0.25">
      <c r="A167" t="s">
        <v>777</v>
      </c>
      <c r="B167" s="146" t="s">
        <v>673</v>
      </c>
      <c r="C167" s="683" t="s">
        <v>651</v>
      </c>
      <c r="H167" s="148">
        <f t="shared" si="9"/>
        <v>1</v>
      </c>
      <c r="V167" s="776"/>
      <c r="W167" s="734"/>
    </row>
    <row r="168" spans="1:31" x14ac:dyDescent="0.25">
      <c r="A168" s="121" t="s">
        <v>175</v>
      </c>
      <c r="B168" s="638" t="s">
        <v>175</v>
      </c>
      <c r="C168" s="636" t="s">
        <v>448</v>
      </c>
      <c r="H168" s="719">
        <f t="shared" si="9"/>
        <v>0</v>
      </c>
      <c r="V168" s="776"/>
      <c r="W168" s="734"/>
    </row>
    <row r="169" spans="1:31" x14ac:dyDescent="0.25">
      <c r="B169" s="146" t="s">
        <v>673</v>
      </c>
      <c r="C169" s="705" t="s">
        <v>652</v>
      </c>
      <c r="H169" s="148">
        <f t="shared" si="9"/>
        <v>0</v>
      </c>
      <c r="V169" s="776"/>
      <c r="W169" s="734"/>
    </row>
    <row r="170" spans="1:31" x14ac:dyDescent="0.25">
      <c r="A170" t="s">
        <v>779</v>
      </c>
      <c r="B170" s="146" t="s">
        <v>676</v>
      </c>
      <c r="C170" s="683" t="s">
        <v>653</v>
      </c>
      <c r="H170" s="148">
        <f t="shared" si="9"/>
        <v>1</v>
      </c>
      <c r="V170" s="776"/>
      <c r="W170" s="734"/>
    </row>
    <row r="171" spans="1:31" x14ac:dyDescent="0.25">
      <c r="A171" t="s">
        <v>780</v>
      </c>
      <c r="B171" s="146" t="s">
        <v>677</v>
      </c>
      <c r="C171" s="683" t="s">
        <v>654</v>
      </c>
      <c r="H171" s="148">
        <f t="shared" si="9"/>
        <v>1</v>
      </c>
      <c r="V171" s="776"/>
      <c r="W171" s="734"/>
    </row>
    <row r="172" spans="1:31" x14ac:dyDescent="0.25">
      <c r="A172" s="121" t="s">
        <v>459</v>
      </c>
      <c r="B172" s="638" t="s">
        <v>459</v>
      </c>
      <c r="C172" s="636" t="s">
        <v>449</v>
      </c>
      <c r="H172" s="719">
        <f t="shared" si="9"/>
        <v>0</v>
      </c>
      <c r="V172" s="776"/>
      <c r="W172" s="734"/>
    </row>
    <row r="173" spans="1:31" x14ac:dyDescent="0.25">
      <c r="B173" s="146" t="s">
        <v>673</v>
      </c>
      <c r="C173" s="705" t="s">
        <v>655</v>
      </c>
      <c r="H173" s="148">
        <f t="shared" si="9"/>
        <v>0</v>
      </c>
      <c r="V173" s="776"/>
      <c r="W173" s="734"/>
    </row>
    <row r="174" spans="1:31" x14ac:dyDescent="0.25">
      <c r="A174" t="s">
        <v>782</v>
      </c>
      <c r="B174" s="146" t="s">
        <v>676</v>
      </c>
      <c r="C174" s="683" t="s">
        <v>656</v>
      </c>
      <c r="H174" s="148">
        <f t="shared" si="9"/>
        <v>1</v>
      </c>
      <c r="W174" s="734"/>
    </row>
    <row r="175" spans="1:31" x14ac:dyDescent="0.25">
      <c r="A175" t="s">
        <v>783</v>
      </c>
      <c r="B175" s="146" t="s">
        <v>677</v>
      </c>
      <c r="C175" s="683" t="s">
        <v>657</v>
      </c>
      <c r="H175" s="148">
        <f t="shared" si="9"/>
        <v>1</v>
      </c>
      <c r="W175" s="734"/>
    </row>
    <row r="176" spans="1:31" x14ac:dyDescent="0.25">
      <c r="A176" s="121" t="s">
        <v>176</v>
      </c>
      <c r="B176" s="638" t="s">
        <v>176</v>
      </c>
      <c r="C176" s="636" t="s">
        <v>450</v>
      </c>
      <c r="H176" s="719">
        <f t="shared" si="9"/>
        <v>0</v>
      </c>
      <c r="W176" s="734"/>
    </row>
    <row r="177" spans="1:23" x14ac:dyDescent="0.25">
      <c r="B177" s="146" t="s">
        <v>673</v>
      </c>
      <c r="C177" s="705" t="s">
        <v>658</v>
      </c>
      <c r="H177" s="148">
        <f t="shared" si="9"/>
        <v>0</v>
      </c>
      <c r="W177" s="734"/>
    </row>
    <row r="178" spans="1:23" x14ac:dyDescent="0.25">
      <c r="A178" t="s">
        <v>785</v>
      </c>
      <c r="B178" s="146" t="s">
        <v>676</v>
      </c>
      <c r="C178" s="683" t="s">
        <v>659</v>
      </c>
      <c r="H178" s="148">
        <f t="shared" si="9"/>
        <v>1</v>
      </c>
      <c r="W178" s="734"/>
    </row>
    <row r="179" spans="1:23" x14ac:dyDescent="0.25">
      <c r="A179" t="s">
        <v>786</v>
      </c>
      <c r="B179" s="146" t="s">
        <v>677</v>
      </c>
      <c r="C179" s="683" t="s">
        <v>660</v>
      </c>
      <c r="H179" s="148">
        <f t="shared" si="9"/>
        <v>3</v>
      </c>
      <c r="W179" s="734"/>
    </row>
    <row r="180" spans="1:23" x14ac:dyDescent="0.25">
      <c r="A180" s="121" t="s">
        <v>177</v>
      </c>
      <c r="B180" s="638" t="s">
        <v>177</v>
      </c>
      <c r="C180" s="636" t="s">
        <v>451</v>
      </c>
      <c r="H180" s="719">
        <f t="shared" si="9"/>
        <v>0</v>
      </c>
      <c r="W180" s="734"/>
    </row>
    <row r="181" spans="1:23" x14ac:dyDescent="0.25">
      <c r="B181" s="146" t="s">
        <v>673</v>
      </c>
      <c r="C181" s="705" t="s">
        <v>661</v>
      </c>
      <c r="H181" s="148">
        <f t="shared" si="9"/>
        <v>0</v>
      </c>
      <c r="W181" s="734"/>
    </row>
    <row r="182" spans="1:23" x14ac:dyDescent="0.25">
      <c r="A182" t="s">
        <v>788</v>
      </c>
      <c r="B182" s="146" t="s">
        <v>676</v>
      </c>
      <c r="C182" s="683" t="s">
        <v>662</v>
      </c>
      <c r="H182" s="148">
        <f t="shared" si="9"/>
        <v>1</v>
      </c>
      <c r="W182" s="734"/>
    </row>
    <row r="183" spans="1:23" x14ac:dyDescent="0.25">
      <c r="A183" t="s">
        <v>789</v>
      </c>
      <c r="B183" s="146" t="s">
        <v>677</v>
      </c>
      <c r="C183" s="683" t="s">
        <v>663</v>
      </c>
      <c r="H183" s="148">
        <f t="shared" si="9"/>
        <v>1</v>
      </c>
      <c r="W183" s="734"/>
    </row>
    <row r="184" spans="1:23" x14ac:dyDescent="0.25">
      <c r="A184" s="121" t="s">
        <v>178</v>
      </c>
      <c r="B184" s="638" t="s">
        <v>178</v>
      </c>
      <c r="C184" s="636" t="s">
        <v>670</v>
      </c>
      <c r="H184" s="719">
        <f t="shared" si="9"/>
        <v>0</v>
      </c>
      <c r="W184" s="734"/>
    </row>
    <row r="185" spans="1:23" x14ac:dyDescent="0.25">
      <c r="A185" t="s">
        <v>790</v>
      </c>
      <c r="B185" s="146" t="s">
        <v>673</v>
      </c>
      <c r="C185" s="683" t="s">
        <v>664</v>
      </c>
      <c r="H185" s="148">
        <f t="shared" si="9"/>
        <v>1</v>
      </c>
      <c r="W185" s="734"/>
    </row>
    <row r="186" spans="1:23" x14ac:dyDescent="0.25">
      <c r="A186" s="121" t="s">
        <v>460</v>
      </c>
      <c r="B186" s="638" t="s">
        <v>460</v>
      </c>
      <c r="C186" s="636" t="s">
        <v>671</v>
      </c>
      <c r="H186" s="719">
        <f t="shared" si="9"/>
        <v>0</v>
      </c>
      <c r="W186" s="734"/>
    </row>
    <row r="187" spans="1:23" x14ac:dyDescent="0.25">
      <c r="B187" s="146" t="s">
        <v>673</v>
      </c>
      <c r="C187" s="705" t="s">
        <v>665</v>
      </c>
      <c r="H187" s="148">
        <f t="shared" si="9"/>
        <v>0</v>
      </c>
      <c r="W187" s="734"/>
    </row>
    <row r="188" spans="1:23" x14ac:dyDescent="0.25">
      <c r="A188" t="s">
        <v>792</v>
      </c>
      <c r="B188" s="146" t="s">
        <v>676</v>
      </c>
      <c r="C188" s="683" t="s">
        <v>666</v>
      </c>
      <c r="H188" s="148">
        <f t="shared" si="9"/>
        <v>2</v>
      </c>
      <c r="W188" s="734"/>
    </row>
    <row r="189" spans="1:23" x14ac:dyDescent="0.25">
      <c r="A189" s="121" t="s">
        <v>461</v>
      </c>
      <c r="B189" s="638" t="s">
        <v>461</v>
      </c>
      <c r="C189" s="636" t="s">
        <v>672</v>
      </c>
      <c r="H189" s="719">
        <f t="shared" si="9"/>
        <v>0</v>
      </c>
      <c r="W189" s="734"/>
    </row>
    <row r="190" spans="1:23" x14ac:dyDescent="0.25">
      <c r="B190" s="146" t="s">
        <v>673</v>
      </c>
      <c r="C190" s="705" t="s">
        <v>667</v>
      </c>
      <c r="H190" s="148">
        <f t="shared" si="9"/>
        <v>0</v>
      </c>
      <c r="W190" s="734"/>
    </row>
    <row r="191" spans="1:23" x14ac:dyDescent="0.25">
      <c r="A191" t="s">
        <v>794</v>
      </c>
      <c r="B191" s="146" t="s">
        <v>676</v>
      </c>
      <c r="C191" s="683" t="s">
        <v>936</v>
      </c>
      <c r="H191" s="148">
        <f t="shared" si="9"/>
        <v>1</v>
      </c>
      <c r="W191" s="734"/>
    </row>
    <row r="192" spans="1:23" x14ac:dyDescent="0.25">
      <c r="A192" t="s">
        <v>795</v>
      </c>
      <c r="B192" s="167" t="s">
        <v>677</v>
      </c>
      <c r="C192" s="683" t="s">
        <v>668</v>
      </c>
      <c r="H192" s="148"/>
      <c r="W192" s="734"/>
    </row>
    <row r="193" spans="1:23" ht="15.75" thickBot="1" x14ac:dyDescent="0.3">
      <c r="A193" t="s">
        <v>937</v>
      </c>
      <c r="B193" s="168" t="s">
        <v>675</v>
      </c>
      <c r="C193" s="683" t="s">
        <v>669</v>
      </c>
      <c r="H193" s="148">
        <f t="shared" si="9"/>
        <v>0</v>
      </c>
      <c r="W193" s="734"/>
    </row>
    <row r="194" spans="1:23" ht="15.75" thickBot="1" x14ac:dyDescent="0.3">
      <c r="A194" t="s">
        <v>867</v>
      </c>
      <c r="B194" s="531"/>
      <c r="C194" s="530" t="s">
        <v>204</v>
      </c>
      <c r="H194" s="195">
        <f t="shared" si="9"/>
        <v>0</v>
      </c>
      <c r="W194" s="734"/>
    </row>
    <row r="195" spans="1:23" ht="15.75" thickBot="1" x14ac:dyDescent="0.3">
      <c r="H195">
        <f t="shared" si="9"/>
        <v>0</v>
      </c>
      <c r="W195" s="734"/>
    </row>
    <row r="196" spans="1:23" ht="15.75" thickBot="1" x14ac:dyDescent="0.3">
      <c r="B196" s="132"/>
      <c r="C196" s="133" t="s">
        <v>66</v>
      </c>
      <c r="H196" s="122">
        <f t="shared" si="9"/>
        <v>0</v>
      </c>
      <c r="W196" s="734"/>
    </row>
    <row r="197" spans="1:23" x14ac:dyDescent="0.25">
      <c r="A197" s="121" t="s">
        <v>179</v>
      </c>
      <c r="B197" s="660" t="s">
        <v>179</v>
      </c>
      <c r="C197" s="661" t="s">
        <v>158</v>
      </c>
      <c r="H197" s="717">
        <f t="shared" si="9"/>
        <v>0</v>
      </c>
      <c r="W197" s="734"/>
    </row>
    <row r="198" spans="1:23" x14ac:dyDescent="0.25">
      <c r="A198" t="s">
        <v>796</v>
      </c>
      <c r="B198" s="146" t="s">
        <v>673</v>
      </c>
      <c r="C198" s="683" t="s">
        <v>877</v>
      </c>
      <c r="H198" s="773">
        <f t="shared" si="9"/>
        <v>3</v>
      </c>
      <c r="I198" t="s">
        <v>922</v>
      </c>
      <c r="W198" s="734"/>
    </row>
    <row r="199" spans="1:23" x14ac:dyDescent="0.25">
      <c r="A199" t="s">
        <v>798</v>
      </c>
      <c r="B199" s="146" t="s">
        <v>677</v>
      </c>
      <c r="C199" s="683" t="s">
        <v>363</v>
      </c>
      <c r="H199" s="773">
        <f>IF(H198=3,2,0)</f>
        <v>2</v>
      </c>
      <c r="I199" t="s">
        <v>922</v>
      </c>
      <c r="W199" s="734"/>
    </row>
    <row r="200" spans="1:23" x14ac:dyDescent="0.25">
      <c r="A200" t="s">
        <v>875</v>
      </c>
      <c r="B200" s="146" t="s">
        <v>675</v>
      </c>
      <c r="C200" s="683" t="s">
        <v>878</v>
      </c>
      <c r="H200" s="773">
        <f>IF(H198=3,1,0)</f>
        <v>1</v>
      </c>
      <c r="I200" t="s">
        <v>922</v>
      </c>
      <c r="W200" s="734"/>
    </row>
    <row r="201" spans="1:23" x14ac:dyDescent="0.25">
      <c r="A201" s="121" t="s">
        <v>180</v>
      </c>
      <c r="B201" s="638" t="s">
        <v>180</v>
      </c>
      <c r="C201" s="636" t="s">
        <v>452</v>
      </c>
      <c r="H201" s="774">
        <f t="shared" ref="H201:H241" si="10">SUMIF($R$7:$R$182,A201,$U$7:$U$182)</f>
        <v>0</v>
      </c>
      <c r="I201" t="s">
        <v>922</v>
      </c>
      <c r="W201" s="734"/>
    </row>
    <row r="202" spans="1:23" x14ac:dyDescent="0.25">
      <c r="A202" t="s">
        <v>799</v>
      </c>
      <c r="B202" s="146" t="s">
        <v>673</v>
      </c>
      <c r="C202" s="683" t="s">
        <v>879</v>
      </c>
      <c r="H202" s="773">
        <f t="shared" si="10"/>
        <v>2</v>
      </c>
      <c r="I202" t="s">
        <v>922</v>
      </c>
      <c r="W202" s="734"/>
    </row>
    <row r="203" spans="1:23" x14ac:dyDescent="0.25">
      <c r="A203" t="s">
        <v>800</v>
      </c>
      <c r="B203" s="146" t="s">
        <v>676</v>
      </c>
      <c r="C203" s="683" t="s">
        <v>880</v>
      </c>
      <c r="H203" s="773">
        <f>H202</f>
        <v>2</v>
      </c>
      <c r="I203" t="s">
        <v>922</v>
      </c>
      <c r="W203" s="734"/>
    </row>
    <row r="204" spans="1:23" x14ac:dyDescent="0.25">
      <c r="B204" s="523" t="s">
        <v>181</v>
      </c>
      <c r="C204" s="522"/>
      <c r="H204" s="775">
        <f t="shared" si="10"/>
        <v>0</v>
      </c>
      <c r="I204" t="s">
        <v>922</v>
      </c>
      <c r="W204" s="734"/>
    </row>
    <row r="205" spans="1:23" x14ac:dyDescent="0.25">
      <c r="A205" s="121" t="s">
        <v>182</v>
      </c>
      <c r="B205" s="638" t="s">
        <v>182</v>
      </c>
      <c r="C205" s="636" t="s">
        <v>159</v>
      </c>
      <c r="H205" s="774">
        <f t="shared" si="10"/>
        <v>0</v>
      </c>
      <c r="I205" t="s">
        <v>922</v>
      </c>
      <c r="W205" s="734"/>
    </row>
    <row r="206" spans="1:23" x14ac:dyDescent="0.25">
      <c r="A206" t="s">
        <v>801</v>
      </c>
      <c r="B206" s="146" t="s">
        <v>673</v>
      </c>
      <c r="C206" s="683" t="s">
        <v>882</v>
      </c>
      <c r="H206" s="773">
        <f t="shared" si="10"/>
        <v>1</v>
      </c>
      <c r="I206" t="s">
        <v>922</v>
      </c>
      <c r="W206" s="734"/>
    </row>
    <row r="207" spans="1:23" x14ac:dyDescent="0.25">
      <c r="A207" t="s">
        <v>802</v>
      </c>
      <c r="B207" s="146" t="s">
        <v>676</v>
      </c>
      <c r="C207" s="683" t="s">
        <v>883</v>
      </c>
      <c r="H207" s="773">
        <f>H206</f>
        <v>1</v>
      </c>
      <c r="I207" t="s">
        <v>922</v>
      </c>
      <c r="W207" s="734"/>
    </row>
    <row r="208" spans="1:23" x14ac:dyDescent="0.25">
      <c r="A208" s="121" t="s">
        <v>183</v>
      </c>
      <c r="B208" s="638" t="s">
        <v>183</v>
      </c>
      <c r="C208" s="636" t="s">
        <v>886</v>
      </c>
      <c r="H208" s="774">
        <f t="shared" si="10"/>
        <v>0</v>
      </c>
      <c r="I208" t="s">
        <v>922</v>
      </c>
      <c r="W208" s="734"/>
    </row>
    <row r="209" spans="1:23" x14ac:dyDescent="0.25">
      <c r="A209" t="s">
        <v>803</v>
      </c>
      <c r="B209" s="146" t="s">
        <v>673</v>
      </c>
      <c r="C209" s="683" t="s">
        <v>884</v>
      </c>
      <c r="H209" s="773">
        <f t="shared" si="10"/>
        <v>1</v>
      </c>
      <c r="I209" t="s">
        <v>922</v>
      </c>
      <c r="W209" s="734"/>
    </row>
    <row r="210" spans="1:23" ht="15.75" thickBot="1" x14ac:dyDescent="0.3">
      <c r="A210" t="s">
        <v>804</v>
      </c>
      <c r="B210" s="168" t="s">
        <v>676</v>
      </c>
      <c r="C210" s="683" t="s">
        <v>885</v>
      </c>
      <c r="H210" s="773">
        <f>H209</f>
        <v>1</v>
      </c>
      <c r="I210" t="s">
        <v>922</v>
      </c>
      <c r="W210" s="734"/>
    </row>
    <row r="211" spans="1:23" ht="15.75" thickBot="1" x14ac:dyDescent="0.3">
      <c r="A211" t="s">
        <v>868</v>
      </c>
      <c r="B211" s="531"/>
      <c r="C211" s="530" t="s">
        <v>204</v>
      </c>
      <c r="H211" s="195">
        <f t="shared" si="10"/>
        <v>0</v>
      </c>
      <c r="W211" s="734"/>
    </row>
    <row r="212" spans="1:23" ht="15.75" thickBot="1" x14ac:dyDescent="0.3">
      <c r="H212">
        <f t="shared" si="10"/>
        <v>0</v>
      </c>
      <c r="W212" s="734"/>
    </row>
    <row r="213" spans="1:23" ht="15.75" thickBot="1" x14ac:dyDescent="0.3">
      <c r="B213" s="132"/>
      <c r="C213" s="133" t="s">
        <v>214</v>
      </c>
      <c r="H213" s="122">
        <f t="shared" si="10"/>
        <v>0</v>
      </c>
      <c r="W213" s="734"/>
    </row>
    <row r="214" spans="1:23" x14ac:dyDescent="0.25">
      <c r="A214" t="s">
        <v>184</v>
      </c>
      <c r="B214" s="189" t="s">
        <v>184</v>
      </c>
      <c r="C214" s="156" t="s">
        <v>902</v>
      </c>
      <c r="H214" s="184">
        <f t="shared" si="10"/>
        <v>1</v>
      </c>
      <c r="W214" s="734"/>
    </row>
    <row r="215" spans="1:23" x14ac:dyDescent="0.25">
      <c r="A215" t="s">
        <v>185</v>
      </c>
      <c r="B215" s="146" t="s">
        <v>185</v>
      </c>
      <c r="C215" s="43" t="s">
        <v>903</v>
      </c>
      <c r="H215" s="148">
        <f t="shared" si="10"/>
        <v>1</v>
      </c>
      <c r="W215" s="734"/>
    </row>
    <row r="216" spans="1:23" x14ac:dyDescent="0.25">
      <c r="A216" t="s">
        <v>186</v>
      </c>
      <c r="B216" s="146" t="s">
        <v>186</v>
      </c>
      <c r="C216" s="43" t="s">
        <v>904</v>
      </c>
      <c r="H216" s="148">
        <f t="shared" si="10"/>
        <v>1</v>
      </c>
      <c r="W216" s="734"/>
    </row>
    <row r="217" spans="1:23" x14ac:dyDescent="0.25">
      <c r="A217" t="s">
        <v>187</v>
      </c>
      <c r="B217" s="146" t="s">
        <v>187</v>
      </c>
      <c r="C217" s="43" t="s">
        <v>905</v>
      </c>
      <c r="H217" s="148">
        <f t="shared" si="10"/>
        <v>1</v>
      </c>
      <c r="W217" s="734"/>
    </row>
    <row r="218" spans="1:23" x14ac:dyDescent="0.25">
      <c r="A218" t="s">
        <v>188</v>
      </c>
      <c r="B218" s="146" t="s">
        <v>188</v>
      </c>
      <c r="C218" s="43" t="s">
        <v>906</v>
      </c>
      <c r="H218" s="148">
        <f t="shared" si="10"/>
        <v>1</v>
      </c>
      <c r="W218" s="734"/>
    </row>
    <row r="219" spans="1:23" x14ac:dyDescent="0.25">
      <c r="A219" t="s">
        <v>189</v>
      </c>
      <c r="B219" s="146" t="s">
        <v>189</v>
      </c>
      <c r="C219" s="43" t="s">
        <v>907</v>
      </c>
      <c r="H219" s="148">
        <f t="shared" si="10"/>
        <v>1</v>
      </c>
    </row>
    <row r="220" spans="1:23" x14ac:dyDescent="0.25">
      <c r="A220" t="s">
        <v>190</v>
      </c>
      <c r="B220" s="146" t="s">
        <v>190</v>
      </c>
      <c r="C220" s="43" t="s">
        <v>908</v>
      </c>
      <c r="H220" s="148">
        <f t="shared" si="10"/>
        <v>1</v>
      </c>
    </row>
    <row r="221" spans="1:23" x14ac:dyDescent="0.25">
      <c r="A221" t="s">
        <v>212</v>
      </c>
      <c r="B221" s="146" t="s">
        <v>212</v>
      </c>
      <c r="C221" s="43" t="s">
        <v>909</v>
      </c>
      <c r="H221" s="148">
        <f t="shared" si="10"/>
        <v>1</v>
      </c>
    </row>
    <row r="222" spans="1:23" x14ac:dyDescent="0.25">
      <c r="A222" t="s">
        <v>242</v>
      </c>
      <c r="B222" s="146" t="s">
        <v>242</v>
      </c>
      <c r="C222" s="43" t="s">
        <v>910</v>
      </c>
      <c r="H222" s="148">
        <f t="shared" si="10"/>
        <v>1</v>
      </c>
    </row>
    <row r="223" spans="1:23" x14ac:dyDescent="0.25">
      <c r="A223" t="s">
        <v>453</v>
      </c>
      <c r="B223" s="191" t="s">
        <v>453</v>
      </c>
      <c r="C223" s="43" t="s">
        <v>911</v>
      </c>
      <c r="H223" s="148">
        <f t="shared" si="10"/>
        <v>1</v>
      </c>
    </row>
    <row r="224" spans="1:23" x14ac:dyDescent="0.25">
      <c r="A224" t="s">
        <v>454</v>
      </c>
      <c r="B224" s="191" t="s">
        <v>454</v>
      </c>
      <c r="C224" s="43" t="s">
        <v>912</v>
      </c>
      <c r="H224" s="148">
        <f t="shared" si="10"/>
        <v>1</v>
      </c>
    </row>
    <row r="225" spans="1:8" x14ac:dyDescent="0.25">
      <c r="A225" t="s">
        <v>455</v>
      </c>
      <c r="B225" s="191" t="s">
        <v>455</v>
      </c>
      <c r="C225" s="43" t="s">
        <v>913</v>
      </c>
      <c r="H225" s="148">
        <f t="shared" si="10"/>
        <v>1</v>
      </c>
    </row>
    <row r="226" spans="1:8" x14ac:dyDescent="0.25">
      <c r="A226" t="s">
        <v>456</v>
      </c>
      <c r="B226" s="191" t="s">
        <v>456</v>
      </c>
      <c r="C226" s="43" t="s">
        <v>914</v>
      </c>
      <c r="H226" s="148">
        <f t="shared" si="10"/>
        <v>1</v>
      </c>
    </row>
    <row r="227" spans="1:8" ht="15.75" thickBot="1" x14ac:dyDescent="0.3">
      <c r="A227" t="s">
        <v>678</v>
      </c>
      <c r="B227" s="536" t="s">
        <v>678</v>
      </c>
      <c r="C227" s="170" t="s">
        <v>915</v>
      </c>
      <c r="H227" s="657">
        <f t="shared" si="10"/>
        <v>1</v>
      </c>
    </row>
    <row r="228" spans="1:8" ht="15.75" thickBot="1" x14ac:dyDescent="0.3">
      <c r="A228" t="s">
        <v>869</v>
      </c>
      <c r="B228" s="531" t="s">
        <v>204</v>
      </c>
      <c r="C228" s="530"/>
      <c r="H228" s="195">
        <f t="shared" si="10"/>
        <v>0</v>
      </c>
    </row>
    <row r="229" spans="1:8" ht="15.75" thickBot="1" x14ac:dyDescent="0.3">
      <c r="H229">
        <f t="shared" si="10"/>
        <v>0</v>
      </c>
    </row>
    <row r="230" spans="1:8" ht="15.75" thickBot="1" x14ac:dyDescent="0.3">
      <c r="B230" s="132"/>
      <c r="C230" s="133" t="s">
        <v>221</v>
      </c>
      <c r="H230" s="122">
        <f t="shared" si="10"/>
        <v>0</v>
      </c>
    </row>
    <row r="231" spans="1:8" x14ac:dyDescent="0.25">
      <c r="A231" t="s">
        <v>713</v>
      </c>
      <c r="B231" s="548" t="s">
        <v>713</v>
      </c>
      <c r="C231" s="726" t="s">
        <v>588</v>
      </c>
      <c r="H231" s="184">
        <f t="shared" si="10"/>
        <v>0</v>
      </c>
    </row>
    <row r="232" spans="1:8" x14ac:dyDescent="0.25">
      <c r="A232" t="s">
        <v>720</v>
      </c>
      <c r="B232" s="191" t="s">
        <v>720</v>
      </c>
      <c r="C232" s="730" t="s">
        <v>595</v>
      </c>
      <c r="H232" s="148">
        <f t="shared" si="10"/>
        <v>0</v>
      </c>
    </row>
    <row r="233" spans="1:8" x14ac:dyDescent="0.25">
      <c r="A233" t="s">
        <v>750</v>
      </c>
      <c r="B233" s="545" t="s">
        <v>750</v>
      </c>
      <c r="C233" s="724" t="s">
        <v>626</v>
      </c>
      <c r="H233" s="148">
        <f t="shared" si="10"/>
        <v>0</v>
      </c>
    </row>
    <row r="234" spans="1:8" x14ac:dyDescent="0.25">
      <c r="A234" t="s">
        <v>753</v>
      </c>
      <c r="B234" s="545" t="s">
        <v>753</v>
      </c>
      <c r="C234" s="725" t="s">
        <v>629</v>
      </c>
      <c r="H234" s="148">
        <f t="shared" si="10"/>
        <v>0</v>
      </c>
    </row>
    <row r="235" spans="1:8" x14ac:dyDescent="0.25">
      <c r="A235" t="s">
        <v>756</v>
      </c>
      <c r="B235" s="545" t="s">
        <v>756</v>
      </c>
      <c r="C235" s="725" t="s">
        <v>632</v>
      </c>
      <c r="H235" s="148">
        <f t="shared" si="10"/>
        <v>0</v>
      </c>
    </row>
    <row r="236" spans="1:8" x14ac:dyDescent="0.25">
      <c r="A236" t="s">
        <v>759</v>
      </c>
      <c r="B236" s="545" t="s">
        <v>759</v>
      </c>
      <c r="C236" s="725" t="s">
        <v>635</v>
      </c>
      <c r="H236" s="148">
        <f t="shared" si="10"/>
        <v>0</v>
      </c>
    </row>
    <row r="237" spans="1:8" x14ac:dyDescent="0.25">
      <c r="A237" t="s">
        <v>778</v>
      </c>
      <c r="B237" s="545" t="s">
        <v>778</v>
      </c>
      <c r="C237" s="725" t="s">
        <v>652</v>
      </c>
      <c r="H237" s="148">
        <f t="shared" si="10"/>
        <v>0</v>
      </c>
    </row>
    <row r="238" spans="1:8" x14ac:dyDescent="0.25">
      <c r="A238" t="s">
        <v>781</v>
      </c>
      <c r="B238" s="545" t="s">
        <v>781</v>
      </c>
      <c r="C238" s="725" t="s">
        <v>655</v>
      </c>
      <c r="H238" s="148">
        <f t="shared" si="10"/>
        <v>0</v>
      </c>
    </row>
    <row r="239" spans="1:8" x14ac:dyDescent="0.25">
      <c r="A239" t="s">
        <v>784</v>
      </c>
      <c r="B239" s="545" t="s">
        <v>784</v>
      </c>
      <c r="C239" s="725" t="s">
        <v>658</v>
      </c>
      <c r="H239" s="148">
        <f t="shared" si="10"/>
        <v>0</v>
      </c>
    </row>
    <row r="240" spans="1:8" x14ac:dyDescent="0.25">
      <c r="A240" t="s">
        <v>787</v>
      </c>
      <c r="B240" s="545" t="s">
        <v>787</v>
      </c>
      <c r="C240" s="725" t="s">
        <v>661</v>
      </c>
      <c r="H240" s="148">
        <f t="shared" si="10"/>
        <v>0</v>
      </c>
    </row>
    <row r="241" spans="1:8" x14ac:dyDescent="0.25">
      <c r="A241" t="s">
        <v>742</v>
      </c>
      <c r="B241" s="545" t="s">
        <v>742</v>
      </c>
      <c r="C241" s="725" t="s">
        <v>619</v>
      </c>
      <c r="H241" s="148">
        <f t="shared" si="10"/>
        <v>0</v>
      </c>
    </row>
    <row r="242" spans="1:8" x14ac:dyDescent="0.25">
      <c r="A242" t="s">
        <v>791</v>
      </c>
      <c r="B242" s="167" t="s">
        <v>791</v>
      </c>
      <c r="C242" s="725" t="s">
        <v>665</v>
      </c>
      <c r="H242" s="148"/>
    </row>
    <row r="243" spans="1:8" x14ac:dyDescent="0.25">
      <c r="A243" t="s">
        <v>793</v>
      </c>
      <c r="B243" s="167" t="s">
        <v>793</v>
      </c>
      <c r="C243" s="725" t="s">
        <v>667</v>
      </c>
      <c r="H243" s="148"/>
    </row>
    <row r="244" spans="1:8" x14ac:dyDescent="0.25">
      <c r="A244" t="s">
        <v>874</v>
      </c>
      <c r="B244" s="167" t="s">
        <v>874</v>
      </c>
      <c r="C244" s="751" t="s">
        <v>876</v>
      </c>
      <c r="H244" s="148"/>
    </row>
    <row r="245" spans="1:8" x14ac:dyDescent="0.25">
      <c r="B245" s="167"/>
      <c r="C245" s="725"/>
      <c r="H245" s="148"/>
    </row>
    <row r="246" spans="1:8" ht="15.75" thickBot="1" x14ac:dyDescent="0.3">
      <c r="B246" s="168"/>
      <c r="C246" s="170"/>
      <c r="H246" s="148"/>
    </row>
  </sheetData>
  <sheetProtection algorithmName="SHA-512" hashValue="g3UxfloLf3zrwkVsRIpaQCxwqHuGWpwUVWhJoKbac4gsc3Z4a0HYekdw8GUIvTTL6GUDF1Q8bD3cqGzcYAc3fw==" saltValue="OczBUBOlhtyC+0uFQYXgFQ==" spinCount="100000" sheet="1" objects="1" scenarios="1"/>
  <protectedRanges>
    <protectedRange sqref="I2" name="Sortering"/>
  </protectedRanges>
  <mergeCells count="16">
    <mergeCell ref="S6:S11"/>
    <mergeCell ref="S73:S75"/>
    <mergeCell ref="S61:S63"/>
    <mergeCell ref="S64:S66"/>
    <mergeCell ref="N5:O5"/>
    <mergeCell ref="S39:S42"/>
    <mergeCell ref="S44:S46"/>
    <mergeCell ref="S50:S55"/>
    <mergeCell ref="S56:S59"/>
    <mergeCell ref="S67:S69"/>
    <mergeCell ref="S35:S38"/>
    <mergeCell ref="S29:S34"/>
    <mergeCell ref="S12:S14"/>
    <mergeCell ref="S15:S19"/>
    <mergeCell ref="S20:S23"/>
    <mergeCell ref="S24:S27"/>
  </mergeCells>
  <phoneticPr fontId="51" type="noConversion"/>
  <conditionalFormatting sqref="I2">
    <cfRule type="expression" dxfId="2153" priority="5">
      <formula>$Z2=2</formula>
    </cfRule>
  </conditionalFormatting>
  <conditionalFormatting sqref="I2">
    <cfRule type="expression" dxfId="2152" priority="165">
      <formula>I2&gt;#REF!</formula>
    </cfRule>
  </conditionalFormatting>
  <conditionalFormatting sqref="I78:I80 I82:I107 I7:I36 I38:I76">
    <cfRule type="expression" dxfId="2151" priority="3">
      <formula>I7="FEIL"</formula>
    </cfRule>
  </conditionalFormatting>
  <conditionalFormatting sqref="I77">
    <cfRule type="expression" dxfId="2150" priority="2">
      <formula>I77="FEIL"</formula>
    </cfRule>
  </conditionalFormatting>
  <conditionalFormatting sqref="I81">
    <cfRule type="expression" dxfId="2149" priority="1">
      <formula>I81="FEIL"</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'Assessment Details'!$O$55:$O$56</xm:f>
          </x14:formula1>
          <xm:sqref>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N306"/>
  <sheetViews>
    <sheetView zoomScaleNormal="100" workbookViewId="0">
      <selection activeCell="D11" sqref="D11:E11"/>
    </sheetView>
  </sheetViews>
  <sheetFormatPr defaultColWidth="9.140625" defaultRowHeight="15" x14ac:dyDescent="0.25"/>
  <cols>
    <col min="1" max="1" width="3" style="323" customWidth="1"/>
    <col min="2" max="2" width="23.28515625" style="323" customWidth="1"/>
    <col min="3" max="3" width="16.140625" style="323" customWidth="1"/>
    <col min="4" max="4" width="9.7109375" style="323" customWidth="1"/>
    <col min="5" max="5" width="11.28515625" style="323" customWidth="1"/>
    <col min="6" max="6" width="12.42578125" style="323" customWidth="1"/>
    <col min="7" max="7" width="22.42578125" style="323" customWidth="1"/>
    <col min="8" max="8" width="11" style="323" customWidth="1"/>
    <col min="9" max="9" width="11.140625" style="323" customWidth="1"/>
    <col min="10" max="10" width="14.140625" style="323" customWidth="1"/>
    <col min="11" max="11" width="16.5703125" style="323" customWidth="1"/>
    <col min="12" max="12" width="13.28515625" style="323" customWidth="1"/>
    <col min="13" max="13" width="13" style="323" customWidth="1"/>
    <col min="14" max="14" width="19.7109375" style="323" customWidth="1"/>
    <col min="15" max="15" width="13.140625" style="323" customWidth="1"/>
    <col min="16" max="16" width="14" style="323" customWidth="1"/>
    <col min="17" max="17" width="16.5703125" style="323" customWidth="1"/>
    <col min="18" max="19" width="9.140625" style="323" customWidth="1"/>
    <col min="20" max="40" width="9.140625" style="323" hidden="1" customWidth="1"/>
    <col min="41" max="42" width="9.140625" style="323" customWidth="1"/>
    <col min="43" max="16384" width="9.140625" style="323"/>
  </cols>
  <sheetData>
    <row r="1" spans="1:40" x14ac:dyDescent="0.25">
      <c r="A1" s="322"/>
      <c r="B1" s="322"/>
      <c r="C1" s="322"/>
      <c r="D1" s="322"/>
      <c r="E1" s="322"/>
      <c r="F1" s="322"/>
      <c r="G1" s="322"/>
      <c r="H1" s="322"/>
      <c r="I1" s="322"/>
      <c r="J1" s="322"/>
      <c r="K1" s="322"/>
      <c r="L1" s="322"/>
      <c r="M1" s="322"/>
      <c r="N1" s="322"/>
      <c r="O1" s="322"/>
      <c r="P1" s="322"/>
      <c r="Q1" s="322"/>
      <c r="R1" s="322"/>
      <c r="S1" s="322"/>
    </row>
    <row r="2" spans="1:40" ht="42" customHeight="1" x14ac:dyDescent="0.25">
      <c r="A2" s="322"/>
      <c r="B2" s="543" t="s">
        <v>1924</v>
      </c>
      <c r="C2" s="324"/>
      <c r="D2" s="324"/>
      <c r="E2" s="324"/>
      <c r="F2" s="324"/>
      <c r="G2" s="324"/>
      <c r="H2" s="325"/>
      <c r="I2" s="325"/>
      <c r="J2" s="325"/>
      <c r="K2" s="325"/>
      <c r="L2" s="326"/>
      <c r="M2" s="325"/>
      <c r="N2" s="474" t="str">
        <f>IF('Manuell filtrering og justering'!I2='Manuell filtrering og justering'!J2,"Bespoke","")</f>
        <v/>
      </c>
      <c r="O2" s="474" t="str">
        <f>IF('Manuell filtrering og justering'!J2='Manuell filtrering og justering'!K2,"Bespoke","")</f>
        <v/>
      </c>
      <c r="P2" s="322"/>
      <c r="Q2" s="322"/>
      <c r="R2" s="322"/>
      <c r="S2" s="322"/>
    </row>
    <row r="3" spans="1:40" ht="15" customHeight="1" x14ac:dyDescent="0.25">
      <c r="A3" s="322"/>
      <c r="B3" s="327"/>
      <c r="C3" s="322"/>
      <c r="D3" s="322"/>
      <c r="E3" s="322"/>
      <c r="F3" s="322"/>
      <c r="G3" s="322"/>
      <c r="H3" s="322"/>
      <c r="I3" s="322"/>
      <c r="J3" s="322"/>
      <c r="K3" s="322"/>
      <c r="L3" s="322"/>
      <c r="M3" s="322"/>
      <c r="N3" s="328"/>
      <c r="O3" s="322"/>
      <c r="P3" s="322"/>
      <c r="Q3" s="322"/>
      <c r="R3" s="322"/>
      <c r="S3" s="322"/>
    </row>
    <row r="4" spans="1:40" ht="18.75" x14ac:dyDescent="0.3">
      <c r="A4" s="322"/>
      <c r="B4" s="329" t="s">
        <v>55</v>
      </c>
      <c r="C4" s="330"/>
      <c r="D4" s="331"/>
      <c r="E4" s="331"/>
      <c r="F4" s="331"/>
      <c r="G4" s="331"/>
      <c r="H4" s="331"/>
      <c r="I4" s="331"/>
      <c r="J4" s="331"/>
      <c r="K4" s="331"/>
      <c r="L4" s="331"/>
      <c r="M4" s="331"/>
      <c r="N4" s="331"/>
      <c r="O4" s="331"/>
      <c r="P4" s="322"/>
      <c r="Q4" s="322"/>
      <c r="R4" s="322"/>
      <c r="S4" s="322"/>
    </row>
    <row r="5" spans="1:40" x14ac:dyDescent="0.25">
      <c r="A5" s="322"/>
      <c r="B5" s="322"/>
      <c r="C5" s="322"/>
      <c r="D5" s="322"/>
      <c r="E5" s="322"/>
      <c r="F5" s="322"/>
      <c r="G5" s="322"/>
      <c r="H5" s="322"/>
      <c r="I5" s="322"/>
      <c r="J5" s="322"/>
      <c r="K5" s="322"/>
      <c r="L5" s="322"/>
      <c r="M5" s="322"/>
      <c r="N5" s="322"/>
      <c r="O5" s="322"/>
      <c r="P5" s="322"/>
      <c r="Q5" s="322"/>
      <c r="R5" s="322"/>
      <c r="S5" s="322"/>
    </row>
    <row r="6" spans="1:40" ht="15.75" x14ac:dyDescent="0.25">
      <c r="A6" s="322"/>
      <c r="B6" s="332"/>
      <c r="C6" s="333" t="s">
        <v>19</v>
      </c>
      <c r="D6" s="334" t="str">
        <f>IF(ADBN="","",ADBN)</f>
        <v/>
      </c>
      <c r="E6" s="335"/>
      <c r="F6" s="335"/>
      <c r="G6" s="335"/>
      <c r="H6" s="335"/>
      <c r="I6" s="336"/>
      <c r="K6" s="337"/>
      <c r="L6" s="338"/>
      <c r="M6" s="337" t="str">
        <f>"Assessor’s report tool, Version: "&amp;TVC_current_version&amp;". Date: "</f>
        <v xml:space="preserve">Assessor’s report tool, Version: 1.2. Date: </v>
      </c>
      <c r="N6" s="339">
        <f>TVC_current_date</f>
        <v>45327</v>
      </c>
      <c r="O6" s="322"/>
      <c r="P6" s="322"/>
      <c r="Q6" s="322"/>
      <c r="R6" s="322"/>
      <c r="S6" s="322"/>
    </row>
    <row r="7" spans="1:40" x14ac:dyDescent="0.25">
      <c r="A7" s="322"/>
      <c r="L7" s="322"/>
      <c r="M7" s="322"/>
      <c r="N7" s="322"/>
      <c r="O7" s="322"/>
      <c r="P7" s="322"/>
      <c r="Q7" s="322"/>
      <c r="R7" s="322"/>
      <c r="S7" s="322"/>
    </row>
    <row r="8" spans="1:40" ht="15.75" x14ac:dyDescent="0.25">
      <c r="A8" s="322"/>
      <c r="B8" s="345"/>
      <c r="C8" s="346" t="s">
        <v>296</v>
      </c>
      <c r="D8" s="1597" t="str">
        <f>BP_BREEAMRating</f>
        <v>Unclassified</v>
      </c>
      <c r="E8" s="1598"/>
      <c r="F8" s="342"/>
      <c r="G8" s="342"/>
      <c r="H8" s="342"/>
      <c r="I8" s="342"/>
      <c r="K8" s="323" t="str">
        <f>IF(OR(Poeng!BF265=1,Poeng!BI265=1,Poeng!BL265=1),Poeng!AX270,"")</f>
        <v/>
      </c>
      <c r="Z8" s="1596"/>
      <c r="AA8" s="1596"/>
      <c r="AB8" s="1596"/>
      <c r="AC8" s="1596"/>
      <c r="AD8" s="1596"/>
      <c r="AE8" s="1596"/>
      <c r="AF8" s="1596"/>
      <c r="AG8" s="1596"/>
      <c r="AH8" s="1596"/>
      <c r="AI8" s="1596"/>
      <c r="AJ8" s="1596"/>
      <c r="AK8" s="1596"/>
      <c r="AL8" s="1596"/>
      <c r="AM8" s="1596"/>
      <c r="AN8" s="1596"/>
    </row>
    <row r="9" spans="1:40" ht="18" customHeight="1" x14ac:dyDescent="0.25">
      <c r="A9" s="322"/>
      <c r="B9" s="347"/>
      <c r="C9" s="348" t="s">
        <v>80</v>
      </c>
      <c r="D9" s="1599">
        <f>Score_Initial</f>
        <v>0</v>
      </c>
      <c r="E9" s="1600"/>
      <c r="F9" s="1351"/>
      <c r="G9" s="1351"/>
      <c r="H9" s="1351"/>
      <c r="I9" s="1351"/>
      <c r="Z9" s="1596"/>
      <c r="AA9" s="1596"/>
      <c r="AB9" s="1596"/>
      <c r="AC9" s="1596"/>
      <c r="AD9" s="1596"/>
      <c r="AE9" s="1596"/>
      <c r="AF9" s="1596"/>
      <c r="AG9" s="1596"/>
      <c r="AH9" s="1596"/>
      <c r="AI9" s="1596"/>
      <c r="AJ9" s="1596"/>
      <c r="AK9" s="1596"/>
      <c r="AL9" s="1596"/>
      <c r="AM9" s="1596"/>
      <c r="AN9" s="1596"/>
    </row>
    <row r="10" spans="1:40" ht="18" customHeight="1" x14ac:dyDescent="0.25">
      <c r="A10" s="322"/>
      <c r="B10" s="852"/>
      <c r="C10" s="853" t="s">
        <v>75</v>
      </c>
      <c r="D10" s="1599" t="str">
        <f>Poeng!BE259</f>
        <v>Unclassified &lt;30%</v>
      </c>
      <c r="E10" s="1600"/>
      <c r="F10" s="1351"/>
      <c r="G10" s="1351"/>
      <c r="H10" s="1351"/>
      <c r="I10" s="1351"/>
      <c r="Z10" s="1596"/>
      <c r="AA10" s="1596"/>
      <c r="AB10" s="1596"/>
      <c r="AC10" s="1596"/>
      <c r="AD10" s="1596"/>
      <c r="AE10" s="1596"/>
      <c r="AF10" s="1596"/>
      <c r="AG10" s="1596"/>
      <c r="AH10" s="1596"/>
      <c r="AI10" s="1596"/>
      <c r="AJ10" s="1596"/>
      <c r="AK10" s="1596"/>
      <c r="AL10" s="1596"/>
      <c r="AM10" s="1596"/>
      <c r="AN10" s="1596"/>
    </row>
    <row r="11" spans="1:40" ht="15.75" x14ac:dyDescent="0.25">
      <c r="A11" s="322"/>
      <c r="B11" s="349"/>
      <c r="C11" s="860" t="str">
        <f>'Pre-Assessment Estimator'!G7</f>
        <v xml:space="preserve">Requirements for EU taxonomy </v>
      </c>
      <c r="D11" s="1601" t="str">
        <f>Poeng!BR259</f>
        <v>No</v>
      </c>
      <c r="E11" s="1602"/>
      <c r="F11" s="342"/>
      <c r="G11" s="342"/>
      <c r="H11" s="342"/>
      <c r="I11" s="342"/>
      <c r="J11" s="342"/>
      <c r="Z11" s="1596"/>
      <c r="AA11" s="1596"/>
      <c r="AB11" s="1596"/>
      <c r="AC11" s="1596"/>
      <c r="AD11" s="1596"/>
      <c r="AE11" s="1596"/>
      <c r="AF11" s="1596"/>
      <c r="AG11" s="1596"/>
      <c r="AH11" s="1596"/>
      <c r="AI11" s="1596"/>
      <c r="AJ11" s="1596"/>
      <c r="AK11" s="1596"/>
      <c r="AL11" s="1596"/>
      <c r="AM11" s="1596"/>
      <c r="AN11" s="1596"/>
    </row>
    <row r="12" spans="1:40" ht="42" customHeight="1" x14ac:dyDescent="0.3">
      <c r="A12" s="322"/>
      <c r="B12" s="329" t="s">
        <v>56</v>
      </c>
      <c r="C12" s="330"/>
      <c r="D12" s="331"/>
      <c r="E12" s="331"/>
      <c r="F12" s="331"/>
      <c r="G12" s="331"/>
      <c r="H12" s="331"/>
      <c r="I12" s="329" t="s">
        <v>75</v>
      </c>
      <c r="J12" s="331"/>
      <c r="K12" s="331"/>
      <c r="L12" s="541"/>
      <c r="M12" s="331"/>
      <c r="N12" s="331"/>
      <c r="O12" s="380"/>
      <c r="P12" s="322"/>
      <c r="Q12" s="322"/>
      <c r="R12" s="322"/>
      <c r="S12" s="322"/>
    </row>
    <row r="13" spans="1:40" ht="15" customHeight="1" x14ac:dyDescent="0.25">
      <c r="A13" s="322"/>
      <c r="B13" s="350"/>
      <c r="C13" s="350"/>
      <c r="D13" s="350"/>
      <c r="E13" s="350"/>
      <c r="F13" s="350"/>
      <c r="G13" s="350"/>
      <c r="H13" s="350"/>
      <c r="I13" s="350"/>
      <c r="J13" s="350"/>
      <c r="L13" s="322"/>
      <c r="M13" s="322"/>
      <c r="N13" s="322"/>
      <c r="O13" s="322"/>
      <c r="P13" s="322"/>
      <c r="Q13" s="322"/>
      <c r="R13" s="322"/>
      <c r="S13" s="322"/>
    </row>
    <row r="14" spans="1:40" ht="15" customHeight="1" x14ac:dyDescent="0.25">
      <c r="A14" s="322"/>
      <c r="B14" s="322"/>
      <c r="C14" s="322"/>
      <c r="D14" s="322"/>
      <c r="E14" s="322"/>
      <c r="F14" s="322"/>
      <c r="G14" s="322"/>
      <c r="H14" s="322"/>
      <c r="I14" s="322"/>
      <c r="J14" s="322"/>
      <c r="L14" s="322"/>
      <c r="M14" s="322"/>
      <c r="N14" s="322"/>
      <c r="O14" s="322"/>
      <c r="P14" s="322"/>
      <c r="Q14" s="322"/>
      <c r="R14" s="322"/>
      <c r="S14" s="322"/>
    </row>
    <row r="15" spans="1:40" ht="15" customHeight="1" x14ac:dyDescent="0.25">
      <c r="A15" s="322"/>
      <c r="B15" s="322"/>
      <c r="C15" s="322"/>
      <c r="D15" s="322"/>
      <c r="E15" s="322"/>
      <c r="F15" s="322"/>
      <c r="G15" s="322"/>
      <c r="H15" s="322"/>
      <c r="I15" s="322"/>
      <c r="J15" s="322"/>
      <c r="L15" s="322"/>
      <c r="M15" s="322"/>
      <c r="N15" s="322"/>
      <c r="O15" s="322"/>
      <c r="P15" s="322"/>
      <c r="Q15" s="322"/>
      <c r="R15" s="322"/>
      <c r="S15" s="322"/>
    </row>
    <row r="16" spans="1:40" ht="15" customHeight="1" x14ac:dyDescent="0.25">
      <c r="A16" s="322"/>
      <c r="B16" s="322"/>
      <c r="C16" s="322"/>
      <c r="D16" s="322"/>
      <c r="E16" s="322"/>
      <c r="F16" s="322"/>
      <c r="G16" s="322"/>
      <c r="H16" s="322"/>
      <c r="I16" s="322"/>
      <c r="J16" s="322"/>
      <c r="L16" s="322"/>
      <c r="M16" s="322"/>
      <c r="N16" s="322"/>
      <c r="O16" s="322"/>
      <c r="Q16" s="322"/>
      <c r="R16" s="322"/>
      <c r="S16" s="322"/>
    </row>
    <row r="17" spans="1:31" ht="15" customHeight="1" x14ac:dyDescent="0.25">
      <c r="A17" s="322"/>
      <c r="B17" s="322"/>
      <c r="C17" s="322"/>
      <c r="D17" s="322"/>
      <c r="E17" s="322"/>
      <c r="F17" s="322"/>
      <c r="G17" s="322"/>
      <c r="H17" s="322"/>
      <c r="I17" s="322"/>
      <c r="J17" s="322"/>
      <c r="L17" s="322"/>
      <c r="M17" s="322"/>
      <c r="N17" s="322"/>
      <c r="O17" s="322"/>
      <c r="Q17" s="322"/>
      <c r="R17" s="322"/>
      <c r="S17" s="322"/>
    </row>
    <row r="18" spans="1:31" ht="15" customHeight="1" x14ac:dyDescent="0.25">
      <c r="A18" s="322"/>
      <c r="B18" s="322"/>
      <c r="C18" s="322"/>
      <c r="D18" s="322"/>
      <c r="E18" s="322"/>
      <c r="F18" s="322"/>
      <c r="G18" s="322"/>
      <c r="H18" s="322"/>
      <c r="I18" s="322"/>
      <c r="J18" s="322"/>
      <c r="L18" s="322"/>
      <c r="M18" s="322"/>
      <c r="N18" s="322"/>
      <c r="O18" s="322"/>
      <c r="Q18" s="322"/>
      <c r="R18" s="322"/>
      <c r="S18" s="322"/>
      <c r="AB18" s="340"/>
      <c r="AC18" s="341"/>
      <c r="AD18" s="1592" t="s">
        <v>206</v>
      </c>
      <c r="AE18" s="1593"/>
    </row>
    <row r="19" spans="1:31" ht="15" customHeight="1" thickBot="1" x14ac:dyDescent="0.3">
      <c r="A19" s="322"/>
      <c r="B19" s="322"/>
      <c r="C19" s="322"/>
      <c r="D19" s="322"/>
      <c r="E19" s="322"/>
      <c r="F19" s="322"/>
      <c r="G19" s="322"/>
      <c r="H19" s="322"/>
      <c r="I19" s="322"/>
      <c r="J19" s="322"/>
      <c r="L19" s="322"/>
      <c r="M19" s="322"/>
      <c r="N19" s="322"/>
      <c r="O19" s="322"/>
      <c r="Q19" s="322"/>
      <c r="R19" s="322"/>
      <c r="S19" s="322"/>
      <c r="AB19" s="343"/>
      <c r="AC19" s="344" t="s">
        <v>284</v>
      </c>
      <c r="AD19" s="1594" t="s">
        <v>12</v>
      </c>
      <c r="AE19" s="1595"/>
    </row>
    <row r="20" spans="1:31" ht="15" customHeight="1" x14ac:dyDescent="0.25">
      <c r="A20" s="322"/>
      <c r="B20" s="322"/>
      <c r="C20" s="322"/>
      <c r="D20" s="322"/>
      <c r="E20" s="322"/>
      <c r="F20" s="322"/>
      <c r="G20" s="322"/>
      <c r="H20" s="322"/>
      <c r="I20" s="322"/>
      <c r="J20" s="322"/>
      <c r="L20" s="322"/>
      <c r="M20" s="322"/>
      <c r="N20" s="322"/>
      <c r="O20" s="322"/>
      <c r="Q20" s="322"/>
      <c r="R20" s="322"/>
      <c r="S20" s="322"/>
      <c r="AB20" s="351"/>
      <c r="AC20" s="352" t="s">
        <v>203</v>
      </c>
      <c r="AD20" s="352" t="s">
        <v>1705</v>
      </c>
    </row>
    <row r="21" spans="1:31" ht="15" customHeight="1" x14ac:dyDescent="0.25">
      <c r="A21" s="322"/>
      <c r="B21" s="322"/>
      <c r="C21" s="322"/>
      <c r="D21" s="322"/>
      <c r="E21" s="322"/>
      <c r="F21" s="322"/>
      <c r="G21" s="322"/>
      <c r="H21" s="322"/>
      <c r="I21" s="322"/>
      <c r="J21" s="322"/>
      <c r="L21" s="322"/>
      <c r="M21" s="322"/>
      <c r="N21" s="322"/>
      <c r="O21" s="322"/>
      <c r="Q21" s="322"/>
      <c r="R21" s="322"/>
      <c r="S21" s="322"/>
      <c r="AB21" s="353" t="s">
        <v>194</v>
      </c>
      <c r="AC21" s="354">
        <f>Man_Weight</f>
        <v>0.13</v>
      </c>
      <c r="AD21" s="354">
        <f t="shared" ref="AD21:AD30" si="0">IF(AD$19=$AA$34,G34,"")</f>
        <v>0</v>
      </c>
    </row>
    <row r="22" spans="1:31" ht="15" customHeight="1" x14ac:dyDescent="0.25">
      <c r="A22" s="322"/>
      <c r="B22" s="322"/>
      <c r="C22" s="322"/>
      <c r="D22" s="322"/>
      <c r="E22" s="322"/>
      <c r="F22" s="322"/>
      <c r="G22" s="322"/>
      <c r="H22" s="322"/>
      <c r="I22" s="322"/>
      <c r="J22" s="322"/>
      <c r="L22" s="322"/>
      <c r="M22" s="322"/>
      <c r="N22" s="322"/>
      <c r="O22" s="322"/>
      <c r="P22" s="322"/>
      <c r="Q22" s="322"/>
      <c r="R22" s="322"/>
      <c r="S22" s="322"/>
      <c r="AB22" s="353" t="s">
        <v>120</v>
      </c>
      <c r="AC22" s="354">
        <f>F35</f>
        <v>0.16</v>
      </c>
      <c r="AD22" s="354">
        <f t="shared" si="0"/>
        <v>0</v>
      </c>
    </row>
    <row r="23" spans="1:31" ht="15" customHeight="1" x14ac:dyDescent="0.25">
      <c r="A23" s="322"/>
      <c r="B23" s="322"/>
      <c r="C23" s="322"/>
      <c r="D23" s="322"/>
      <c r="E23" s="322"/>
      <c r="F23" s="322"/>
      <c r="G23" s="322"/>
      <c r="H23" s="322"/>
      <c r="I23" s="322"/>
      <c r="J23" s="322"/>
      <c r="L23" s="322"/>
      <c r="M23" s="322"/>
      <c r="N23" s="322"/>
      <c r="O23" s="322"/>
      <c r="P23" s="322"/>
      <c r="Q23" s="322"/>
      <c r="R23" s="322"/>
      <c r="S23" s="322"/>
      <c r="AB23" s="353" t="s">
        <v>195</v>
      </c>
      <c r="AC23" s="354">
        <f>Ene_Weight</f>
        <v>0.14000000000000001</v>
      </c>
      <c r="AD23" s="354">
        <f t="shared" si="0"/>
        <v>0</v>
      </c>
    </row>
    <row r="24" spans="1:31" ht="15" customHeight="1" x14ac:dyDescent="0.25">
      <c r="A24" s="322"/>
      <c r="B24" s="322"/>
      <c r="C24" s="322"/>
      <c r="D24" s="322"/>
      <c r="E24" s="322"/>
      <c r="F24" s="322"/>
      <c r="G24" s="322"/>
      <c r="H24" s="322"/>
      <c r="I24" s="322"/>
      <c r="J24" s="322"/>
      <c r="L24" s="322"/>
      <c r="M24" s="322"/>
      <c r="N24" s="322"/>
      <c r="O24" s="322"/>
      <c r="P24" s="322"/>
      <c r="Q24" s="322"/>
      <c r="R24" s="322"/>
      <c r="S24" s="322"/>
      <c r="AB24" s="353" t="s">
        <v>196</v>
      </c>
      <c r="AC24" s="354">
        <f>Tra_Weight</f>
        <v>0.1</v>
      </c>
      <c r="AD24" s="354">
        <f t="shared" si="0"/>
        <v>0</v>
      </c>
    </row>
    <row r="25" spans="1:31" ht="15" customHeight="1" x14ac:dyDescent="0.25">
      <c r="A25" s="322"/>
      <c r="B25" s="322"/>
      <c r="C25" s="322"/>
      <c r="D25" s="322"/>
      <c r="E25" s="322"/>
      <c r="F25" s="322"/>
      <c r="G25" s="322"/>
      <c r="H25" s="322"/>
      <c r="I25" s="322"/>
      <c r="J25" s="322"/>
      <c r="L25" s="322"/>
      <c r="M25" s="322"/>
      <c r="N25" s="322"/>
      <c r="O25" s="322"/>
      <c r="P25" s="322"/>
      <c r="Q25" s="322"/>
      <c r="R25" s="322"/>
      <c r="S25" s="322"/>
      <c r="AB25" s="353" t="s">
        <v>197</v>
      </c>
      <c r="AC25" s="354">
        <f>Wat_Weight</f>
        <v>0.04</v>
      </c>
      <c r="AD25" s="354">
        <f t="shared" si="0"/>
        <v>0</v>
      </c>
    </row>
    <row r="26" spans="1:31" ht="15" customHeight="1" x14ac:dyDescent="0.25">
      <c r="A26" s="322"/>
      <c r="B26" s="322"/>
      <c r="C26" s="322"/>
      <c r="D26" s="322"/>
      <c r="E26" s="322"/>
      <c r="F26" s="322"/>
      <c r="G26" s="322"/>
      <c r="H26" s="322"/>
      <c r="I26" s="322"/>
      <c r="J26" s="322"/>
      <c r="L26" s="322"/>
      <c r="M26" s="322"/>
      <c r="N26" s="322"/>
      <c r="O26" s="322"/>
      <c r="P26" s="322"/>
      <c r="Q26" s="322"/>
      <c r="R26" s="322"/>
      <c r="S26" s="322"/>
      <c r="AB26" s="353" t="s">
        <v>198</v>
      </c>
      <c r="AC26" s="354">
        <f>Mat_Weight</f>
        <v>0.17</v>
      </c>
      <c r="AD26" s="354">
        <f t="shared" si="0"/>
        <v>0</v>
      </c>
    </row>
    <row r="27" spans="1:31" ht="15" customHeight="1" x14ac:dyDescent="0.25">
      <c r="A27" s="322"/>
      <c r="B27" s="322"/>
      <c r="C27" s="322"/>
      <c r="D27" s="322"/>
      <c r="E27" s="322"/>
      <c r="F27" s="322"/>
      <c r="G27" s="322"/>
      <c r="H27" s="322"/>
      <c r="I27" s="322"/>
      <c r="J27" s="322"/>
      <c r="L27" s="322"/>
      <c r="M27" s="322"/>
      <c r="N27" s="322"/>
      <c r="O27" s="322"/>
      <c r="P27" s="322"/>
      <c r="Q27" s="322"/>
      <c r="R27" s="322"/>
      <c r="S27" s="322"/>
      <c r="AB27" s="353" t="s">
        <v>199</v>
      </c>
      <c r="AC27" s="354">
        <f>Wst_Weight</f>
        <v>7.0000000000000007E-2</v>
      </c>
      <c r="AD27" s="354">
        <f t="shared" si="0"/>
        <v>0</v>
      </c>
    </row>
    <row r="28" spans="1:31" ht="15" customHeight="1" x14ac:dyDescent="0.25">
      <c r="A28" s="322"/>
      <c r="B28" s="322"/>
      <c r="C28" s="322"/>
      <c r="D28" s="322"/>
      <c r="E28" s="322"/>
      <c r="F28" s="322"/>
      <c r="G28" s="322"/>
      <c r="H28" s="322"/>
      <c r="I28" s="322"/>
      <c r="J28" s="322"/>
      <c r="L28" s="322"/>
      <c r="M28" s="322"/>
      <c r="N28" s="322"/>
      <c r="O28" s="322"/>
      <c r="P28" s="322"/>
      <c r="Q28" s="322"/>
      <c r="R28" s="322"/>
      <c r="S28" s="322"/>
      <c r="AB28" s="353" t="s">
        <v>200</v>
      </c>
      <c r="AC28" s="354">
        <f>LE_Weight</f>
        <v>0.15</v>
      </c>
      <c r="AD28" s="354">
        <f t="shared" si="0"/>
        <v>0</v>
      </c>
    </row>
    <row r="29" spans="1:31" ht="15" customHeight="1" x14ac:dyDescent="0.25">
      <c r="A29" s="322"/>
      <c r="B29" s="322"/>
      <c r="C29" s="322"/>
      <c r="D29" s="322"/>
      <c r="E29" s="322"/>
      <c r="F29" s="322"/>
      <c r="G29" s="322"/>
      <c r="H29" s="322"/>
      <c r="I29" s="322"/>
      <c r="J29" s="322"/>
      <c r="L29" s="322"/>
      <c r="M29" s="322"/>
      <c r="N29" s="322"/>
      <c r="O29" s="322"/>
      <c r="P29" s="322"/>
      <c r="Q29" s="322"/>
      <c r="R29" s="322"/>
      <c r="S29" s="322"/>
      <c r="AB29" s="353" t="s">
        <v>201</v>
      </c>
      <c r="AC29" s="354">
        <f>F42</f>
        <v>0.04</v>
      </c>
      <c r="AD29" s="354">
        <f t="shared" si="0"/>
        <v>0</v>
      </c>
    </row>
    <row r="30" spans="1:31" ht="15" customHeight="1" thickBot="1" x14ac:dyDescent="0.3">
      <c r="A30" s="322"/>
      <c r="B30" s="322"/>
      <c r="C30" s="322"/>
      <c r="D30" s="322"/>
      <c r="E30" s="322"/>
      <c r="F30" s="322"/>
      <c r="G30" s="322"/>
      <c r="H30" s="322"/>
      <c r="I30" s="322"/>
      <c r="J30" s="322"/>
      <c r="L30" s="322"/>
      <c r="M30" s="322"/>
      <c r="N30" s="322"/>
      <c r="O30" s="322"/>
      <c r="P30" s="322"/>
      <c r="Q30" s="322"/>
      <c r="R30" s="322"/>
      <c r="S30" s="322"/>
      <c r="AB30" s="355" t="s">
        <v>202</v>
      </c>
      <c r="AC30" s="356">
        <f>F43</f>
        <v>0.1</v>
      </c>
      <c r="AD30" s="356">
        <f t="shared" si="0"/>
        <v>0</v>
      </c>
    </row>
    <row r="31" spans="1:31" ht="15" customHeight="1" x14ac:dyDescent="0.25">
      <c r="A31" s="322"/>
      <c r="B31" s="322"/>
      <c r="C31" s="322"/>
      <c r="D31" s="322"/>
      <c r="E31" s="322"/>
      <c r="F31" s="322"/>
      <c r="G31" s="322"/>
      <c r="H31" s="20"/>
      <c r="I31" s="20"/>
      <c r="J31" s="20"/>
      <c r="K31" s="20"/>
      <c r="L31" s="20"/>
      <c r="M31" s="20"/>
      <c r="N31" s="20"/>
      <c r="O31" s="322"/>
      <c r="P31" s="322"/>
      <c r="Q31" s="322"/>
      <c r="R31" s="322"/>
      <c r="S31" s="322"/>
    </row>
    <row r="32" spans="1:31" ht="15.75" customHeight="1" x14ac:dyDescent="0.25">
      <c r="A32" s="322"/>
      <c r="B32" s="357"/>
      <c r="D32" s="1344"/>
      <c r="E32" s="1340"/>
      <c r="F32" s="358"/>
      <c r="G32" s="1340"/>
      <c r="H32" s="20"/>
      <c r="I32" s="20"/>
      <c r="J32" s="20"/>
      <c r="K32" s="20"/>
      <c r="L32" s="20"/>
      <c r="M32" s="20"/>
      <c r="N32" s="20"/>
    </row>
    <row r="33" spans="1:33" ht="32.25" thickBot="1" x14ac:dyDescent="0.3">
      <c r="A33" s="322"/>
      <c r="B33" s="359" t="s">
        <v>69</v>
      </c>
      <c r="C33" s="360" t="s">
        <v>59</v>
      </c>
      <c r="D33" s="1345" t="s">
        <v>192</v>
      </c>
      <c r="E33" s="361" t="s">
        <v>58</v>
      </c>
      <c r="F33" s="1345" t="s">
        <v>193</v>
      </c>
      <c r="G33" s="1345" t="s">
        <v>272</v>
      </c>
      <c r="H33" s="20"/>
      <c r="I33" s="20"/>
      <c r="J33" s="20"/>
      <c r="K33" s="20"/>
      <c r="L33" s="20"/>
      <c r="M33" s="20"/>
      <c r="N33" s="20"/>
    </row>
    <row r="34" spans="1:33" ht="15.75" customHeight="1" x14ac:dyDescent="0.25">
      <c r="A34" s="322"/>
      <c r="B34" s="362" t="s">
        <v>57</v>
      </c>
      <c r="C34" s="363">
        <f>Man_Credits</f>
        <v>21</v>
      </c>
      <c r="D34" s="1346">
        <f>Man_tot_user</f>
        <v>0</v>
      </c>
      <c r="E34" s="1341">
        <f>BP_11/BP_01</f>
        <v>0</v>
      </c>
      <c r="F34" s="849">
        <f>Poeng!BS344</f>
        <v>0.13</v>
      </c>
      <c r="G34" s="1349">
        <f>BP_22*F34</f>
        <v>0</v>
      </c>
      <c r="H34" s="20"/>
      <c r="I34" s="20"/>
      <c r="J34" s="20"/>
      <c r="K34" s="20"/>
      <c r="L34" s="20"/>
      <c r="M34" s="20"/>
      <c r="N34" s="20"/>
      <c r="AA34" s="364" t="s">
        <v>12</v>
      </c>
      <c r="AB34" s="352" t="str">
        <f>Poeng!BQ295</f>
        <v>Navn</v>
      </c>
      <c r="AC34" s="352" t="str">
        <f>AD20</f>
        <v>Building Performance</v>
      </c>
    </row>
    <row r="35" spans="1:33" ht="16.5" thickBot="1" x14ac:dyDescent="0.3">
      <c r="A35" s="322"/>
      <c r="B35" s="365" t="s">
        <v>60</v>
      </c>
      <c r="C35" s="366">
        <f>Hea_Credits</f>
        <v>19</v>
      </c>
      <c r="D35" s="1347">
        <f>HW_tot_user</f>
        <v>0</v>
      </c>
      <c r="E35" s="1342">
        <f>BP_12/BP_02</f>
        <v>0</v>
      </c>
      <c r="F35" s="850">
        <f>Poeng!BS345</f>
        <v>0.16</v>
      </c>
      <c r="G35" s="1343">
        <f>BP_23*F35</f>
        <v>0</v>
      </c>
      <c r="H35" s="20"/>
      <c r="I35" s="20"/>
      <c r="J35" s="20"/>
      <c r="K35" s="20"/>
      <c r="L35" s="20"/>
      <c r="M35" s="20"/>
      <c r="N35" s="20"/>
      <c r="AA35" s="367" t="s">
        <v>13</v>
      </c>
      <c r="AB35" s="368" t="str">
        <f>Poeng!BQ296</f>
        <v>Man 01</v>
      </c>
      <c r="AC35" s="369">
        <f>IF(AD$19=$AA$34,Poeng!BR296,"")</f>
        <v>3</v>
      </c>
    </row>
    <row r="36" spans="1:33" s="370" customFormat="1" ht="15.75" x14ac:dyDescent="0.25">
      <c r="A36" s="322"/>
      <c r="B36" s="365" t="s">
        <v>61</v>
      </c>
      <c r="C36" s="366">
        <f>Ene_Credits</f>
        <v>27</v>
      </c>
      <c r="D36" s="1347">
        <f>Ene_tot_user</f>
        <v>0</v>
      </c>
      <c r="E36" s="1342">
        <f>BP_13/BP_03</f>
        <v>0</v>
      </c>
      <c r="F36" s="850">
        <f>Poeng!BS346</f>
        <v>0.14000000000000001</v>
      </c>
      <c r="G36" s="1343">
        <f>BP_24*F36</f>
        <v>0</v>
      </c>
      <c r="H36" s="20"/>
      <c r="I36" s="20"/>
      <c r="J36" s="20"/>
      <c r="K36" s="20"/>
      <c r="L36" s="20"/>
      <c r="M36" s="20"/>
      <c r="N36" s="20"/>
      <c r="AA36" s="323"/>
      <c r="AB36" s="368" t="str">
        <f>Poeng!BQ297</f>
        <v>Man 03</v>
      </c>
      <c r="AC36" s="369">
        <f>IF(AD$19=$AA$34,Poeng!BR297,"")</f>
        <v>0</v>
      </c>
      <c r="AD36" s="323"/>
      <c r="AE36" s="323"/>
    </row>
    <row r="37" spans="1:33" s="370" customFormat="1" ht="15.75" x14ac:dyDescent="0.25">
      <c r="A37" s="322"/>
      <c r="B37" s="365" t="s">
        <v>62</v>
      </c>
      <c r="C37" s="366">
        <f>Tra_Credits</f>
        <v>13</v>
      </c>
      <c r="D37" s="1347">
        <f>Tra_tot_user</f>
        <v>0</v>
      </c>
      <c r="E37" s="1342">
        <f>BP_14/BP_04</f>
        <v>0</v>
      </c>
      <c r="F37" s="850">
        <f>Poeng!BS347</f>
        <v>0.1</v>
      </c>
      <c r="G37" s="1343">
        <f>BP_25*F37</f>
        <v>0</v>
      </c>
      <c r="H37" s="20"/>
      <c r="I37" s="20"/>
      <c r="J37" s="20"/>
      <c r="K37" s="20"/>
      <c r="L37" s="20"/>
      <c r="M37" s="20"/>
      <c r="N37" s="20"/>
      <c r="AA37" s="323"/>
      <c r="AB37" s="368" t="str">
        <f>Poeng!BQ298</f>
        <v>Man 04</v>
      </c>
      <c r="AC37" s="369">
        <f>IF(AD$19=$AA$34,Poeng!BR298,"")</f>
        <v>0</v>
      </c>
      <c r="AD37" s="323"/>
      <c r="AE37" s="323"/>
    </row>
    <row r="38" spans="1:33" s="370" customFormat="1" ht="15.75" x14ac:dyDescent="0.25">
      <c r="A38" s="322"/>
      <c r="B38" s="365" t="s">
        <v>54</v>
      </c>
      <c r="C38" s="366">
        <f>Wat_Credits</f>
        <v>9</v>
      </c>
      <c r="D38" s="1347">
        <f>Wat_tot_user</f>
        <v>0</v>
      </c>
      <c r="E38" s="1342">
        <f>BP_15/BP_05</f>
        <v>0</v>
      </c>
      <c r="F38" s="850">
        <f>Poeng!BS348</f>
        <v>0.04</v>
      </c>
      <c r="G38" s="1343">
        <f>BP_26*F38</f>
        <v>0</v>
      </c>
      <c r="H38" s="20"/>
      <c r="I38" s="20"/>
      <c r="J38" s="20"/>
      <c r="K38" s="20"/>
      <c r="L38" s="20"/>
      <c r="M38" s="20"/>
      <c r="N38" s="20"/>
      <c r="AA38" s="323"/>
      <c r="AB38" s="368" t="str">
        <f>Poeng!BQ299</f>
        <v>Man 05</v>
      </c>
      <c r="AC38" s="369">
        <f>IF(AD$19=$AA$34,Poeng!BR299,"")</f>
        <v>3</v>
      </c>
      <c r="AD38" s="323"/>
      <c r="AE38" s="323"/>
    </row>
    <row r="39" spans="1:33" s="370" customFormat="1" ht="15.75" x14ac:dyDescent="0.25">
      <c r="A39" s="322"/>
      <c r="B39" s="365" t="s">
        <v>63</v>
      </c>
      <c r="C39" s="366">
        <f>Mat_Credits</f>
        <v>21</v>
      </c>
      <c r="D39" s="1347">
        <f>Mat_tot_user</f>
        <v>0</v>
      </c>
      <c r="E39" s="1342">
        <f>BP_16/BP_06</f>
        <v>0</v>
      </c>
      <c r="F39" s="850">
        <f>Poeng!BS349</f>
        <v>0.17</v>
      </c>
      <c r="G39" s="1343">
        <f>BP_27*F39</f>
        <v>0</v>
      </c>
      <c r="H39" s="20"/>
      <c r="I39" s="20"/>
      <c r="J39" s="20"/>
      <c r="K39" s="20"/>
      <c r="L39" s="20"/>
      <c r="M39" s="20"/>
      <c r="N39" s="20"/>
      <c r="AA39" s="323"/>
      <c r="AB39" s="368" t="str">
        <f>Poeng!BQ300</f>
        <v>Hea 01</v>
      </c>
      <c r="AC39" s="369">
        <f>IF(AD$19=$AA$34,Poeng!BR300,"")</f>
        <v>0</v>
      </c>
      <c r="AD39" s="323"/>
      <c r="AE39" s="323"/>
    </row>
    <row r="40" spans="1:33" ht="15.75" x14ac:dyDescent="0.25">
      <c r="A40" s="322"/>
      <c r="B40" s="365" t="s">
        <v>64</v>
      </c>
      <c r="C40" s="366">
        <f>Wst_Credits</f>
        <v>7</v>
      </c>
      <c r="D40" s="1347">
        <f>Wst_tot_user</f>
        <v>0</v>
      </c>
      <c r="E40" s="1342">
        <f>BP_18/BP_07</f>
        <v>0</v>
      </c>
      <c r="F40" s="850">
        <f>Poeng!BS350</f>
        <v>7.0000000000000007E-2</v>
      </c>
      <c r="G40" s="1343">
        <f>BP_28*F40</f>
        <v>0</v>
      </c>
      <c r="H40" s="20"/>
      <c r="I40" s="20"/>
      <c r="J40" s="20"/>
      <c r="K40" s="20"/>
      <c r="L40" s="20"/>
      <c r="M40" s="20"/>
      <c r="N40" s="20"/>
      <c r="AB40" s="368" t="str">
        <f>Poeng!BQ301</f>
        <v>Hea 02</v>
      </c>
      <c r="AC40" s="369">
        <f>IF(AD$19=$AA$34,Poeng!BR301,"")</f>
        <v>2</v>
      </c>
    </row>
    <row r="41" spans="1:33" ht="15.75" x14ac:dyDescent="0.25">
      <c r="A41" s="322"/>
      <c r="B41" s="365" t="s">
        <v>65</v>
      </c>
      <c r="C41" s="366">
        <f>LE_Credits</f>
        <v>19</v>
      </c>
      <c r="D41" s="1347">
        <f>Lue_tot_user</f>
        <v>0</v>
      </c>
      <c r="E41" s="1342">
        <f>BP_19/BP_08</f>
        <v>0</v>
      </c>
      <c r="F41" s="850">
        <f>Poeng!BS351</f>
        <v>0.15</v>
      </c>
      <c r="G41" s="1343">
        <f>BP_29*F41</f>
        <v>0</v>
      </c>
      <c r="H41" s="20"/>
      <c r="I41" s="20"/>
      <c r="J41" s="20"/>
      <c r="K41" s="20"/>
      <c r="L41" s="20"/>
      <c r="M41" s="20"/>
      <c r="N41" s="20"/>
      <c r="AB41" s="368" t="str">
        <f>Poeng!BQ302</f>
        <v>Ene 01</v>
      </c>
      <c r="AC41" s="369">
        <f>IF(AD$19=$AA$34,Poeng!BR302,"")</f>
        <v>3</v>
      </c>
    </row>
    <row r="42" spans="1:33" ht="15.75" customHeight="1" x14ac:dyDescent="0.25">
      <c r="A42" s="322"/>
      <c r="B42" s="365" t="s">
        <v>66</v>
      </c>
      <c r="C42" s="366">
        <f>Pol_Credits</f>
        <v>7</v>
      </c>
      <c r="D42" s="1347">
        <f>Pol_tot_user</f>
        <v>0</v>
      </c>
      <c r="E42" s="1342">
        <f>BP_20/BP_09</f>
        <v>0</v>
      </c>
      <c r="F42" s="850">
        <f>Poeng!BS352</f>
        <v>0.04</v>
      </c>
      <c r="G42" s="1343">
        <f>BP_30*F42</f>
        <v>0</v>
      </c>
      <c r="H42" s="20"/>
      <c r="I42" s="20"/>
      <c r="J42" s="20"/>
      <c r="K42" s="20"/>
      <c r="L42" s="20"/>
      <c r="M42" s="20"/>
      <c r="N42" s="20"/>
      <c r="AB42" s="368" t="str">
        <f>IF(AF42=9,"",Poeng!BQ303)</f>
        <v>Ene 07</v>
      </c>
      <c r="AC42" s="369">
        <f>IF(AF42=9,"",IF(AD$19=$AA$34,Poeng!BR303,""))</f>
        <v>0</v>
      </c>
      <c r="AF42" s="323">
        <f>Poeng!BR303</f>
        <v>0</v>
      </c>
    </row>
    <row r="43" spans="1:33" ht="15.75" x14ac:dyDescent="0.25">
      <c r="A43" s="322"/>
      <c r="B43" s="365" t="s">
        <v>67</v>
      </c>
      <c r="C43" s="366">
        <f>Inn_Credits</f>
        <v>10</v>
      </c>
      <c r="D43" s="1347">
        <f>Inn_tot_user</f>
        <v>0</v>
      </c>
      <c r="E43" s="1342">
        <f>BP_21/BP_10</f>
        <v>0</v>
      </c>
      <c r="F43" s="850">
        <v>0.1</v>
      </c>
      <c r="G43" s="1343">
        <f>BP_31*F43</f>
        <v>0</v>
      </c>
      <c r="H43" s="20"/>
      <c r="I43" s="20"/>
      <c r="J43" s="20"/>
      <c r="K43" s="20"/>
      <c r="L43" s="20"/>
      <c r="M43" s="20"/>
      <c r="N43" s="20"/>
      <c r="AB43" s="368" t="str">
        <f>Poeng!BQ304</f>
        <v>Tra 01</v>
      </c>
      <c r="AC43" s="369">
        <f>IF(AD$19=$AA$34,Poeng!BR304,"")</f>
        <v>3</v>
      </c>
    </row>
    <row r="44" spans="1:33" ht="15.75" x14ac:dyDescent="0.25">
      <c r="A44" s="322"/>
      <c r="B44" s="371" t="s">
        <v>204</v>
      </c>
      <c r="C44" s="372">
        <f>SUM(C34:C43)</f>
        <v>153</v>
      </c>
      <c r="D44" s="1348">
        <f>SUM(D34:D43)</f>
        <v>0</v>
      </c>
      <c r="E44" s="1343"/>
      <c r="F44" s="851">
        <f>SUM(F34:F43)</f>
        <v>1.1000000000000001</v>
      </c>
      <c r="G44" s="1350">
        <f>IF(SUM(G34:G43)&gt;1,1,SUM(G34:G43))</f>
        <v>0</v>
      </c>
      <c r="H44" s="20"/>
      <c r="I44" s="20"/>
      <c r="J44" s="20"/>
      <c r="K44" s="20"/>
      <c r="L44" s="20"/>
      <c r="M44" s="20"/>
      <c r="N44" s="20"/>
      <c r="AB44" s="368" t="str">
        <f>Poeng!BQ305</f>
        <v>Wat 01</v>
      </c>
      <c r="AC44" s="369">
        <f>IF(AD$19=$AA$34,Poeng!BR305,"")</f>
        <v>3</v>
      </c>
    </row>
    <row r="45" spans="1:33" ht="15.75" x14ac:dyDescent="0.25">
      <c r="A45" s="322"/>
      <c r="B45" s="373" t="s">
        <v>296</v>
      </c>
      <c r="C45" s="374"/>
      <c r="D45" s="374"/>
      <c r="E45" s="374"/>
      <c r="F45" s="374"/>
      <c r="G45" s="1343" t="str">
        <f>D8</f>
        <v>Unclassified</v>
      </c>
      <c r="H45" s="20"/>
      <c r="I45" s="20"/>
      <c r="J45" s="20"/>
      <c r="K45" s="20"/>
      <c r="L45" s="20"/>
      <c r="M45" s="20"/>
      <c r="N45" s="20"/>
      <c r="AB45" s="368" t="str">
        <f>Poeng!BQ306</f>
        <v>Mat 01</v>
      </c>
      <c r="AC45" s="369">
        <f>IF(AD$19=$AA$34,Poeng!BR306,"")</f>
        <v>0</v>
      </c>
    </row>
    <row r="46" spans="1:33" ht="15.75" x14ac:dyDescent="0.25">
      <c r="A46" s="375"/>
      <c r="B46" s="373" t="s">
        <v>75</v>
      </c>
      <c r="C46" s="374"/>
      <c r="D46" s="374"/>
      <c r="E46" s="374"/>
      <c r="F46" s="374"/>
      <c r="G46" s="1343" t="str">
        <f>D10</f>
        <v>Unclassified &lt;30%</v>
      </c>
      <c r="H46" s="20"/>
      <c r="I46" s="20"/>
      <c r="J46" s="20"/>
      <c r="K46" s="20"/>
      <c r="L46" s="20"/>
      <c r="M46" s="20"/>
      <c r="N46" s="20"/>
      <c r="O46" s="376"/>
      <c r="P46" s="377"/>
      <c r="Q46" s="377"/>
      <c r="R46" s="377"/>
      <c r="S46" s="377"/>
      <c r="AB46" s="368" t="str">
        <f>Poeng!BQ307</f>
        <v>Mat 02</v>
      </c>
      <c r="AC46" s="369">
        <f>IF(AD$19=$AA$34,Poeng!BR307,"")</f>
        <v>0</v>
      </c>
    </row>
    <row r="47" spans="1:33" s="378" customFormat="1" ht="15.75" x14ac:dyDescent="0.25">
      <c r="B47" s="1352" t="str">
        <f>C11</f>
        <v xml:space="preserve">Requirements for EU taxonomy </v>
      </c>
      <c r="C47" s="1353"/>
      <c r="D47" s="1353"/>
      <c r="E47" s="1353"/>
      <c r="F47" s="1353"/>
      <c r="G47" s="1354" t="str">
        <f>D11</f>
        <v>No</v>
      </c>
      <c r="H47" s="20"/>
      <c r="I47" s="20"/>
      <c r="J47" s="20"/>
      <c r="K47" s="20"/>
      <c r="L47" s="20"/>
      <c r="M47" s="20"/>
      <c r="N47" s="20"/>
      <c r="O47" s="379"/>
      <c r="P47" s="379"/>
      <c r="Q47" s="379"/>
      <c r="R47" s="379"/>
      <c r="S47" s="379"/>
      <c r="T47" s="379"/>
      <c r="U47" s="379"/>
      <c r="AA47" s="323"/>
      <c r="AB47" s="368" t="str">
        <f>Poeng!BQ308</f>
        <v>Mat 03</v>
      </c>
      <c r="AC47" s="369">
        <f>IF(AD$19=$AA$34,Poeng!BR308,"")</f>
        <v>0</v>
      </c>
      <c r="AD47" s="323"/>
      <c r="AE47" s="323"/>
      <c r="AF47" s="323"/>
      <c r="AG47" s="323"/>
    </row>
    <row r="48" spans="1:33" s="378" customFormat="1" x14ac:dyDescent="0.25">
      <c r="B48" s="322"/>
      <c r="C48" s="322"/>
      <c r="D48" s="322"/>
      <c r="E48" s="322"/>
      <c r="F48" s="322"/>
      <c r="G48" s="322"/>
      <c r="H48" s="20"/>
      <c r="I48" s="20"/>
      <c r="J48" s="20"/>
      <c r="K48" s="20"/>
      <c r="L48" s="20"/>
      <c r="M48" s="20"/>
      <c r="N48" s="20"/>
      <c r="AA48" s="323"/>
      <c r="AB48" s="368" t="str">
        <f>Poeng!BQ309</f>
        <v>Mat 05</v>
      </c>
      <c r="AC48" s="369">
        <f>IF(AD$19=$AA$34,Poeng!BR309,"")</f>
        <v>3</v>
      </c>
      <c r="AD48" s="323"/>
      <c r="AE48" s="323"/>
      <c r="AF48" s="323"/>
      <c r="AG48" s="323"/>
    </row>
    <row r="49" spans="1:33" s="322" customFormat="1" x14ac:dyDescent="0.25">
      <c r="AA49" s="323"/>
      <c r="AB49" s="368" t="str">
        <f>Poeng!BQ310</f>
        <v>Mat 06</v>
      </c>
      <c r="AC49" s="369">
        <f>IF(AD$19=$AA$34,Poeng!BR310,"")</f>
        <v>0</v>
      </c>
      <c r="AD49" s="323"/>
      <c r="AE49" s="323"/>
      <c r="AF49" s="378"/>
      <c r="AG49" s="378"/>
    </row>
    <row r="50" spans="1:33" s="322" customFormat="1" x14ac:dyDescent="0.25">
      <c r="AA50" s="381"/>
      <c r="AB50" s="368" t="str">
        <f>Poeng!BQ311</f>
        <v>Mat 07</v>
      </c>
      <c r="AC50" s="369">
        <f>IF(AD$19=$AA$34,Poeng!BR311,"")</f>
        <v>3</v>
      </c>
      <c r="AD50" s="323"/>
      <c r="AE50" s="323"/>
      <c r="AF50" s="378"/>
      <c r="AG50" s="378"/>
    </row>
    <row r="51" spans="1:33" s="322" customFormat="1" x14ac:dyDescent="0.25">
      <c r="F51" s="904"/>
      <c r="G51" s="904"/>
      <c r="H51" s="904"/>
      <c r="I51" s="904"/>
      <c r="J51" s="904"/>
      <c r="K51" s="904"/>
      <c r="L51" s="905"/>
      <c r="AB51" s="368" t="str">
        <f>Poeng!BQ312</f>
        <v>Wst 01</v>
      </c>
      <c r="AC51" s="369">
        <f>IF(AD$19=$AA$34,Poeng!BR312,"")</f>
        <v>2</v>
      </c>
      <c r="AD51" s="323"/>
      <c r="AE51" s="323"/>
    </row>
    <row r="52" spans="1:33" s="322" customFormat="1" x14ac:dyDescent="0.25">
      <c r="J52" s="906"/>
      <c r="AB52" s="368" t="str">
        <f>Poeng!BQ313</f>
        <v>Wst 03</v>
      </c>
      <c r="AC52" s="369">
        <f>IF(AD$19=$AA$34,Poeng!BR313,"")</f>
        <v>3</v>
      </c>
      <c r="AD52" s="323"/>
      <c r="AE52" s="323"/>
    </row>
    <row r="53" spans="1:33" ht="32.25" x14ac:dyDescent="0.3">
      <c r="A53" s="16"/>
      <c r="B53" s="396" t="s">
        <v>948</v>
      </c>
      <c r="C53" s="1094"/>
      <c r="D53" s="1093"/>
      <c r="E53" s="1093"/>
      <c r="F53" s="1093"/>
      <c r="G53" s="1093"/>
      <c r="H53" s="1093"/>
      <c r="I53" s="1093"/>
      <c r="J53" s="1392" t="s">
        <v>1803</v>
      </c>
      <c r="K53" s="1392" t="s">
        <v>1812</v>
      </c>
      <c r="AB53" s="368" t="str">
        <f>Poeng!BQ314</f>
        <v>LE 01</v>
      </c>
      <c r="AC53" s="369">
        <f>IF(AD$19=$AA$34,Poeng!BR314,"")</f>
        <v>3</v>
      </c>
      <c r="AF53" s="322"/>
      <c r="AG53" s="322"/>
    </row>
    <row r="54" spans="1:33" x14ac:dyDescent="0.25">
      <c r="A54" s="58"/>
      <c r="B54" s="897" t="s">
        <v>57</v>
      </c>
      <c r="C54" s="322"/>
      <c r="D54" s="322"/>
      <c r="E54" s="322"/>
      <c r="F54" s="322"/>
      <c r="G54" s="322"/>
      <c r="H54" s="322"/>
      <c r="I54" s="322"/>
      <c r="J54" s="322"/>
      <c r="K54" s="322"/>
      <c r="AB54" s="368" t="str">
        <f>Poeng!BQ315</f>
        <v>LE 02</v>
      </c>
      <c r="AC54" s="369">
        <f>IF(AD$19=$AA$34,Poeng!BR315,"")</f>
        <v>2</v>
      </c>
      <c r="AF54" s="322"/>
      <c r="AG54" s="322"/>
    </row>
    <row r="55" spans="1:33" x14ac:dyDescent="0.25">
      <c r="A55" s="1393" t="s">
        <v>1969</v>
      </c>
      <c r="B55" s="1394" t="s">
        <v>87</v>
      </c>
      <c r="C55" s="1395" t="str">
        <f>Poeng!E256</f>
        <v>EU taxonomy requirements: criterion 3</v>
      </c>
      <c r="D55" s="1396"/>
      <c r="E55" s="1396"/>
      <c r="F55" s="1396"/>
      <c r="G55" s="1396"/>
      <c r="H55" s="1396"/>
      <c r="I55" s="1396"/>
      <c r="J55" s="1397" t="str">
        <f>VLOOKUP(A55,Poeng!$B$10:$BT$260,Poeng!$BQ$1,FALSE)</f>
        <v>Yes</v>
      </c>
      <c r="K55" s="1398" t="str">
        <f>VLOOKUP(A55,Poeng!$B$10:$BT$260,Poeng!$AI$1,FALSE)</f>
        <v>Please select</v>
      </c>
      <c r="AB55" s="368" t="str">
        <f>Poeng!BQ316</f>
        <v>LE 04</v>
      </c>
      <c r="AC55" s="369">
        <f>IF(AD$19=$AA$34,Poeng!BR316,"")</f>
        <v>4</v>
      </c>
    </row>
    <row r="56" spans="1:33" x14ac:dyDescent="0.25">
      <c r="A56" s="1393" t="s">
        <v>700</v>
      </c>
      <c r="B56" s="1399" t="s">
        <v>89</v>
      </c>
      <c r="C56" s="1395" t="s">
        <v>1978</v>
      </c>
      <c r="D56" s="1396"/>
      <c r="E56" s="1396"/>
      <c r="F56" s="1396"/>
      <c r="G56" s="1396"/>
      <c r="H56" s="1396"/>
      <c r="I56" s="1396"/>
      <c r="J56" s="1397">
        <f>VLOOKUP(A56,Poeng!$B$10:$BT$260,Poeng!$BQ$1,FALSE)</f>
        <v>1</v>
      </c>
      <c r="K56" s="1398">
        <f>VLOOKUP(A56,Poeng!$B$10:$BT$260,Poeng!$AI$1,FALSE)</f>
        <v>0</v>
      </c>
      <c r="P56" s="375"/>
      <c r="AB56" s="368" t="str">
        <f>Poeng!BQ317</f>
        <v>LE 06</v>
      </c>
      <c r="AC56" s="369">
        <f>IF(AD$19=$AA$34,Poeng!BR317,"")</f>
        <v>3</v>
      </c>
    </row>
    <row r="57" spans="1:33" x14ac:dyDescent="0.25">
      <c r="A57" s="1393" t="s">
        <v>701</v>
      </c>
      <c r="B57" s="1399" t="s">
        <v>89</v>
      </c>
      <c r="C57" s="1395" t="s">
        <v>1804</v>
      </c>
      <c r="D57" s="1396"/>
      <c r="E57" s="1396"/>
      <c r="F57" s="1396"/>
      <c r="G57" s="1396"/>
      <c r="H57" s="1396"/>
      <c r="I57" s="1396"/>
      <c r="J57" s="1397">
        <f>VLOOKUP(A57,Poeng!$B$10:$BT$260,Poeng!$BQ$1,FALSE)</f>
        <v>1</v>
      </c>
      <c r="K57" s="1398">
        <f>VLOOKUP(A57,Poeng!$B$10:$BT$260,Poeng!$AI$1,FALSE)</f>
        <v>0</v>
      </c>
    </row>
    <row r="58" spans="1:33" x14ac:dyDescent="0.25">
      <c r="A58" s="1393"/>
      <c r="B58" s="342"/>
      <c r="C58" s="342" t="s">
        <v>1805</v>
      </c>
      <c r="D58" s="342"/>
      <c r="E58" s="342"/>
      <c r="F58" s="342"/>
      <c r="G58" s="342"/>
      <c r="H58" s="342"/>
      <c r="I58" s="342"/>
      <c r="J58" s="342"/>
      <c r="K58" s="342"/>
    </row>
    <row r="59" spans="1:33" x14ac:dyDescent="0.25">
      <c r="A59" s="1393"/>
      <c r="B59" s="897" t="s">
        <v>60</v>
      </c>
      <c r="C59" s="322" t="s">
        <v>1805</v>
      </c>
      <c r="D59" s="342"/>
      <c r="E59" s="342"/>
      <c r="F59" s="342"/>
      <c r="G59" s="342"/>
      <c r="H59" s="342"/>
      <c r="I59" s="342"/>
      <c r="J59" s="342"/>
      <c r="K59" s="342"/>
      <c r="P59" s="375"/>
    </row>
    <row r="60" spans="1:33" x14ac:dyDescent="0.25">
      <c r="A60" s="1393" t="s">
        <v>715</v>
      </c>
      <c r="B60" s="1394" t="s">
        <v>112</v>
      </c>
      <c r="C60" s="1395" t="s">
        <v>1806</v>
      </c>
      <c r="D60" s="1396"/>
      <c r="E60" s="1396"/>
      <c r="F60" s="1396"/>
      <c r="G60" s="1396"/>
      <c r="H60" s="1396"/>
      <c r="I60" s="1396"/>
      <c r="J60" s="1397">
        <f>VLOOKUP(A60,Poeng!$B$10:$BT$260,Poeng!$BQ$1,FALSE)</f>
        <v>2</v>
      </c>
      <c r="K60" s="1398">
        <f>VLOOKUP(A60,Poeng!$B$10:$BT$260,Poeng!$AI$1,FALSE)</f>
        <v>0</v>
      </c>
    </row>
    <row r="61" spans="1:33" x14ac:dyDescent="0.25">
      <c r="A61" s="1393"/>
      <c r="B61" s="322"/>
      <c r="C61" s="322" t="s">
        <v>1805</v>
      </c>
      <c r="D61" s="342"/>
      <c r="E61" s="342"/>
      <c r="F61" s="342"/>
      <c r="G61" s="342"/>
      <c r="H61" s="342"/>
      <c r="I61" s="342"/>
      <c r="J61" s="342"/>
      <c r="K61" s="342"/>
    </row>
    <row r="62" spans="1:33" x14ac:dyDescent="0.25">
      <c r="A62" s="1393"/>
      <c r="B62" s="897" t="s">
        <v>61</v>
      </c>
      <c r="C62" s="322" t="s">
        <v>1805</v>
      </c>
      <c r="D62" s="342"/>
      <c r="E62" s="342"/>
      <c r="F62" s="342"/>
      <c r="G62" s="342"/>
      <c r="H62" s="342"/>
      <c r="I62" s="342"/>
      <c r="J62" s="342"/>
      <c r="K62" s="342"/>
      <c r="P62" s="375"/>
    </row>
    <row r="63" spans="1:33" x14ac:dyDescent="0.25">
      <c r="A63" s="1393" t="s">
        <v>995</v>
      </c>
      <c r="B63" s="1394" t="s">
        <v>129</v>
      </c>
      <c r="C63" s="1395" t="str">
        <f>Poeng!E253</f>
        <v>EU taxonomy requirements: criterion 9 and 10</v>
      </c>
      <c r="D63" s="1396"/>
      <c r="E63" s="1396"/>
      <c r="F63" s="1396"/>
      <c r="G63" s="1396"/>
      <c r="H63" s="1396"/>
      <c r="I63" s="1396"/>
      <c r="J63" s="1397" t="str">
        <f>VLOOKUP(A63,Poeng!$B$10:$BT$260,Poeng!$BQ$1,FALSE)</f>
        <v>Yes</v>
      </c>
      <c r="K63" s="1398" t="str">
        <f>VLOOKUP(A63,Poeng!$B$10:$BT$260,Poeng!$AI$1,FALSE)</f>
        <v>Please select</v>
      </c>
    </row>
    <row r="64" spans="1:33" x14ac:dyDescent="0.25">
      <c r="A64" s="1393" t="s">
        <v>1952</v>
      </c>
      <c r="B64" s="1394" t="s">
        <v>129</v>
      </c>
      <c r="C64" s="1395" t="str">
        <f>Poeng!E257</f>
        <v>EU taxonomy requirements: criterion 12</v>
      </c>
      <c r="D64" s="1396"/>
      <c r="E64" s="1396"/>
      <c r="F64" s="1396"/>
      <c r="G64" s="1396"/>
      <c r="H64" s="1396"/>
      <c r="I64" s="1396"/>
      <c r="J64" s="1397" t="str">
        <f>VLOOKUP(A64,Poeng!$B$10:$BT$260,Poeng!$BQ$1,FALSE)</f>
        <v>Yes</v>
      </c>
      <c r="K64" s="1398" t="str">
        <f>VLOOKUP(A64,Poeng!$B$10:$BT$260,Poeng!$AI$1,FALSE)</f>
        <v>Please select</v>
      </c>
    </row>
    <row r="65" spans="1:11" x14ac:dyDescent="0.25">
      <c r="A65" s="1393"/>
      <c r="B65" s="322"/>
      <c r="C65" s="322" t="s">
        <v>1805</v>
      </c>
      <c r="D65" s="342"/>
      <c r="E65" s="342"/>
      <c r="F65" s="342"/>
      <c r="G65" s="342"/>
      <c r="H65" s="342"/>
      <c r="I65" s="342"/>
      <c r="J65" s="342"/>
      <c r="K65" s="342"/>
    </row>
    <row r="66" spans="1:11" x14ac:dyDescent="0.25">
      <c r="A66" s="1393"/>
      <c r="B66" s="897" t="s">
        <v>54</v>
      </c>
      <c r="C66" s="322" t="s">
        <v>1805</v>
      </c>
      <c r="D66" s="342"/>
      <c r="E66" s="342"/>
      <c r="F66" s="342"/>
      <c r="G66" s="342"/>
      <c r="H66" s="342"/>
      <c r="I66" s="342"/>
      <c r="J66" s="342"/>
      <c r="K66" s="342"/>
    </row>
    <row r="67" spans="1:11" x14ac:dyDescent="0.25">
      <c r="A67" s="1393" t="s">
        <v>996</v>
      </c>
      <c r="B67" s="1394" t="s">
        <v>163</v>
      </c>
      <c r="C67" s="1395" t="s">
        <v>1980</v>
      </c>
      <c r="D67" s="1396"/>
      <c r="E67" s="1396"/>
      <c r="F67" s="1396"/>
      <c r="G67" s="1396"/>
      <c r="H67" s="1396"/>
      <c r="I67" s="1396"/>
      <c r="J67" s="1397" t="str">
        <f>VLOOKUP(A67,Poeng!$B$10:$BT$260,Poeng!$BQ$1,FALSE)</f>
        <v>Yes</v>
      </c>
      <c r="K67" s="1398" t="str">
        <f>VLOOKUP(A67,Poeng!$B$10:$BT$260,Poeng!$AI$1,FALSE)</f>
        <v>Please select</v>
      </c>
    </row>
    <row r="68" spans="1:11" x14ac:dyDescent="0.25">
      <c r="A68" s="1393"/>
      <c r="B68" s="322"/>
      <c r="C68" s="322" t="s">
        <v>1805</v>
      </c>
      <c r="D68" s="342"/>
      <c r="E68" s="342"/>
      <c r="F68" s="342"/>
      <c r="G68" s="342"/>
      <c r="H68" s="342"/>
      <c r="I68" s="342"/>
      <c r="J68" s="342"/>
      <c r="K68" s="342"/>
    </row>
    <row r="69" spans="1:11" x14ac:dyDescent="0.25">
      <c r="A69" s="1393"/>
      <c r="B69" s="897" t="s">
        <v>63</v>
      </c>
      <c r="C69" s="322" t="s">
        <v>1805</v>
      </c>
      <c r="D69" s="342"/>
      <c r="E69" s="342"/>
      <c r="F69" s="342"/>
      <c r="G69" s="342"/>
      <c r="H69" s="342"/>
      <c r="I69" s="342"/>
      <c r="J69" s="342"/>
      <c r="K69" s="342"/>
    </row>
    <row r="70" spans="1:11" x14ac:dyDescent="0.25">
      <c r="A70" s="1393" t="s">
        <v>753</v>
      </c>
      <c r="B70" s="1394" t="s">
        <v>457</v>
      </c>
      <c r="C70" s="1395" t="s">
        <v>1807</v>
      </c>
      <c r="D70" s="1396"/>
      <c r="E70" s="1396"/>
      <c r="F70" s="1396"/>
      <c r="G70" s="1396"/>
      <c r="H70" s="1396"/>
      <c r="I70" s="1396"/>
      <c r="J70" s="1397" t="str">
        <f>VLOOKUP(A70,Poeng!$B$10:$BT$260,Poeng!$BQ$1,FALSE)</f>
        <v>Yes</v>
      </c>
      <c r="K70" s="1398" t="str">
        <f>VLOOKUP(A70,Poeng!$B$10:$BT$260,Poeng!$AI$1,FALSE)</f>
        <v>Please select</v>
      </c>
    </row>
    <row r="71" spans="1:11" x14ac:dyDescent="0.25">
      <c r="A71" s="1393" t="s">
        <v>1000</v>
      </c>
      <c r="B71" s="1394" t="s">
        <v>170</v>
      </c>
      <c r="C71" s="1395" t="s">
        <v>2006</v>
      </c>
      <c r="D71" s="1396"/>
      <c r="E71" s="1396"/>
      <c r="F71" s="1396"/>
      <c r="G71" s="1396"/>
      <c r="H71" s="1396"/>
      <c r="I71" s="1396"/>
      <c r="J71" s="1397" t="str">
        <f>VLOOKUP(A71,Poeng!$B$10:$BT$260,Poeng!$BQ$1,FALSE)</f>
        <v>Yes</v>
      </c>
      <c r="K71" s="1398" t="str">
        <f>VLOOKUP(A71,Poeng!$B$10:$BT$260,Poeng!$AI$1,FALSE)</f>
        <v>Please select</v>
      </c>
    </row>
    <row r="72" spans="1:11" x14ac:dyDescent="0.25">
      <c r="A72" s="1393" t="s">
        <v>767</v>
      </c>
      <c r="B72" s="1394" t="s">
        <v>458</v>
      </c>
      <c r="C72" s="1395" t="s">
        <v>2007</v>
      </c>
      <c r="D72" s="1396"/>
      <c r="E72" s="1396"/>
      <c r="F72" s="1396"/>
      <c r="G72" s="1396"/>
      <c r="H72" s="1396"/>
      <c r="I72" s="1396"/>
      <c r="J72" s="1397">
        <f>VLOOKUP(A72,Poeng!$B$10:$BT$260,Poeng!$BQ$1,FALSE)</f>
        <v>1</v>
      </c>
      <c r="K72" s="1398">
        <f>VLOOKUP(A72,Poeng!$B$10:$BT$260,Poeng!$AI$1,FALSE)</f>
        <v>0</v>
      </c>
    </row>
    <row r="73" spans="1:11" x14ac:dyDescent="0.25">
      <c r="A73" s="1393" t="s">
        <v>768</v>
      </c>
      <c r="B73" s="1394" t="s">
        <v>458</v>
      </c>
      <c r="C73" s="1395" t="s">
        <v>2008</v>
      </c>
      <c r="D73" s="1396"/>
      <c r="E73" s="1396"/>
      <c r="F73" s="1396"/>
      <c r="G73" s="1396"/>
      <c r="H73" s="1396"/>
      <c r="I73" s="1396"/>
      <c r="J73" s="1397">
        <f>VLOOKUP(A73,Poeng!$B$10:$BT$260,Poeng!$BQ$1,FALSE)</f>
        <v>1</v>
      </c>
      <c r="K73" s="1398">
        <f>VLOOKUP(A73,Poeng!$B$10:$BT$260,Poeng!$AI$1,FALSE)</f>
        <v>0</v>
      </c>
    </row>
    <row r="74" spans="1:11" x14ac:dyDescent="0.25">
      <c r="A74" s="1393"/>
      <c r="B74" s="322"/>
      <c r="C74" s="322" t="s">
        <v>1805</v>
      </c>
      <c r="D74" s="342"/>
      <c r="E74" s="342"/>
      <c r="F74" s="342"/>
      <c r="G74" s="342"/>
      <c r="H74" s="342"/>
      <c r="I74" s="342"/>
      <c r="J74" s="342"/>
      <c r="K74" s="342"/>
    </row>
    <row r="75" spans="1:11" x14ac:dyDescent="0.25">
      <c r="A75" s="1393"/>
      <c r="B75" s="897" t="s">
        <v>64</v>
      </c>
      <c r="C75" s="322" t="s">
        <v>1805</v>
      </c>
      <c r="D75" s="342"/>
      <c r="E75" s="342"/>
      <c r="F75" s="342"/>
      <c r="G75" s="342"/>
      <c r="H75" s="342"/>
      <c r="I75" s="342"/>
      <c r="J75" s="342"/>
      <c r="K75" s="342"/>
    </row>
    <row r="76" spans="1:11" x14ac:dyDescent="0.25">
      <c r="A76" s="1393" t="s">
        <v>997</v>
      </c>
      <c r="B76" s="1394" t="s">
        <v>171</v>
      </c>
      <c r="C76" s="1395" t="s">
        <v>999</v>
      </c>
      <c r="D76" s="1396"/>
      <c r="E76" s="1396"/>
      <c r="F76" s="1396"/>
      <c r="G76" s="1396"/>
      <c r="H76" s="1396"/>
      <c r="I76" s="1396"/>
      <c r="J76" s="1397" t="str">
        <f>VLOOKUP(A76,Poeng!$B$10:$BT$260,Poeng!$BQ$1,FALSE)</f>
        <v>Yes</v>
      </c>
      <c r="K76" s="1398" t="str">
        <f>VLOOKUP(A76,Poeng!$B$10:$BT$260,Poeng!$AI$1,FALSE)</f>
        <v>Please select</v>
      </c>
    </row>
    <row r="77" spans="1:11" x14ac:dyDescent="0.25">
      <c r="A77" s="1393" t="s">
        <v>957</v>
      </c>
      <c r="B77" s="1394" t="s">
        <v>171</v>
      </c>
      <c r="C77" s="1395" t="s">
        <v>1808</v>
      </c>
      <c r="D77" s="1396"/>
      <c r="E77" s="1396"/>
      <c r="F77" s="1396"/>
      <c r="G77" s="1396"/>
      <c r="H77" s="1396"/>
      <c r="I77" s="1396"/>
      <c r="J77" s="1397" t="str">
        <f>VLOOKUP(A77,Poeng!$B$10:$BT$260,Poeng!$BQ$1,FALSE)</f>
        <v>Yes</v>
      </c>
      <c r="K77" s="1398" t="str">
        <f>VLOOKUP(A77,Poeng!$B$10:$BT$260,Poeng!$AI$1,FALSE)</f>
        <v>No</v>
      </c>
    </row>
    <row r="78" spans="1:11" x14ac:dyDescent="0.25">
      <c r="A78" s="1393"/>
      <c r="B78" s="322"/>
      <c r="C78" s="322" t="s">
        <v>1805</v>
      </c>
      <c r="D78" s="342"/>
      <c r="E78" s="342"/>
      <c r="F78" s="342"/>
      <c r="G78" s="342"/>
      <c r="H78" s="342"/>
      <c r="I78" s="342"/>
      <c r="J78" s="342"/>
      <c r="K78" s="342"/>
    </row>
    <row r="79" spans="1:11" x14ac:dyDescent="0.25">
      <c r="A79" s="1393"/>
      <c r="B79" s="897" t="s">
        <v>65</v>
      </c>
      <c r="C79" s="322" t="s">
        <v>1805</v>
      </c>
      <c r="D79" s="342"/>
      <c r="E79" s="342"/>
      <c r="F79" s="342"/>
      <c r="G79" s="342"/>
      <c r="H79" s="342"/>
      <c r="I79" s="342"/>
      <c r="J79" s="342"/>
      <c r="K79" s="322"/>
    </row>
    <row r="80" spans="1:11" x14ac:dyDescent="0.25">
      <c r="A80" s="1393" t="s">
        <v>958</v>
      </c>
      <c r="B80" s="1394" t="s">
        <v>174</v>
      </c>
      <c r="C80" s="1395" t="s">
        <v>1809</v>
      </c>
      <c r="D80" s="1396"/>
      <c r="E80" s="1396"/>
      <c r="F80" s="1396"/>
      <c r="G80" s="1396"/>
      <c r="H80" s="1396"/>
      <c r="I80" s="1396"/>
      <c r="J80" s="1397" t="str">
        <f>VLOOKUP(A80,Poeng!$B$10:$BT$260,Poeng!$BQ$1,FALSE)</f>
        <v>Yes</v>
      </c>
      <c r="K80" s="1398" t="str">
        <f>VLOOKUP(A80,Poeng!$B$10:$BT$260,Poeng!$AI$1,FALSE)</f>
        <v>No</v>
      </c>
    </row>
    <row r="81" spans="1:11" x14ac:dyDescent="0.25">
      <c r="A81" s="1393" t="s">
        <v>779</v>
      </c>
      <c r="B81" s="1394" t="s">
        <v>175</v>
      </c>
      <c r="C81" s="1395" t="s">
        <v>1810</v>
      </c>
      <c r="D81" s="1396"/>
      <c r="E81" s="1396"/>
      <c r="F81" s="1396"/>
      <c r="G81" s="1396"/>
      <c r="H81" s="1396"/>
      <c r="I81" s="1396"/>
      <c r="J81" s="1397">
        <f>VLOOKUP(A81,Poeng!$B$10:$BT$260,Poeng!$BQ$1,FALSE)</f>
        <v>1</v>
      </c>
      <c r="K81" s="1398">
        <f>VLOOKUP(A81,Poeng!$B$10:$BT$260,Poeng!$AI$1,FALSE)</f>
        <v>0</v>
      </c>
    </row>
    <row r="82" spans="1:11" x14ac:dyDescent="0.25">
      <c r="A82" s="1393" t="s">
        <v>790</v>
      </c>
      <c r="B82" s="1394" t="s">
        <v>178</v>
      </c>
      <c r="C82" s="1395" t="s">
        <v>1811</v>
      </c>
      <c r="D82" s="1396"/>
      <c r="E82" s="1396"/>
      <c r="F82" s="1396"/>
      <c r="G82" s="1396"/>
      <c r="H82" s="1396"/>
      <c r="I82" s="1396"/>
      <c r="J82" s="1397">
        <f>VLOOKUP(A82,Poeng!$B$10:$BT$260,Poeng!$BQ$1,FALSE)</f>
        <v>1</v>
      </c>
      <c r="K82" s="1398">
        <f>VLOOKUP(A82,Poeng!$B$10:$BT$260,Poeng!$AI$1,FALSE)</f>
        <v>0</v>
      </c>
    </row>
    <row r="83" spans="1:11" x14ac:dyDescent="0.25">
      <c r="A83" s="1393"/>
      <c r="B83" s="342"/>
      <c r="C83" s="342"/>
      <c r="D83" s="342"/>
      <c r="E83" s="342"/>
      <c r="F83" s="342"/>
      <c r="G83" s="342"/>
      <c r="H83" s="342"/>
      <c r="I83" s="342"/>
      <c r="J83" s="322"/>
      <c r="K83" s="342"/>
    </row>
    <row r="84" spans="1:11" x14ac:dyDescent="0.25">
      <c r="A84" s="629"/>
      <c r="B84" s="342"/>
      <c r="C84" s="342"/>
      <c r="D84" s="342"/>
      <c r="E84" s="342"/>
      <c r="F84" s="342"/>
      <c r="G84" s="342"/>
      <c r="H84" s="342"/>
      <c r="I84" s="342"/>
      <c r="J84" s="342"/>
      <c r="K84" s="342"/>
    </row>
    <row r="85" spans="1:11" x14ac:dyDescent="0.25">
      <c r="A85" s="629"/>
      <c r="B85" s="342"/>
      <c r="C85" s="342"/>
      <c r="D85" s="342"/>
      <c r="E85" s="342"/>
      <c r="F85" s="342"/>
      <c r="G85" s="342"/>
      <c r="H85" s="342"/>
      <c r="I85" s="342"/>
      <c r="J85" s="342"/>
      <c r="K85" s="342"/>
    </row>
    <row r="86" spans="1:11" x14ac:dyDescent="0.25">
      <c r="A86" s="629"/>
      <c r="B86" s="342"/>
      <c r="C86" s="342"/>
      <c r="D86" s="342"/>
      <c r="E86" s="342"/>
      <c r="F86" s="342"/>
      <c r="G86" s="342"/>
      <c r="H86" s="342"/>
      <c r="I86" s="342"/>
      <c r="J86" s="342"/>
      <c r="K86" s="322"/>
    </row>
    <row r="87" spans="1:11" x14ac:dyDescent="0.25">
      <c r="A87" s="629"/>
      <c r="B87" s="342"/>
      <c r="C87" s="342"/>
      <c r="D87" s="342"/>
      <c r="E87" s="342"/>
      <c r="F87" s="342"/>
      <c r="G87" s="342"/>
      <c r="H87" s="342"/>
      <c r="I87" s="342"/>
      <c r="J87" s="342"/>
      <c r="K87" s="342"/>
    </row>
    <row r="88" spans="1:11" ht="15.75" x14ac:dyDescent="0.25">
      <c r="K88" s="382"/>
    </row>
    <row r="89" spans="1:11" x14ac:dyDescent="0.25">
      <c r="K89" s="322"/>
    </row>
    <row r="90" spans="1:11" x14ac:dyDescent="0.25">
      <c r="K90" s="322"/>
    </row>
    <row r="91" spans="1:11" x14ac:dyDescent="0.25">
      <c r="K91" s="322"/>
    </row>
    <row r="92" spans="1:11" x14ac:dyDescent="0.25">
      <c r="K92" s="322"/>
    </row>
    <row r="93" spans="1:11" x14ac:dyDescent="0.25">
      <c r="K93" s="342"/>
    </row>
    <row r="296" spans="20:22" ht="15.75" thickBot="1" x14ac:dyDescent="0.3"/>
    <row r="297" spans="20:22" x14ac:dyDescent="0.25">
      <c r="T297" s="383" t="str">
        <f t="shared" ref="T297:T306" si="1">B34</f>
        <v>Management</v>
      </c>
      <c r="U297" s="384"/>
      <c r="V297" s="385">
        <f t="shared" ref="V297:V306" si="2">F34</f>
        <v>0.13</v>
      </c>
    </row>
    <row r="298" spans="20:22" x14ac:dyDescent="0.25">
      <c r="T298" s="386" t="str">
        <f t="shared" si="1"/>
        <v>Health &amp; Wellbeing</v>
      </c>
      <c r="U298" s="387"/>
      <c r="V298" s="388">
        <f t="shared" si="2"/>
        <v>0.16</v>
      </c>
    </row>
    <row r="299" spans="20:22" x14ac:dyDescent="0.25">
      <c r="T299" s="386" t="str">
        <f t="shared" si="1"/>
        <v>Energy</v>
      </c>
      <c r="U299" s="387"/>
      <c r="V299" s="388">
        <f t="shared" si="2"/>
        <v>0.14000000000000001</v>
      </c>
    </row>
    <row r="300" spans="20:22" x14ac:dyDescent="0.25">
      <c r="T300" s="386" t="str">
        <f t="shared" si="1"/>
        <v>Transport</v>
      </c>
      <c r="U300" s="387"/>
      <c r="V300" s="388">
        <f t="shared" si="2"/>
        <v>0.1</v>
      </c>
    </row>
    <row r="301" spans="20:22" x14ac:dyDescent="0.25">
      <c r="T301" s="386" t="str">
        <f t="shared" si="1"/>
        <v>Water</v>
      </c>
      <c r="U301" s="387"/>
      <c r="V301" s="388">
        <f t="shared" si="2"/>
        <v>0.04</v>
      </c>
    </row>
    <row r="302" spans="20:22" x14ac:dyDescent="0.25">
      <c r="T302" s="386" t="str">
        <f t="shared" si="1"/>
        <v>Materials</v>
      </c>
      <c r="U302" s="387"/>
      <c r="V302" s="388">
        <f t="shared" si="2"/>
        <v>0.17</v>
      </c>
    </row>
    <row r="303" spans="20:22" x14ac:dyDescent="0.25">
      <c r="T303" s="386" t="str">
        <f t="shared" si="1"/>
        <v>Waste</v>
      </c>
      <c r="U303" s="387"/>
      <c r="V303" s="388">
        <f t="shared" si="2"/>
        <v>7.0000000000000007E-2</v>
      </c>
    </row>
    <row r="304" spans="20:22" x14ac:dyDescent="0.25">
      <c r="T304" s="386" t="str">
        <f t="shared" si="1"/>
        <v>Land Use &amp; Ecology</v>
      </c>
      <c r="U304" s="387"/>
      <c r="V304" s="388">
        <f t="shared" si="2"/>
        <v>0.15</v>
      </c>
    </row>
    <row r="305" spans="20:22" x14ac:dyDescent="0.25">
      <c r="T305" s="386" t="str">
        <f t="shared" si="1"/>
        <v>Pollution</v>
      </c>
      <c r="U305" s="387"/>
      <c r="V305" s="388">
        <f t="shared" si="2"/>
        <v>0.04</v>
      </c>
    </row>
    <row r="306" spans="20:22" ht="15.75" thickBot="1" x14ac:dyDescent="0.3">
      <c r="T306" s="389" t="str">
        <f t="shared" si="1"/>
        <v>Innovation</v>
      </c>
      <c r="U306" s="390"/>
      <c r="V306" s="391">
        <f t="shared" si="2"/>
        <v>0.1</v>
      </c>
    </row>
  </sheetData>
  <sheetProtection algorithmName="SHA-512" hashValue="Dk6gFVt+3kqt75WPq22K0coJ5wfYONGMD2UH/8tOtvKHL18ii1puiUmVvKsP8vLdnkSn12nVxR5VOjcWDdieOg==" saltValue="DLu3ko/CppC3/3fIPT/RDA==" spinCount="100000" sheet="1" objects="1" scenarios="1"/>
  <mergeCells count="7">
    <mergeCell ref="AD18:AE18"/>
    <mergeCell ref="AD19:AE19"/>
    <mergeCell ref="Z8:AN11"/>
    <mergeCell ref="D8:E8"/>
    <mergeCell ref="D9:E9"/>
    <mergeCell ref="D11:E11"/>
    <mergeCell ref="D10:E10"/>
  </mergeCells>
  <conditionalFormatting sqref="L34:L46">
    <cfRule type="expression" dxfId="2148" priority="25">
      <formula>#REF!=AD_no</formula>
    </cfRule>
  </conditionalFormatting>
  <conditionalFormatting sqref="L47">
    <cfRule type="expression" dxfId="2147" priority="21">
      <formula>#REF!=AD_no</formula>
    </cfRule>
  </conditionalFormatting>
  <conditionalFormatting sqref="M47">
    <cfRule type="expression" dxfId="2146" priority="20">
      <formula>#REF!=AD_no</formula>
    </cfRule>
  </conditionalFormatting>
  <conditionalFormatting sqref="K55:K57 K60 K63:K64 K67 K70:K73 K76:K77 K80:K82">
    <cfRule type="expression" dxfId="2145" priority="19">
      <formula>$J55&lt;&gt;K55</formula>
    </cfRule>
  </conditionalFormatting>
  <conditionalFormatting sqref="K55:K82">
    <cfRule type="expression" dxfId="2144" priority="18">
      <formula>K55&gt;J55</formula>
    </cfRule>
  </conditionalFormatting>
  <conditionalFormatting sqref="D8:E9 D11:E11 D10">
    <cfRule type="expression" dxfId="2143" priority="7620">
      <formula>$AD$19=$AA$35</formula>
    </cfRule>
  </conditionalFormatting>
  <conditionalFormatting sqref="K80:K82 K55:K57 K60 K63:K64 K67 K70:K73 K76:K77">
    <cfRule type="expression" dxfId="2142" priority="7623">
      <formula>$AD$19=AD_no</formula>
    </cfRule>
  </conditionalFormatting>
  <conditionalFormatting sqref="J53:K53">
    <cfRule type="expression" dxfId="2141" priority="7625">
      <formula>$AD$19=$AA$35</formula>
    </cfRule>
  </conditionalFormatting>
  <dataValidations disablePrompts="1" count="1">
    <dataValidation type="list" allowBlank="1" showInputMessage="1" showErrorMessage="1" sqref="AD19" xr:uid="{00000000-0002-0000-0500-000000000000}">
      <formula1>$AA$34:$AA$35</formula1>
    </dataValidation>
  </dataValidations>
  <pageMargins left="0.51181102362204722" right="0.51181102362204722" top="0.35433070866141736" bottom="0.35433070866141736" header="0.31496062992125984" footer="0.31496062992125984"/>
  <pageSetup paperSize="9" scale="68" orientation="landscape" verticalDpi="598"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22721f6-e2f8-488b-9ac5-46a997f2e572">YN7JUPD3VCY5-508347118-51</_dlc_DocId>
    <_dlc_DocIdUrl xmlns="122721f6-e2f8-488b-9ac5-46a997f2e572">
      <Url>https://asplanviak.sharepoint.com/sites/bikube-605893-02/_layouts/15/DocIdRedir.aspx?ID=YN7JUPD3VCY5-508347118-51</Url>
      <Description>YN7JUPD3VCY5-508347118-51</Description>
    </_dlc_DocIdUrl>
    <Revisjon xmlns="122721f6-e2f8-488b-9ac5-46a997f2e572" xsi:nil="true"/>
    <Dokumenttema xmlns="122721f6-e2f8-488b-9ac5-46a997f2e572" xsi:nil="true"/>
    <RevisjonsDato xmlns="122721f6-e2f8-488b-9ac5-46a997f2e572" xsi:nil="true"/>
    <Oppdragsnummer xmlns="122721f6-e2f8-488b-9ac5-46a997f2e572">605893-02</Oppdragsnummer>
    <Platform xmlns="48efb245-ae54-4772-a1af-bb286ef234ff">BikubeOnline</Platform>
    <ChannelName xmlns="122721f6-e2f8-488b-9ac5-46a997f2e572">General</ChannelName>
    <TaxCatchAll xmlns="122721f6-e2f8-488b-9ac5-46a997f2e572" xsi:nil="true"/>
    <lcf76f155ced4ddcb4097134ff3c332f xmlns="48efb245-ae54-4772-a1af-bb286ef234ff">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Oppdragsdokument" ma:contentTypeID="0x010100C54C118FDBDA9A439AF17BB392DA94370016CCCF76548A65438D889F3DEC9C622F" ma:contentTypeVersion="14" ma:contentTypeDescription="Opprett et nytt dokument." ma:contentTypeScope="" ma:versionID="eb4e5887e9ffb8f9ced6750753f49c77">
  <xsd:schema xmlns:xsd="http://www.w3.org/2001/XMLSchema" xmlns:xs="http://www.w3.org/2001/XMLSchema" xmlns:p="http://schemas.microsoft.com/office/2006/metadata/properties" xmlns:ns2="122721f6-e2f8-488b-9ac5-46a997f2e572" xmlns:ns3="48efb245-ae54-4772-a1af-bb286ef234ff" targetNamespace="http://schemas.microsoft.com/office/2006/metadata/properties" ma:root="true" ma:fieldsID="e19a77c5101d9dd96c024283eb299573" ns2:_="" ns3:_="">
    <xsd:import namespace="122721f6-e2f8-488b-9ac5-46a997f2e572"/>
    <xsd:import namespace="48efb245-ae54-4772-a1af-bb286ef234ff"/>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2:TaxCatchAll" minOccurs="0"/>
                <xsd:element ref="ns3:MediaServiceDateTaken"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721f6-e2f8-488b-9ac5-46a997f2e572"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430f6956-ce86-4a81-a638-87a12e244fa6}"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element name="TaxCatchAll" ma:index="19" nillable="true" ma:displayName="Taxonomy Catch All Column" ma:hidden="true" ma:list="{6db1c071-b0d4-45eb-8b7c-399d93c434ff}" ma:internalName="TaxCatchAll" ma:showField="CatchAllData" ma:web="122721f6-e2f8-488b-9ac5-46a997f2e5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efb245-ae54-4772-a1af-bb286ef234ff"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ildemerkelapper" ma:readOnly="false" ma:fieldId="{5cf76f15-5ced-4ddc-b409-7134ff3c332f}" ma:taxonomyMulti="true" ma:sspId="ff417184-344c-4d90-ae70-67c9b7a9bf3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68772-2ABF-4F37-8594-F905212249AD}">
  <ds:schemaRefs>
    <ds:schemaRef ds:uri="http://www.w3.org/XML/1998/namespace"/>
    <ds:schemaRef ds:uri="http://schemas.microsoft.com/office/infopath/2007/PartnerControls"/>
    <ds:schemaRef ds:uri="8f686a36-9368-4dda-9e9f-a86bde0d326a"/>
    <ds:schemaRef ds:uri="http://schemas.microsoft.com/office/2006/metadata/properties"/>
    <ds:schemaRef ds:uri="http://purl.org/dc/dcmitype/"/>
    <ds:schemaRef ds:uri="http://purl.org/dc/terms/"/>
    <ds:schemaRef ds:uri="http://schemas.openxmlformats.org/package/2006/metadata/core-properties"/>
    <ds:schemaRef ds:uri="94fc5000-3977-4bb9-85fe-95b8458bb4bf"/>
    <ds:schemaRef ds:uri="http://schemas.microsoft.com/office/2006/documentManagement/types"/>
    <ds:schemaRef ds:uri="http://purl.org/dc/elements/1.1/"/>
    <ds:schemaRef ds:uri="122721f6-e2f8-488b-9ac5-46a997f2e572"/>
    <ds:schemaRef ds:uri="48efb245-ae54-4772-a1af-bb286ef234ff"/>
  </ds:schemaRefs>
</ds:datastoreItem>
</file>

<file path=customXml/itemProps2.xml><?xml version="1.0" encoding="utf-8"?>
<ds:datastoreItem xmlns:ds="http://schemas.openxmlformats.org/officeDocument/2006/customXml" ds:itemID="{5D84A1EE-6D60-446C-AAE5-0EA32A30EE5D}">
  <ds:schemaRefs>
    <ds:schemaRef ds:uri="http://schemas.microsoft.com/sharepoint/events"/>
  </ds:schemaRefs>
</ds:datastoreItem>
</file>

<file path=customXml/itemProps3.xml><?xml version="1.0" encoding="utf-8"?>
<ds:datastoreItem xmlns:ds="http://schemas.openxmlformats.org/officeDocument/2006/customXml" ds:itemID="{BEA06E54-712E-4CB4-9396-E06C30DAB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721f6-e2f8-488b-9ac5-46a997f2e572"/>
    <ds:schemaRef ds:uri="48efb245-ae54-4772-a1af-bb286ef2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D2125B-24D9-472D-B56D-38274035C0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1007</vt:i4>
      </vt:variant>
    </vt:vector>
  </HeadingPairs>
  <TitlesOfParts>
    <vt:vector size="1022" baseType="lpstr">
      <vt:lpstr>Instructions</vt:lpstr>
      <vt:lpstr>Assessment Details</vt:lpstr>
      <vt:lpstr>Options</vt:lpstr>
      <vt:lpstr>Assessment Issue Scoring</vt:lpstr>
      <vt:lpstr>KPIs</vt:lpstr>
      <vt:lpstr>Poeng</vt:lpstr>
      <vt:lpstr>Pre-Assessment Estimator</vt:lpstr>
      <vt:lpstr>Manuell filtrering og justering</vt:lpstr>
      <vt:lpstr>Assessment Rating</vt:lpstr>
      <vt:lpstr>Assessment References</vt:lpstr>
      <vt:lpstr>Version Control</vt:lpstr>
      <vt:lpstr>Sheet1</vt:lpstr>
      <vt:lpstr>Sheet2</vt:lpstr>
      <vt:lpstr>Sheet3</vt:lpstr>
      <vt:lpstr>Logg</vt:lpstr>
      <vt:lpstr>_Man01</vt:lpstr>
      <vt:lpstr>_PSc1</vt:lpstr>
      <vt:lpstr>Achieved_const</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AD_catlevel01</vt:lpstr>
      <vt:lpstr>AD_catlevel02</vt:lpstr>
      <vt:lpstr>AD_catlevel03</vt:lpstr>
      <vt:lpstr>AD_client</vt:lpstr>
      <vt:lpstr>AD_Contractor</vt:lpstr>
      <vt:lpstr>AD_Developer</vt:lpstr>
      <vt:lpstr>AD_Energyload</vt:lpstr>
      <vt:lpstr>AD_GIA</vt:lpstr>
      <vt:lpstr>AD_heat</vt:lpstr>
      <vt:lpstr>AD_labcat_list</vt:lpstr>
      <vt:lpstr>AD_Labsize</vt:lpstr>
      <vt:lpstr>AD_Labsize_list</vt:lpstr>
      <vt:lpstr>AD_Labsize01</vt:lpstr>
      <vt:lpstr>AD_Labsize02</vt:lpstr>
      <vt:lpstr>AD_Labsize03</vt:lpstr>
      <vt:lpstr>AD_labsize04</vt:lpstr>
      <vt:lpstr>AD_MultiRes_option01a</vt:lpstr>
      <vt:lpstr>AD_MultiRes_option01b</vt:lpstr>
      <vt:lpstr>AD_Multitenant</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AD_stage_list</vt:lpstr>
      <vt:lpstr>AD_Statement04</vt:lpstr>
      <vt:lpstr>AD_statement05</vt:lpstr>
      <vt:lpstr>AD_statement06</vt:lpstr>
      <vt:lpstr>AD_tra01type</vt:lpstr>
      <vt:lpstr>AD_Trans</vt:lpstr>
      <vt:lpstr>AD_type_list</vt:lpstr>
      <vt:lpstr>AD_version</vt:lpstr>
      <vt:lpstr>AD_Yes</vt:lpstr>
      <vt:lpstr>AD_YesNo</vt:lpstr>
      <vt:lpstr>AD_YesNo_list</vt:lpstr>
      <vt:lpstr>ADAS0</vt:lpstr>
      <vt:lpstr>ADAS01</vt:lpstr>
      <vt:lpstr>ADAS02</vt:lpstr>
      <vt:lpstr>ADBN</vt:lpstr>
      <vt:lpstr>'Assessment References'!ADBN_SR</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ADBT13</vt:lpstr>
      <vt:lpstr>ADBT14</vt:lpstr>
      <vt:lpstr>ADBT15</vt:lpstr>
      <vt:lpstr>ADBT16</vt:lpstr>
      <vt:lpstr>ADBT17</vt:lpstr>
      <vt:lpstr>ADBT18</vt:lpstr>
      <vt:lpstr>ADBT19</vt:lpstr>
      <vt:lpstr>ADBT2</vt:lpstr>
      <vt:lpstr>ADBT20</vt:lpstr>
      <vt:lpstr>ADBT3</vt:lpstr>
      <vt:lpstr>ADBT8</vt:lpstr>
      <vt:lpstr>ADBT9</vt:lpstr>
      <vt:lpstr>ADFume_option01</vt:lpstr>
      <vt:lpstr>ADIND_option02</vt:lpstr>
      <vt:lpstr>ADIND_option02n</vt:lpstr>
      <vt:lpstr>ADIND_option03</vt:lpstr>
      <vt:lpstr>ADPT</vt:lpstr>
      <vt:lpstr>ADPT01</vt:lpstr>
      <vt:lpstr>ADPT02</vt:lpstr>
      <vt:lpstr>ADPT03</vt:lpstr>
      <vt:lpstr>ADPT04</vt:lpstr>
      <vt:lpstr>AIS_construction</vt:lpstr>
      <vt:lpstr>AIS_credit00</vt:lpstr>
      <vt:lpstr>AIS_credit01</vt:lpstr>
      <vt:lpstr>AIS_credit02</vt:lpstr>
      <vt:lpstr>AIS_Error</vt:lpstr>
      <vt:lpstr>ais_ja</vt:lpstr>
      <vt:lpstr>AIS_measured</vt:lpstr>
      <vt:lpstr>AIS_Missing_data</vt:lpstr>
      <vt:lpstr>AIS_Modelled</vt:lpstr>
      <vt:lpstr>Options!AIS_NA</vt:lpstr>
      <vt:lpstr>AIS_NA</vt:lpstr>
      <vt:lpstr>ais_nei</vt:lpstr>
      <vt:lpstr>AIS_No</vt:lpstr>
      <vt:lpstr>Options!AIS_No_old</vt:lpstr>
      <vt:lpstr>AIS_option00a</vt:lpstr>
      <vt:lpstr>AIS_option00b</vt:lpstr>
      <vt:lpstr>Options!AIS_option01</vt:lpstr>
      <vt:lpstr>AIS_option01a</vt:lpstr>
      <vt:lpstr>AIS_option01b</vt:lpstr>
      <vt:lpstr>AIS_option02</vt:lpstr>
      <vt:lpstr>Options!AIS_option02_50</vt:lpstr>
      <vt:lpstr>Options!AIS_option02a</vt:lpstr>
      <vt:lpstr>Options!AIS_option03</vt:lpstr>
      <vt:lpstr>AIS_option03a</vt:lpstr>
      <vt:lpstr>AIS_option03b</vt:lpstr>
      <vt:lpstr>AIS_option04</vt:lpstr>
      <vt:lpstr>AIS_option04a</vt:lpstr>
      <vt:lpstr>AIS_option04b</vt:lpstr>
      <vt:lpstr>AIS_option05</vt:lpstr>
      <vt:lpstr>AIS_option05a</vt:lpstr>
      <vt:lpstr>AIS_option05b</vt:lpstr>
      <vt:lpstr>AIS_PS</vt:lpstr>
      <vt:lpstr>AIS_Shell_option01</vt:lpstr>
      <vt:lpstr>AIS_shell_option02</vt:lpstr>
      <vt:lpstr>AIS_shell_option03</vt:lpstr>
      <vt:lpstr>AIS_statement01</vt:lpstr>
      <vt:lpstr>AIS_statement02</vt:lpstr>
      <vt:lpstr>AIS_statement03</vt:lpstr>
      <vt:lpstr>AIS_statement04</vt:lpstr>
      <vt:lpstr>AIS_statement05</vt:lpstr>
      <vt:lpstr>AIS_statement06</vt:lpstr>
      <vt:lpstr>AIS_statement07</vt:lpstr>
      <vt:lpstr>AIS_statement08</vt:lpstr>
      <vt:lpstr>AIS_statement10</vt:lpstr>
      <vt:lpstr>AIS_statement100</vt:lpstr>
      <vt:lpstr>AIS_Statement101</vt:lpstr>
      <vt:lpstr>AIS_Statement102</vt:lpstr>
      <vt:lpstr>AIS_Statement103</vt:lpstr>
      <vt:lpstr>AIS_Statement104</vt:lpstr>
      <vt:lpstr>AIS_Statement105</vt:lpstr>
      <vt:lpstr>AIS_Statement106</vt:lpstr>
      <vt:lpstr>AIS_statement107</vt:lpstr>
      <vt:lpstr>AIS_statement108</vt:lpstr>
      <vt:lpstr>AIS_statement109</vt:lpstr>
      <vt:lpstr>AIS_statement11</vt:lpstr>
      <vt:lpstr>Options!AIS_statement110</vt:lpstr>
      <vt:lpstr>AIS_statement12</vt:lpstr>
      <vt:lpstr>AIS_statement15</vt:lpstr>
      <vt:lpstr>AIS_statement16</vt:lpstr>
      <vt:lpstr>AIS_statement17</vt:lpstr>
      <vt:lpstr>AIS_statement18</vt:lpstr>
      <vt:lpstr>AIS_statement19</vt:lpstr>
      <vt:lpstr>AIS_statement20</vt:lpstr>
      <vt:lpstr>AIS_statement20b</vt:lpstr>
      <vt:lpstr>AIS_statement22</vt:lpstr>
      <vt:lpstr>AIS_statement24</vt:lpstr>
      <vt:lpstr>AIS_statement25</vt:lpstr>
      <vt:lpstr>AIS_statement26</vt:lpstr>
      <vt:lpstr>AIS_statement27</vt:lpstr>
      <vt:lpstr>AIS_statement28</vt:lpstr>
      <vt:lpstr>AIS_statement29</vt:lpstr>
      <vt:lpstr>AIS_statement30</vt:lpstr>
      <vt:lpstr>AIS_statement31</vt:lpstr>
      <vt:lpstr>AIS_statement32</vt:lpstr>
      <vt:lpstr>AIS_statement33</vt:lpstr>
      <vt:lpstr>Options!AIS_statement34</vt:lpstr>
      <vt:lpstr>AIS_statement35</vt:lpstr>
      <vt:lpstr>Options!AIS_statement36</vt:lpstr>
      <vt:lpstr>AIS_statement37</vt:lpstr>
      <vt:lpstr>AIS_statement38</vt:lpstr>
      <vt:lpstr>AIS_statement39</vt:lpstr>
      <vt:lpstr>AIS_statement40</vt:lpstr>
      <vt:lpstr>AIS_statement41</vt:lpstr>
      <vt:lpstr>AIS_statement42</vt:lpstr>
      <vt:lpstr>AIS_statement43</vt:lpstr>
      <vt:lpstr>AIS_statement44</vt:lpstr>
      <vt:lpstr>AIS_statement45</vt:lpstr>
      <vt:lpstr>AIS_statement46</vt:lpstr>
      <vt:lpstr>AIS_statement47</vt:lpstr>
      <vt:lpstr>AIS_statement48</vt:lpstr>
      <vt:lpstr>AIS_statement49</vt:lpstr>
      <vt:lpstr>AIS_statement50</vt:lpstr>
      <vt:lpstr>AIS_statement51</vt:lpstr>
      <vt:lpstr>AIS_statement52</vt:lpstr>
      <vt:lpstr>AIS_statement53</vt:lpstr>
      <vt:lpstr>AIS_statement54</vt:lpstr>
      <vt:lpstr>AIS_statement55</vt:lpstr>
      <vt:lpstr>AIS_statement56</vt:lpstr>
      <vt:lpstr>AIS_statement57</vt:lpstr>
      <vt:lpstr>AIS_statement58</vt:lpstr>
      <vt:lpstr>AIS_statement59</vt:lpstr>
      <vt:lpstr>Options!AIS_statement60</vt:lpstr>
      <vt:lpstr>AIS_statement61</vt:lpstr>
      <vt:lpstr>AIS_statement62</vt:lpstr>
      <vt:lpstr>AIS_statement63</vt:lpstr>
      <vt:lpstr>AIS_statement64</vt:lpstr>
      <vt:lpstr>Options!AIS_statement65</vt:lpstr>
      <vt:lpstr>Options!AIS_statement66</vt:lpstr>
      <vt:lpstr>AIS_statement67</vt:lpstr>
      <vt:lpstr>AIS_statement68</vt:lpstr>
      <vt:lpstr>AIS_statement69</vt:lpstr>
      <vt:lpstr>AIS_statement70</vt:lpstr>
      <vt:lpstr>AIS_statement71</vt:lpstr>
      <vt:lpstr>AIS_statement72</vt:lpstr>
      <vt:lpstr>AIS_statement73</vt:lpstr>
      <vt:lpstr>AIS_statement74</vt:lpstr>
      <vt:lpstr>AIS_statement75</vt:lpstr>
      <vt:lpstr>AIS_statement76</vt:lpstr>
      <vt:lpstr>AIS_statement77</vt:lpstr>
      <vt:lpstr>AIS_statement78</vt:lpstr>
      <vt:lpstr>AIS_statement79</vt:lpstr>
      <vt:lpstr>AIS_statement80</vt:lpstr>
      <vt:lpstr>AIS_Statement81</vt:lpstr>
      <vt:lpstr>AIS_statement82</vt:lpstr>
      <vt:lpstr>AIS_statement83</vt:lpstr>
      <vt:lpstr>AIS_statement84</vt:lpstr>
      <vt:lpstr>AIS_statement85</vt:lpstr>
      <vt:lpstr>AIS_statement86</vt:lpstr>
      <vt:lpstr>AIS_statement87</vt:lpstr>
      <vt:lpstr>AIS_Statement88</vt:lpstr>
      <vt:lpstr>AIS_Statement89</vt:lpstr>
      <vt:lpstr>AIS_statement90</vt:lpstr>
      <vt:lpstr>AIS_statement91</vt:lpstr>
      <vt:lpstr>AIS_statement92</vt:lpstr>
      <vt:lpstr>AIS_statement93</vt:lpstr>
      <vt:lpstr>AIS_statement94</vt:lpstr>
      <vt:lpstr>AIS_Statement95</vt:lpstr>
      <vt:lpstr>AIS_statement96</vt:lpstr>
      <vt:lpstr>AIS_statement97</vt:lpstr>
      <vt:lpstr>AIS_statement98</vt:lpstr>
      <vt:lpstr>AIS_statement99</vt:lpstr>
      <vt:lpstr>AIS_target</vt:lpstr>
      <vt:lpstr>AIS_use</vt:lpstr>
      <vt:lpstr>AIS_Yes</vt:lpstr>
      <vt:lpstr>Options!AIS_Yes_old</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BP_Trans_score</vt:lpstr>
      <vt:lpstr>BP_Waste_Score</vt:lpstr>
      <vt:lpstr>BP_Water_score</vt:lpstr>
      <vt:lpstr>BRK_Banner</vt:lpstr>
      <vt:lpstr>ELI</vt:lpstr>
      <vt:lpstr>ENE</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Ene_Weight</vt:lpstr>
      <vt:lpstr>Ene01_27</vt:lpstr>
      <vt:lpstr>Ene01_28</vt:lpstr>
      <vt:lpstr>Ene01_41</vt:lpstr>
      <vt:lpstr>Ene01_42</vt:lpstr>
      <vt:lpstr>Ene01_credits</vt:lpstr>
      <vt:lpstr>Ene01_Crit1</vt:lpstr>
      <vt:lpstr>Ene01_Crit1_credits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Hea01_minstd</vt:lpstr>
      <vt:lpstr>Hea01_user</vt:lpstr>
      <vt:lpstr>Hea02_25</vt:lpstr>
      <vt:lpstr>Hea02_26</vt:lpstr>
      <vt:lpstr>Hea02_credits</vt:lpstr>
      <vt:lpstr>Hea02_Crit1</vt:lpstr>
      <vt:lpstr>Hea02_Crit1_cont</vt:lpstr>
      <vt:lpstr>Hea02_Crit1_credits</vt:lpstr>
      <vt:lpstr>Hea02_minst_crit</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HUG</vt:lpstr>
      <vt:lpstr>HW_c_user</vt:lpstr>
      <vt:lpstr>HW_d_user</vt:lpstr>
      <vt:lpstr>HW_tot_user</vt:lpstr>
      <vt:lpstr>Inn_01</vt:lpstr>
      <vt:lpstr>Inn_02</vt:lpstr>
      <vt:lpstr>Inn_03</vt:lpstr>
      <vt:lpstr>Inn_04</vt:lpstr>
      <vt:lpstr>Inn_05</vt:lpstr>
      <vt:lpstr>Inn_06</vt:lpstr>
      <vt:lpstr>Inn_07</vt:lpstr>
      <vt:lpstr>Inn_08</vt:lpstr>
      <vt:lpstr>Inn_09</vt:lpstr>
      <vt:lpstr>Inn_10</vt:lpstr>
      <vt:lpstr>Inn_11</vt:lpstr>
      <vt:lpstr>Inn_12</vt:lpstr>
      <vt:lpstr>Inn_13</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Inn10_cont</vt:lpstr>
      <vt:lpstr>Inn10_credits</vt:lpstr>
      <vt:lpstr>Inn10_minstd</vt:lpstr>
      <vt:lpstr>Inn10_user</vt:lpstr>
      <vt:lpstr>Inn11_cont</vt:lpstr>
      <vt:lpstr>Inn11_credits</vt:lpstr>
      <vt:lpstr>Inn11_minstd</vt:lpstr>
      <vt:lpstr>Inn11_user</vt:lpstr>
      <vt:lpstr>Inn12_cont</vt:lpstr>
      <vt:lpstr>Inn12_credits</vt:lpstr>
      <vt:lpstr>Inn12_minstd</vt:lpstr>
      <vt:lpstr>Inn12_user</vt:lpstr>
      <vt:lpstr>Inn13_cont</vt:lpstr>
      <vt:lpstr>Inn13_credits</vt:lpstr>
      <vt:lpstr>Inn13_minstd</vt:lpstr>
      <vt:lpstr>Inn13_user</vt:lpstr>
      <vt:lpstr>Inn14_credits</vt:lpstr>
      <vt:lpstr>Inn14_user</vt:lpstr>
      <vt:lpstr>janei</vt:lpstr>
      <vt:lpstr>KPI_01</vt:lpstr>
      <vt:lpstr>KPI_02</vt:lpstr>
      <vt:lpstr>KPI_06</vt:lpstr>
      <vt:lpstr>KPI_10</vt:lpstr>
      <vt:lpstr>KPI_12</vt:lpstr>
      <vt:lpstr>KPI_13</vt:lpstr>
      <vt:lpstr>KPI_18</vt:lpstr>
      <vt:lpstr>KPI_19</vt:lpstr>
      <vt:lpstr>KPI_20</vt:lpstr>
      <vt:lpstr>KPI_21</vt:lpstr>
      <vt:lpstr>KPI_22</vt:lpstr>
      <vt:lpstr>KPI_23</vt:lpstr>
      <vt:lpstr>KPI_24</vt:lpstr>
      <vt:lpstr>KPI_25</vt:lpstr>
      <vt:lpstr>KPI_26</vt:lpstr>
      <vt:lpstr>KPI_27</vt:lpstr>
      <vt:lpstr>KPI_27a</vt:lpstr>
      <vt:lpstr>KPI_30</vt:lpstr>
      <vt:lpstr>KPI_31</vt:lpstr>
      <vt:lpstr>KPI_32</vt:lpstr>
      <vt:lpstr>KPI_33</vt:lpstr>
      <vt:lpstr>KPI_33a</vt:lpstr>
      <vt:lpstr>KPI_33b</vt:lpstr>
      <vt:lpstr>KPI_34</vt:lpstr>
      <vt:lpstr>KPI_34a</vt:lpstr>
      <vt:lpstr>KPI_35</vt:lpstr>
      <vt:lpstr>KPI_36</vt:lpstr>
      <vt:lpstr>KPI_37</vt:lpstr>
      <vt:lpstr>KPI_ny_01</vt:lpstr>
      <vt:lpstr>KPI_ny_02</vt:lpstr>
      <vt:lpstr>KPI_ny_03</vt:lpstr>
      <vt:lpstr>KPI_ny_04</vt:lpstr>
      <vt:lpstr>KPI_ny_05</vt:lpstr>
      <vt:lpstr>KPI_ny_06</vt:lpstr>
      <vt:lpstr>KPI_ny_08</vt:lpstr>
      <vt:lpstr>KPI_ny_09</vt:lpstr>
      <vt:lpstr>KPI_ny_10</vt:lpstr>
      <vt:lpstr>KPI_ny_12</vt:lpstr>
      <vt:lpstr>KPI_ny_13</vt:lpstr>
      <vt:lpstr>KPI_ny_14</vt:lpstr>
      <vt:lpstr>KPI_ny_15</vt:lpstr>
      <vt:lpstr>KPI_ny_16</vt:lpstr>
      <vt:lpstr>KPI_ny_17</vt:lpstr>
      <vt:lpstr>KPI_ny_18</vt:lpstr>
      <vt:lpstr>KPI_ny_19</vt:lpstr>
      <vt:lpstr>KPI_ny_20</vt:lpstr>
      <vt:lpstr>KPI_ny_21</vt:lpstr>
      <vt:lpstr>KPI_ny_22</vt:lpstr>
      <vt:lpstr>KPI_ny_23</vt:lpstr>
      <vt:lpstr>KPI_ny_24</vt:lpstr>
      <vt:lpstr>KPI_ny_25</vt:lpstr>
      <vt:lpstr>KPI_ny_26</vt:lpstr>
      <vt:lpstr>KPI_ny_27</vt:lpstr>
      <vt:lpstr>KPI_ny_28</vt:lpstr>
      <vt:lpstr>KPI_ny_29</vt:lpstr>
      <vt:lpstr>KPI_ny_30</vt:lpstr>
      <vt:lpstr>KPI_ny_31</vt:lpstr>
      <vt:lpstr>KPI_ny_32</vt:lpstr>
      <vt:lpstr>KPI_ny_33</vt:lpstr>
      <vt:lpstr>KPI_ny_34</vt:lpstr>
      <vt:lpstr>KPI_ny_35</vt:lpstr>
      <vt:lpstr>KPI_ny_36</vt:lpstr>
      <vt:lpstr>KPI_ny_37</vt:lpstr>
      <vt:lpstr>KPI_ny_38</vt:lpstr>
      <vt:lpstr>KPI_ny_39</vt:lpstr>
      <vt:lpstr>KPI_ny_40</vt:lpstr>
      <vt:lpstr>KPI_ny_41</vt:lpstr>
      <vt:lpstr>KPI_ny_42</vt:lpstr>
      <vt:lpstr>KPI_ny_43</vt:lpstr>
      <vt:lpstr>KPI_ny_44</vt:lpstr>
      <vt:lpstr>KPI_ny_45</vt:lpstr>
      <vt:lpstr>KPI_ny_46</vt:lpstr>
      <vt:lpstr>KPI_ny_47</vt:lpstr>
      <vt:lpstr>KPI_ny_48</vt:lpstr>
      <vt:lpstr>KPI_ny_49</vt:lpstr>
      <vt:lpstr>KPI_ny_50</vt:lpstr>
      <vt:lpstr>KPI_ny_51</vt:lpstr>
      <vt:lpstr>KPI_ny_52</vt:lpstr>
      <vt:lpstr>KPI_ny_53</vt:lpstr>
      <vt:lpstr>KPI_ny_54</vt:lpstr>
      <vt:lpstr>KPI_ny_55</vt:lpstr>
      <vt:lpstr>KPI_ny_56</vt:lpstr>
      <vt:lpstr>KPI_ny_57</vt:lpstr>
      <vt:lpstr>KPI_ny_58</vt:lpstr>
      <vt:lpstr>KPI_ny_59</vt:lpstr>
      <vt:lpstr>KPI_ny_60</vt:lpstr>
      <vt:lpstr>KPI_ny_61</vt:lpstr>
      <vt:lpstr>KPI_ny_62</vt:lpstr>
      <vt:lpstr>KPI_ny_63</vt:lpstr>
      <vt:lpstr>KPI_ny_64</vt:lpstr>
      <vt:lpstr>KPI_ny_65</vt:lpstr>
      <vt:lpstr>KPI_ny_66</vt:lpstr>
      <vt:lpstr>KPI_ny_67</vt:lpstr>
      <vt:lpstr>KPI_ny_68</vt:lpstr>
      <vt:lpstr>LE</vt:lpstr>
      <vt:lpstr>LE_01</vt:lpstr>
      <vt:lpstr>LE_02</vt:lpstr>
      <vt:lpstr>LE_03</vt:lpstr>
      <vt:lpstr>LE_04</vt:lpstr>
      <vt:lpstr>LE_05</vt:lpstr>
      <vt:lpstr>LE_06</vt:lpstr>
      <vt:lpstr>LE_07</vt:lpstr>
      <vt:lpstr>LE_08</vt:lpstr>
      <vt:lpstr>LE_cont_tot</vt:lpstr>
      <vt:lpstr>LE_Credits</vt:lpstr>
      <vt:lpstr>LE_Weight</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LE03_07</vt:lpstr>
      <vt:lpstr>LE03_cont</vt:lpstr>
      <vt:lpstr>LE03_credits</vt:lpstr>
      <vt:lpstr>LE03_minstd</vt:lpstr>
      <vt:lpstr>LE03_user</vt:lpstr>
      <vt:lpstr>LE04_13</vt:lpstr>
      <vt:lpstr>LE04_14</vt:lpstr>
      <vt:lpstr>LE04_credits</vt:lpstr>
      <vt:lpstr>LE04_minstd</vt:lpstr>
      <vt:lpstr>LE04_tot</vt:lpstr>
      <vt:lpstr>LE04_user</vt:lpstr>
      <vt:lpstr>LE05_14</vt:lpstr>
      <vt:lpstr>LE05_15</vt:lpstr>
      <vt:lpstr>LE05_credits</vt:lpstr>
      <vt:lpstr>LE05_minstd</vt:lpstr>
      <vt:lpstr>LE05_minstdach</vt:lpstr>
      <vt:lpstr>LE05_tot</vt:lpstr>
      <vt:lpstr>LE05_user</vt:lpstr>
      <vt:lpstr>LE06_07</vt:lpstr>
      <vt:lpstr>LE06_contr</vt:lpstr>
      <vt:lpstr>LE06_credits</vt:lpstr>
      <vt:lpstr>LE06_minstd</vt:lpstr>
      <vt:lpstr>LE06_tot</vt:lpstr>
      <vt:lpstr>LE06_user</vt:lpstr>
      <vt:lpstr>LE07_07</vt:lpstr>
      <vt:lpstr>LE07_cont</vt:lpstr>
      <vt:lpstr>LE07_credits</vt:lpstr>
      <vt:lpstr>LE07_minstd</vt:lpstr>
      <vt:lpstr>LE07_user</vt:lpstr>
      <vt:lpstr>LE08_07</vt:lpstr>
      <vt:lpstr>LE08_cont</vt:lpstr>
      <vt:lpstr>LE08_credits</vt:lpstr>
      <vt:lpstr>LE08_minstd</vt:lpstr>
      <vt:lpstr>LE08_user</vt:lpstr>
      <vt:lpstr>Lue_c_user</vt:lpstr>
      <vt:lpstr>Lue_d_user</vt:lpstr>
      <vt:lpstr>Lue_tot_user</vt:lpstr>
      <vt:lpstr>MAN</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Man_Weight</vt:lpstr>
      <vt:lpstr>Man01_37</vt:lpstr>
      <vt:lpstr>Man01_38</vt:lpstr>
      <vt:lpstr>Man01_39</vt:lpstr>
      <vt:lpstr>Man01_credits</vt:lpstr>
      <vt:lpstr>Man01_Crit1</vt:lpstr>
      <vt:lpstr>Man01_Crit1_cont</vt:lpstr>
      <vt:lpstr>Man01_Crit1_credits</vt:lpstr>
      <vt:lpstr>Man01_Exemp</vt:lpstr>
      <vt:lpstr>Man01_minstd</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Man03_Crit1</vt:lpstr>
      <vt:lpstr>Man03_Crit1_credits</vt:lpstr>
      <vt:lpstr>Man03_minstd</vt:lpstr>
      <vt:lpstr>Man03_minstd_cri</vt:lpstr>
      <vt:lpstr>Man03_Tot</vt:lpstr>
      <vt:lpstr>Man03_user</vt:lpstr>
      <vt:lpstr>Man04_17</vt:lpstr>
      <vt:lpstr>Man04_cont</vt:lpstr>
      <vt:lpstr>Man04_credits</vt:lpstr>
      <vt:lpstr>Man04_Crit1</vt:lpstr>
      <vt:lpstr>Man04_Crit1_credits</vt:lpstr>
      <vt:lpstr>Man04_minstd</vt:lpstr>
      <vt:lpstr>Man04_minstd_cri</vt:lpstr>
      <vt:lpstr>Man04_tot</vt:lpstr>
      <vt:lpstr>Man04_user</vt:lpstr>
      <vt:lpstr>Man05_10</vt:lpstr>
      <vt:lpstr>Man05_cont</vt:lpstr>
      <vt:lpstr>Man05_credits</vt:lpstr>
      <vt:lpstr>Man05_Crit1</vt:lpstr>
      <vt:lpstr>Man05_Crit1_credits</vt:lpstr>
      <vt:lpstr>Man05_minstd</vt:lpstr>
      <vt:lpstr>Man05_minstd_cri</vt:lpstr>
      <vt:lpstr>Man05_tot</vt:lpstr>
      <vt:lpstr>Man05_user</vt:lpstr>
      <vt:lpstr>Man06_cont</vt:lpstr>
      <vt:lpstr>Man06_credits</vt:lpstr>
      <vt:lpstr>Man06_minstd</vt:lpstr>
      <vt:lpstr>Man06_user</vt:lpstr>
      <vt:lpstr>Man07_cont</vt:lpstr>
      <vt:lpstr>Man07_credits</vt:lpstr>
      <vt:lpstr>Man07_minstd</vt:lpstr>
      <vt:lpstr>Man07_user</vt:lpstr>
      <vt:lpstr>MAT</vt:lpstr>
      <vt:lpstr>Mat_01</vt:lpstr>
      <vt:lpstr>Mat_02</vt:lpstr>
      <vt:lpstr>Mat_03</vt:lpstr>
      <vt:lpstr>Mat_05</vt:lpstr>
      <vt:lpstr>Mat_06</vt:lpstr>
      <vt:lpstr>Mat_07</vt:lpstr>
      <vt:lpstr>Mat_c_user</vt:lpstr>
      <vt:lpstr>Mat_cont_tot</vt:lpstr>
      <vt:lpstr>Mat_Credits</vt:lpstr>
      <vt:lpstr>Mat_d_user</vt:lpstr>
      <vt:lpstr>Mat_tot_user</vt:lpstr>
      <vt:lpstr>Mat_Weight</vt:lpstr>
      <vt:lpstr>Mat01_08</vt:lpstr>
      <vt:lpstr>Mat01_27</vt:lpstr>
      <vt:lpstr>Mat01_28</vt:lpstr>
      <vt:lpstr>Mat01_credits</vt:lpstr>
      <vt:lpstr>Mat01_Crit1</vt:lpstr>
      <vt:lpstr>Mat01_Crit1_credits</vt:lpstr>
      <vt:lpstr>Mat01_minstd</vt:lpstr>
      <vt:lpstr>Mat01_minstd2</vt:lpstr>
      <vt:lpstr>Mat01_tot</vt:lpstr>
      <vt:lpstr>Mat01_user</vt:lpstr>
      <vt:lpstr>Mat02_37</vt:lpstr>
      <vt:lpstr>Mat02_cont</vt:lpstr>
      <vt:lpstr>Mat02_credits</vt:lpstr>
      <vt:lpstr>Mat02_Crit1</vt:lpstr>
      <vt:lpstr>Mat02_Crit1_cont</vt:lpstr>
      <vt:lpstr>Mat02_Crit1_credits</vt:lpstr>
      <vt:lpstr>Mat02_minstd</vt:lpstr>
      <vt:lpstr>Mat02_minstd2</vt:lpstr>
      <vt:lpstr>Mat02_user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Mat06_05</vt:lpstr>
      <vt:lpstr>Mat06_cont</vt:lpstr>
      <vt:lpstr>Mat06_credits</vt:lpstr>
      <vt:lpstr>Mat06_Crit1</vt:lpstr>
      <vt:lpstr>Mat06_Crit1_credits</vt:lpstr>
      <vt:lpstr>Mat06_minstd</vt:lpstr>
      <vt:lpstr>Mat06_minstd_cred</vt:lpstr>
      <vt:lpstr>Mat06_user</vt:lpstr>
      <vt:lpstr>Mat07_05</vt:lpstr>
      <vt:lpstr>Mat07_cont</vt:lpstr>
      <vt:lpstr>Mat07_credits</vt:lpstr>
      <vt:lpstr>Mat07_Crit1</vt:lpstr>
      <vt:lpstr>Mat07_Crit1_credits</vt:lpstr>
      <vt:lpstr>Mat07_minstd</vt:lpstr>
      <vt:lpstr>Mat07_minstd_cred</vt:lpstr>
      <vt:lpstr>Mat07_user</vt:lpstr>
      <vt:lpstr>Note_minstand</vt:lpstr>
      <vt:lpstr>Note_minstand_const</vt:lpstr>
      <vt:lpstr>Note_minstand_design</vt:lpstr>
      <vt:lpstr>Poeng_bort</vt:lpstr>
      <vt:lpstr>Poeng_tilgj</vt:lpstr>
      <vt:lpstr>Poeng_tot</vt:lpstr>
      <vt:lpstr>POL</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'Assessment Details'!Print_Area</vt:lpstr>
      <vt:lpstr>'Assessment Rating'!Print_Area</vt:lpstr>
      <vt:lpstr>Instructions!Print_Area</vt:lpstr>
      <vt:lpstr>'Pre-Assessment Estimator'!Print_Area</vt:lpstr>
      <vt:lpstr>'Version Control'!Print_Area</vt:lpstr>
      <vt:lpstr>'Assessment Issue Scoring'!Print_Area_SR</vt:lpstr>
      <vt:lpstr>'Pre-Assessment Estimator'!Print_Titles</vt:lpstr>
      <vt:lpstr>projecttype</vt:lpstr>
      <vt:lpstr>Score_const</vt:lpstr>
      <vt:lpstr>Score_design</vt:lpstr>
      <vt:lpstr>Score_Initial</vt:lpstr>
      <vt:lpstr>status</vt:lpstr>
      <vt:lpstr>TRA</vt:lpstr>
      <vt:lpstr>Tra_01</vt:lpstr>
      <vt:lpstr>Tra_02</vt:lpstr>
      <vt:lpstr>Tra_03</vt:lpstr>
      <vt:lpstr>Tra_04</vt:lpstr>
      <vt:lpstr>Tra_05</vt:lpstr>
      <vt:lpstr>Tra_06</vt:lpstr>
      <vt:lpstr>Tra_c_user</vt:lpstr>
      <vt:lpstr>Tra_cont_tot</vt:lpstr>
      <vt:lpstr>Tra_Credits</vt:lpstr>
      <vt:lpstr>Tra_d_user</vt:lpstr>
      <vt:lpstr>Tra_tot_user</vt:lpstr>
      <vt:lpstr>Tra_Weight</vt:lpstr>
      <vt:lpstr>Tra01_07</vt:lpstr>
      <vt:lpstr>TRa01_08</vt:lpstr>
      <vt:lpstr>TRA01_BuildType</vt:lpstr>
      <vt:lpstr>Tra01_credits</vt:lpstr>
      <vt:lpstr>Tra01_Crit1</vt:lpstr>
      <vt:lpstr>Tra01_Crit1_credits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Tra03_01</vt:lpstr>
      <vt:lpstr>Tra03_02</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Tra06_minstd</vt:lpstr>
      <vt:lpstr>Tra06_user</vt:lpstr>
      <vt:lpstr>TVC_current_date</vt:lpstr>
      <vt:lpstr>TVC_current_version</vt:lpstr>
      <vt:lpstr>WAT</vt:lpstr>
      <vt:lpstr>Wat__Credits</vt:lpstr>
      <vt:lpstr>Wat_01</vt:lpstr>
      <vt:lpstr>Wat_02</vt:lpstr>
      <vt:lpstr>Wat_03</vt:lpstr>
      <vt:lpstr>Wat_04</vt:lpstr>
      <vt:lpstr>Wat_c_user</vt:lpstr>
      <vt:lpstr>Wat_cont_tot</vt:lpstr>
      <vt:lpstr>Wat_Credits</vt:lpstr>
      <vt:lpstr>Wat_d_user</vt:lpstr>
      <vt:lpstr>Wat_tot_user</vt:lpstr>
      <vt:lpstr>Wat_Weight</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vt:lpstr>
      <vt:lpstr>Wst_01</vt:lpstr>
      <vt:lpstr>Wst_02</vt:lpstr>
      <vt:lpstr>Wst_03</vt:lpstr>
      <vt:lpstr>Wst_04</vt:lpstr>
      <vt:lpstr>Wst_c_user</vt:lpstr>
      <vt:lpstr>Wst_cont_tot</vt:lpstr>
      <vt:lpstr>Wst_Credits</vt:lpstr>
      <vt:lpstr>Wst_d_user</vt:lpstr>
      <vt:lpstr>Wst_tot_user</vt:lpstr>
      <vt:lpstr>Wst_Weight</vt:lpstr>
      <vt:lpstr>Wst01_17</vt:lpstr>
      <vt:lpstr>Wst01_18</vt:lpstr>
      <vt:lpstr>Wst01_27</vt:lpstr>
      <vt:lpstr>Wst01_28</vt:lpstr>
      <vt:lpstr>Wst01_credits</vt:lpstr>
      <vt:lpstr>Wst01_Crit1</vt:lpstr>
      <vt:lpstr>Wst01_Crit1_credits</vt:lpstr>
      <vt:lpstr>Wst01_minstd</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 Global Ltd</dc:creator>
  <cp:lastModifiedBy>Torun Eggan Skjerve</cp:lastModifiedBy>
  <cp:lastPrinted>2022-02-25T07:29:44Z</cp:lastPrinted>
  <dcterms:created xsi:type="dcterms:W3CDTF">2011-03-28T14:05:06Z</dcterms:created>
  <dcterms:modified xsi:type="dcterms:W3CDTF">2024-03-21T13:46:17Z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40e2e8a1-7679-4614-a9c0-df1e8281ad41</vt:lpwstr>
  </property>
  <property fmtid="{D5CDD505-2E9C-101B-9397-08002B2CF9AE}" pid="3" name="ContentTypeId">
    <vt:lpwstr>0x010100C54C118FDBDA9A439AF17BB392DA94370016CCCF76548A65438D889F3DEC9C622F</vt:lpwstr>
  </property>
</Properties>
</file>