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asplanviak.sharepoint.com/sites/640288-01/Delte dokumenter/General/Leveranse/"/>
    </mc:Choice>
  </mc:AlternateContent>
  <xr:revisionPtr revIDLastSave="3" documentId="8_{C505E238-970C-44E8-AFE4-3BA54D4DCDC2}" xr6:coauthVersionLast="47" xr6:coauthVersionMax="47" xr10:uidLastSave="{B15A1212-55E1-482F-83ED-7393DE6BFB0A}"/>
  <workbookProtection workbookAlgorithmName="SHA-512" workbookHashValue="/jEvTMnE5zQczoEXnPyZEqdCIQoKa6FvNAEGnglacJ9OJuYlP/D63bMpMBp+GH1Ba5HYA5zsDM6tDCbg+Xlxbw==" workbookSaltValue="KrKY0i+Howmt6fcAAhp86w==" workbookSpinCount="100000" lockStructure="1"/>
  <bookViews>
    <workbookView xWindow="5340" yWindow="195" windowWidth="25905" windowHeight="20940" xr2:uid="{FAD75711-8CB0-433D-9A22-9EEF6D7C6BB0}"/>
  </bookViews>
  <sheets>
    <sheet name="Beregning" sheetId="2" r:id="rId1"/>
    <sheet name="Låneberegninger" sheetId="4" state="hidden" r:id="rId2"/>
    <sheet name="Gamle tall" sheetId="1" state="hidden" r:id="rId3"/>
    <sheet name="Nye tall" sheetId="3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B3" i="4"/>
  <c r="E7" i="3"/>
  <c r="B15" i="3" l="1"/>
  <c r="B7" i="3"/>
  <c r="N27" i="3" l="1"/>
  <c r="N24" i="3"/>
  <c r="N25" i="3"/>
  <c r="N26" i="3"/>
  <c r="N23" i="3"/>
  <c r="N22" i="3"/>
  <c r="N21" i="3"/>
  <c r="N20" i="3"/>
  <c r="N19" i="3"/>
  <c r="N15" i="3"/>
  <c r="N14" i="3"/>
  <c r="N13" i="3"/>
  <c r="N12" i="3"/>
  <c r="N11" i="3"/>
  <c r="N4" i="3"/>
  <c r="N5" i="3"/>
  <c r="N6" i="3"/>
  <c r="N7" i="3"/>
  <c r="N3" i="3"/>
  <c r="D20" i="3"/>
  <c r="D21" i="3"/>
  <c r="D22" i="3"/>
  <c r="D23" i="3"/>
  <c r="D24" i="3"/>
  <c r="D25" i="3"/>
  <c r="D26" i="3"/>
  <c r="D19" i="3"/>
  <c r="B17" i="2" l="1"/>
  <c r="E15" i="3" l="1"/>
  <c r="C20" i="3"/>
  <c r="C21" i="3"/>
  <c r="C22" i="3"/>
  <c r="C23" i="3"/>
  <c r="C24" i="3"/>
  <c r="C26" i="3"/>
  <c r="C19" i="3"/>
  <c r="C14" i="3"/>
  <c r="C13" i="3"/>
  <c r="C12" i="3"/>
  <c r="C11" i="3"/>
  <c r="C4" i="3"/>
  <c r="C5" i="3"/>
  <c r="C6" i="3"/>
  <c r="C3" i="3"/>
  <c r="E27" i="3"/>
  <c r="K11" i="3" l="1" a="1"/>
  <c r="K3" i="3" a="1"/>
  <c r="L7" i="3" s="1" a="1"/>
  <c r="L7" i="3" s="1"/>
  <c r="U5" i="3"/>
  <c r="U4" i="3"/>
  <c r="J4" i="3" l="1"/>
  <c r="J5" i="3"/>
  <c r="J6" i="3"/>
  <c r="J7" i="3"/>
  <c r="H13" i="3" a="1"/>
  <c r="H13" i="3" s="1"/>
  <c r="J13" i="3"/>
  <c r="J15" i="3"/>
  <c r="J12" i="3"/>
  <c r="J14" i="3"/>
  <c r="L13" i="3" a="1"/>
  <c r="L13" i="3" s="1"/>
  <c r="M15" i="3" a="1"/>
  <c r="M15" i="3" s="1"/>
  <c r="M12" i="3" a="1"/>
  <c r="M12" i="3" s="1"/>
  <c r="H15" i="3" a="1"/>
  <c r="H15" i="3" s="1"/>
  <c r="M14" i="3" a="1"/>
  <c r="M14" i="3" s="1"/>
  <c r="L12" i="3" a="1"/>
  <c r="L12" i="3" s="1"/>
  <c r="K11" i="3"/>
  <c r="L15" i="3" a="1"/>
  <c r="L15" i="3" s="1"/>
  <c r="L14" i="3" a="1"/>
  <c r="L14" i="3" s="1"/>
  <c r="H12" i="3" a="1"/>
  <c r="H12" i="3" s="1"/>
  <c r="M13" i="3" a="1"/>
  <c r="M13" i="3" s="1"/>
  <c r="H14" i="3" a="1"/>
  <c r="H14" i="3" s="1"/>
  <c r="K3" i="3"/>
  <c r="J3" i="3" s="1"/>
  <c r="H7" i="3" a="1"/>
  <c r="H7" i="3" s="1"/>
  <c r="M6" i="3" a="1"/>
  <c r="M6" i="3" s="1"/>
  <c r="M5" i="3" a="1"/>
  <c r="M5" i="3" s="1"/>
  <c r="H5" i="3" a="1"/>
  <c r="H5" i="3" s="1"/>
  <c r="H6" i="3" a="1"/>
  <c r="H6" i="3" s="1"/>
  <c r="M7" i="3" a="1"/>
  <c r="M7" i="3" s="1"/>
  <c r="M4" i="3" a="1"/>
  <c r="M4" i="3" s="1"/>
  <c r="H4" i="3" a="1"/>
  <c r="H4" i="3" s="1"/>
  <c r="L6" i="3" a="1"/>
  <c r="L6" i="3" s="1"/>
  <c r="L5" i="3" a="1"/>
  <c r="L5" i="3" s="1"/>
  <c r="I20" i="1"/>
  <c r="I21" i="1"/>
  <c r="I22" i="1"/>
  <c r="I23" i="1"/>
  <c r="I24" i="1"/>
  <c r="I25" i="1"/>
  <c r="I26" i="1"/>
  <c r="I27" i="1"/>
  <c r="I28" i="1"/>
  <c r="I19" i="1"/>
  <c r="H20" i="1"/>
  <c r="H21" i="1"/>
  <c r="H22" i="1"/>
  <c r="H23" i="1"/>
  <c r="H24" i="1"/>
  <c r="H25" i="1"/>
  <c r="H26" i="1"/>
  <c r="H27" i="1"/>
  <c r="H28" i="1"/>
  <c r="H19" i="1"/>
  <c r="O15" i="3" l="1"/>
  <c r="P15" i="3" s="1"/>
  <c r="L11" i="3" a="1"/>
  <c r="L11" i="3" s="1"/>
  <c r="J11" i="3"/>
  <c r="O13" i="3"/>
  <c r="P13" i="3" s="1"/>
  <c r="O12" i="3"/>
  <c r="P12" i="3" s="1"/>
  <c r="O14" i="3"/>
  <c r="P14" i="3" s="1"/>
  <c r="H11" i="3" a="1"/>
  <c r="H11" i="3" s="1"/>
  <c r="S3" i="3"/>
  <c r="M11" i="3" a="1"/>
  <c r="M11" i="3" s="1"/>
  <c r="C25" i="3"/>
  <c r="K19" i="3" a="1"/>
  <c r="M3" i="3" a="1"/>
  <c r="M3" i="3" s="1"/>
  <c r="W2" i="3" s="1"/>
  <c r="S2" i="3"/>
  <c r="O6" i="3"/>
  <c r="P6" i="3" s="1"/>
  <c r="O7" i="3"/>
  <c r="P7" i="3" s="1"/>
  <c r="O5" i="3"/>
  <c r="P5" i="3" s="1"/>
  <c r="L3" i="3" a="1"/>
  <c r="L3" i="3" s="1"/>
  <c r="H3" i="3" a="1"/>
  <c r="H3" i="3" s="1"/>
  <c r="E12" i="1"/>
  <c r="F12" i="1"/>
  <c r="G12" i="1"/>
  <c r="H12" i="1"/>
  <c r="F13" i="1"/>
  <c r="G13" i="1"/>
  <c r="H13" i="1"/>
  <c r="C11" i="1"/>
  <c r="D11" i="1"/>
  <c r="E11" i="1"/>
  <c r="F11" i="1"/>
  <c r="G11" i="1"/>
  <c r="H11" i="1"/>
  <c r="B11" i="1"/>
  <c r="L4" i="3" a="1"/>
  <c r="L4" i="3" s="1"/>
  <c r="O11" i="3" l="1"/>
  <c r="P11" i="3" s="1"/>
  <c r="U3" i="3" s="1"/>
  <c r="J20" i="3"/>
  <c r="J22" i="3"/>
  <c r="J25" i="3"/>
  <c r="J26" i="3"/>
  <c r="J21" i="3"/>
  <c r="J27" i="3"/>
  <c r="J23" i="3"/>
  <c r="J24" i="3"/>
  <c r="W3" i="3"/>
  <c r="M25" i="3" a="1"/>
  <c r="M25" i="3" s="1"/>
  <c r="H26" i="3" a="1"/>
  <c r="H26" i="3" s="1"/>
  <c r="M26" i="3" a="1"/>
  <c r="M26" i="3" s="1"/>
  <c r="M20" i="3" a="1"/>
  <c r="M20" i="3" s="1"/>
  <c r="H27" i="3" a="1"/>
  <c r="H27" i="3" s="1"/>
  <c r="M21" i="3" a="1"/>
  <c r="M21" i="3" s="1"/>
  <c r="M23" i="3" a="1"/>
  <c r="M23" i="3" s="1"/>
  <c r="M24" i="3" a="1"/>
  <c r="M24" i="3" s="1"/>
  <c r="L21" i="3" a="1"/>
  <c r="L21" i="3" s="1"/>
  <c r="H23" i="3" a="1"/>
  <c r="H23" i="3" s="1"/>
  <c r="L27" i="3" a="1"/>
  <c r="L27" i="3" s="1"/>
  <c r="K19" i="3"/>
  <c r="J19" i="3" s="1"/>
  <c r="L24" i="3" a="1"/>
  <c r="L24" i="3" s="1"/>
  <c r="L26" i="3" a="1"/>
  <c r="L26" i="3" s="1"/>
  <c r="H21" i="3" a="1"/>
  <c r="H21" i="3" s="1"/>
  <c r="L25" i="3" a="1"/>
  <c r="L25" i="3" s="1"/>
  <c r="M27" i="3" a="1"/>
  <c r="M27" i="3" s="1"/>
  <c r="L23" i="3" a="1"/>
  <c r="L23" i="3" s="1"/>
  <c r="L22" i="3" a="1"/>
  <c r="L22" i="3" s="1"/>
  <c r="H22" i="3" a="1"/>
  <c r="H22" i="3" s="1"/>
  <c r="H25" i="3" a="1"/>
  <c r="H25" i="3" s="1"/>
  <c r="H20" i="3" a="1"/>
  <c r="H20" i="3" s="1"/>
  <c r="H24" i="3" a="1"/>
  <c r="H24" i="3" s="1"/>
  <c r="M22" i="3" a="1"/>
  <c r="M22" i="3" s="1"/>
  <c r="L20" i="3" a="1"/>
  <c r="L20" i="3" s="1"/>
  <c r="B10" i="2"/>
  <c r="O3" i="3"/>
  <c r="P3" i="3" s="1"/>
  <c r="O4" i="3"/>
  <c r="P4" i="3" s="1"/>
  <c r="O25" i="3" l="1"/>
  <c r="P25" i="3" s="1"/>
  <c r="O22" i="3"/>
  <c r="P22" i="3" s="1"/>
  <c r="O26" i="3"/>
  <c r="P26" i="3" s="1"/>
  <c r="O23" i="3"/>
  <c r="P23" i="3" s="1"/>
  <c r="O21" i="3"/>
  <c r="P21" i="3" s="1"/>
  <c r="O24" i="3"/>
  <c r="P24" i="3" s="1"/>
  <c r="O20" i="3"/>
  <c r="P20" i="3" s="1"/>
  <c r="H19" i="3" a="1"/>
  <c r="H19" i="3" s="1"/>
  <c r="M19" i="3" a="1"/>
  <c r="M19" i="3" s="1"/>
  <c r="V3" i="3" s="1"/>
  <c r="X3" i="3" s="1"/>
  <c r="L19" i="3" a="1"/>
  <c r="L19" i="3" s="1"/>
  <c r="O27" i="3"/>
  <c r="P27" i="3" s="1"/>
  <c r="U2" i="3"/>
  <c r="V2" i="3" l="1"/>
  <c r="O19" i="3"/>
  <c r="P19" i="3" s="1"/>
  <c r="T3" i="3" l="1"/>
  <c r="T2" i="3"/>
  <c r="B11" i="2"/>
  <c r="X2" i="3"/>
  <c r="B7" i="2" l="1"/>
  <c r="B12" i="2" s="1"/>
  <c r="B8" i="2" l="1"/>
  <c r="B13" i="2"/>
  <c r="B21" i="2"/>
  <c r="A3" i="4" s="1"/>
  <c r="G3" i="4" l="1"/>
  <c r="H3" i="4" s="1"/>
  <c r="E3" i="4"/>
  <c r="F3" i="4" s="1"/>
  <c r="I3" i="4" l="1"/>
  <c r="J3" i="4" s="1"/>
  <c r="B25" i="2" s="1"/>
  <c r="B27" i="2" s="1"/>
  <c r="B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<sst xmlns="http://schemas.openxmlformats.org/spreadsheetml/2006/main" count="221" uniqueCount="119">
  <si>
    <t>Byggekostnader</t>
  </si>
  <si>
    <t>Byggets BRA</t>
  </si>
  <si>
    <t>Ønsket karakter</t>
  </si>
  <si>
    <t>Excellent</t>
  </si>
  <si>
    <t>Anslått BREEAM prosesskostnad</t>
  </si>
  <si>
    <t>Energipris pr kWh</t>
  </si>
  <si>
    <t xml:space="preserve">Obligatorisk Energibesparelse </t>
  </si>
  <si>
    <t>Låneberegninger</t>
  </si>
  <si>
    <t>%-andel av kostnadene lånefinansiert</t>
  </si>
  <si>
    <t>Lånebeløp</t>
  </si>
  <si>
    <t>Rente vanlig lån</t>
  </si>
  <si>
    <t>Rente grønt lån</t>
  </si>
  <si>
    <t>Årlig rentedifferanse</t>
  </si>
  <si>
    <t>Årlig kostnadsbesparelse</t>
  </si>
  <si>
    <t>Inntjeningstid</t>
  </si>
  <si>
    <t>% ekstra prosjektkostnad</t>
  </si>
  <si>
    <t>pass</t>
  </si>
  <si>
    <t>good</t>
  </si>
  <si>
    <t>Very Good</t>
  </si>
  <si>
    <t>Outstanding</t>
  </si>
  <si>
    <t>Karakterskala</t>
  </si>
  <si>
    <t>Lokasjon/poeng</t>
  </si>
  <si>
    <t>Pass</t>
  </si>
  <si>
    <t>Dårlig</t>
  </si>
  <si>
    <t>Good</t>
  </si>
  <si>
    <t>Gjennomsnitt</t>
  </si>
  <si>
    <t>God</t>
  </si>
  <si>
    <t>Index 2014-2022</t>
  </si>
  <si>
    <t>Beliggenhet</t>
  </si>
  <si>
    <t>IG</t>
  </si>
  <si>
    <t>Energireduksjon</t>
  </si>
  <si>
    <t>Karakter</t>
  </si>
  <si>
    <t>% forbedring</t>
  </si>
  <si>
    <t>Barnehage</t>
  </si>
  <si>
    <t>Kontorbygning</t>
  </si>
  <si>
    <t>Skolebygning</t>
  </si>
  <si>
    <t>Universitets- og høyskolebygning</t>
  </si>
  <si>
    <t>Sykehus</t>
  </si>
  <si>
    <t>Hotellbygning</t>
  </si>
  <si>
    <t>Idrettsbygning</t>
  </si>
  <si>
    <t>Forretningsbygg</t>
  </si>
  <si>
    <t>Kulturbygning</t>
  </si>
  <si>
    <t>Lett industribygning, verksted</t>
  </si>
  <si>
    <t>A</t>
  </si>
  <si>
    <t>B</t>
  </si>
  <si>
    <t>C</t>
  </si>
  <si>
    <t>D</t>
  </si>
  <si>
    <t>E</t>
  </si>
  <si>
    <t>F</t>
  </si>
  <si>
    <t>G</t>
  </si>
  <si>
    <t>Universitets- og høgskolebygning</t>
  </si>
  <si>
    <t>Sykehjem</t>
  </si>
  <si>
    <t>Forretningsbygning</t>
  </si>
  <si>
    <t>BREEAM</t>
  </si>
  <si>
    <r>
      <t>BREEAM</t>
    </r>
    <r>
      <rPr>
        <vertAlign val="subscript"/>
        <sz val="11"/>
        <color theme="1"/>
        <rFont val="Century Gothic"/>
        <family val="2"/>
        <scheme val="minor"/>
      </rPr>
      <t>pros</t>
    </r>
  </si>
  <si>
    <t>BREEAM-prosj.kost</t>
  </si>
  <si>
    <t>BREEAM Byggekost</t>
  </si>
  <si>
    <t>TEK 17 Est. Byggekost</t>
  </si>
  <si>
    <t>Sortert e. str</t>
  </si>
  <si>
    <t>Prosesskost kr/kvm</t>
  </si>
  <si>
    <t>Bygg</t>
  </si>
  <si>
    <t>prossesskost</t>
  </si>
  <si>
    <t>kr/kvm</t>
  </si>
  <si>
    <t>kvm</t>
  </si>
  <si>
    <t>Formel</t>
  </si>
  <si>
    <t>kVM</t>
  </si>
  <si>
    <r>
      <t>TEK17</t>
    </r>
    <r>
      <rPr>
        <vertAlign val="subscript"/>
        <sz val="11"/>
        <color theme="1"/>
        <rFont val="Century Gothic"/>
        <family val="2"/>
        <scheme val="minor"/>
      </rPr>
      <t>rural</t>
    </r>
  </si>
  <si>
    <r>
      <t>TEK17</t>
    </r>
    <r>
      <rPr>
        <vertAlign val="subscript"/>
        <sz val="11"/>
        <color theme="1"/>
        <rFont val="Century Gothic"/>
        <family val="2"/>
        <scheme val="minor"/>
      </rPr>
      <t>urban</t>
    </r>
  </si>
  <si>
    <t>Est. Byggekost</t>
  </si>
  <si>
    <t>Blandet</t>
  </si>
  <si>
    <t>Ber.by.kost</t>
  </si>
  <si>
    <t>Ber.pro.kost</t>
  </si>
  <si>
    <t>Sum kostn.</t>
  </si>
  <si>
    <t>NOK</t>
  </si>
  <si>
    <t>ADM.kost</t>
  </si>
  <si>
    <t>Sum</t>
  </si>
  <si>
    <t>kr kvm</t>
  </si>
  <si>
    <t>Bruke denne for beregning av BREEAM-kostnader</t>
  </si>
  <si>
    <t>Basert på tall fra perioden 2016-2023, indeksregulert for 2023</t>
  </si>
  <si>
    <t>Anslått BREEAM prosjekteringskostnad</t>
  </si>
  <si>
    <t>Medlem</t>
  </si>
  <si>
    <t>Ikke medlem</t>
  </si>
  <si>
    <t>Prisliste BREEAM</t>
  </si>
  <si>
    <t>5000 kvm</t>
  </si>
  <si>
    <t>5000-50 000 kvm</t>
  </si>
  <si>
    <t>50 000kvm</t>
  </si>
  <si>
    <t>Prosess og prosjekteringskostnader</t>
  </si>
  <si>
    <t>totalkostnad &gt; 8000 kvm</t>
  </si>
  <si>
    <t>totalkostnad &lt; 8000 kvm</t>
  </si>
  <si>
    <t>Prosjekteringskostnad &lt;= 8000 kvm</t>
  </si>
  <si>
    <t>Prosjekteringskostnad &gt; 8000 kvm</t>
  </si>
  <si>
    <t>Nummer</t>
  </si>
  <si>
    <t>Beregninene er et resultat av en kvalitativ undersøkelse og har statistiske svakheter i forhold til antallet i grunnlaget.</t>
  </si>
  <si>
    <t>Kostnadskalkulator BREEAM-sertifisering av kontorbygg</t>
  </si>
  <si>
    <t>Anslått total BREEAM byggekostnad</t>
  </si>
  <si>
    <t>BREEAM-Estimator1.0</t>
  </si>
  <si>
    <t>Totale BREEAM byggekostnader pr kvm</t>
  </si>
  <si>
    <t>Løpetid lån</t>
  </si>
  <si>
    <t>Lånesum</t>
  </si>
  <si>
    <t>Nedbetalingstid</t>
  </si>
  <si>
    <t>Lånerente 1</t>
  </si>
  <si>
    <t>Lånerente 2</t>
  </si>
  <si>
    <t>Avdrag år</t>
  </si>
  <si>
    <t>Total</t>
  </si>
  <si>
    <t>Vanlige lån</t>
  </si>
  <si>
    <t>Grønne lån</t>
  </si>
  <si>
    <t>Differanse</t>
  </si>
  <si>
    <t>Årlig diff.</t>
  </si>
  <si>
    <t>Beregningene vil være mest nøyaktige innenfor ytterpunktene og ha større avvik når den nye verdien ligger ytterst til høyre eller venstre i grafene over.</t>
  </si>
  <si>
    <t>Tallene er estimater av kostnadene vedrørende BREEAM-NOR sertifisering og byggekostnader etter TEK 17.</t>
  </si>
  <si>
    <t>Estimat</t>
  </si>
  <si>
    <t>Bygg 1</t>
  </si>
  <si>
    <t>Bygg 2</t>
  </si>
  <si>
    <t>Bygg 3</t>
  </si>
  <si>
    <t>Bygg 4</t>
  </si>
  <si>
    <t>Bygg 5</t>
  </si>
  <si>
    <t>Bygg 6</t>
  </si>
  <si>
    <t>Bygg 7</t>
  </si>
  <si>
    <t>Bygg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</si>
</sst>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kr&quot;\ #,##0;[Red]\-&quot;kr&quot;\ #,##0"/>
    <numFmt numFmtId="43" formatCode="_-* #,##0.00_-;\-* #,##0.00_-;_-* &quot;-&quot;??_-;_-@_-"/>
    <numFmt numFmtId="164" formatCode="_-* #,##0_-;\-* #,##0_-;_-* &quot;-&quot;??_-;_-@_-"/>
    <numFmt numFmtId="165" formatCode="_-[$kr-414]\ * #,##0.00_-;\-[$kr-414]\ * #,##0.00_-;_-[$kr-414]\ * &quot;-&quot;??_-;_-@_-"/>
    <numFmt numFmtId="166" formatCode="#,##0&quot; kvm&quot;"/>
    <numFmt numFmtId="167" formatCode="_-[$kr-414]\ * #,##0_-;\-[$kr-414]\ * #,##0_-;_-[$kr-414]\ * &quot;-&quot;??_-;_-@_-"/>
    <numFmt numFmtId="168" formatCode="0.00&quot; år&quot;"/>
    <numFmt numFmtId="169" formatCode="#,##0&quot; %&quot;"/>
    <numFmt numFmtId="170" formatCode="#,##0.00&quot; %&quot;"/>
  </numFmts>
  <fonts count="11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vertAlign val="subscript"/>
      <sz val="11"/>
      <color theme="1"/>
      <name val="Century Gothic"/>
      <family val="2"/>
      <scheme val="minor"/>
    </font>
    <font>
      <sz val="18"/>
      <color theme="1"/>
      <name val="Avenir Next LT Pro"/>
      <family val="2"/>
    </font>
    <font>
      <sz val="11"/>
      <color theme="1"/>
      <name val="Avenir Next LT Pro"/>
      <family val="2"/>
    </font>
    <font>
      <sz val="12"/>
      <color theme="1"/>
      <name val="Avenir Next LT Pro"/>
      <family val="2"/>
    </font>
    <font>
      <sz val="10"/>
      <color theme="1"/>
      <name val="Avenir Next LT Pro"/>
      <family val="2"/>
    </font>
    <font>
      <sz val="8"/>
      <name val="Century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ck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ck">
        <color rgb="FF808080"/>
      </left>
      <right style="medium">
        <color rgb="FF808080"/>
      </right>
      <top style="thin">
        <color rgb="FF808080"/>
      </top>
      <bottom style="thick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3" xfId="0" applyFont="1" applyBorder="1"/>
    <xf numFmtId="0" fontId="4" fillId="0" borderId="3" xfId="0" applyFont="1" applyBorder="1" applyAlignment="1">
      <alignment horizontal="center" vertical="center"/>
    </xf>
    <xf numFmtId="0" fontId="0" fillId="0" borderId="3" xfId="0" applyBorder="1"/>
    <xf numFmtId="0" fontId="3" fillId="2" borderId="3" xfId="0" applyFont="1" applyFill="1" applyBorder="1" applyAlignment="1">
      <alignment horizontal="center" vertical="center" wrapText="1"/>
    </xf>
    <xf numFmtId="9" fontId="0" fillId="0" borderId="0" xfId="2" applyFont="1"/>
    <xf numFmtId="164" fontId="0" fillId="0" borderId="0" xfId="1" applyNumberFormat="1" applyFont="1"/>
    <xf numFmtId="0" fontId="2" fillId="0" borderId="5" xfId="0" applyFont="1" applyBorder="1"/>
    <xf numFmtId="164" fontId="0" fillId="0" borderId="0" xfId="0" applyNumberFormat="1"/>
    <xf numFmtId="0" fontId="2" fillId="0" borderId="8" xfId="0" applyFont="1" applyBorder="1"/>
    <xf numFmtId="0" fontId="2" fillId="0" borderId="0" xfId="0" applyFont="1"/>
    <xf numFmtId="164" fontId="2" fillId="0" borderId="0" xfId="1" applyNumberFormat="1" applyFont="1"/>
    <xf numFmtId="164" fontId="1" fillId="0" borderId="0" xfId="1" applyNumberFormat="1" applyFont="1" applyAlignment="1">
      <alignment wrapText="1"/>
    </xf>
    <xf numFmtId="164" fontId="1" fillId="0" borderId="0" xfId="1" applyNumberFormat="1" applyFont="1"/>
    <xf numFmtId="0" fontId="2" fillId="0" borderId="0" xfId="0" applyFont="1" applyFill="1" applyBorder="1"/>
    <xf numFmtId="0" fontId="0" fillId="0" borderId="0" xfId="0" applyAlignment="1">
      <alignment wrapText="1"/>
    </xf>
    <xf numFmtId="0" fontId="2" fillId="0" borderId="0" xfId="0" applyFont="1" applyBorder="1"/>
    <xf numFmtId="0" fontId="6" fillId="3" borderId="0" xfId="0" applyFont="1" applyFill="1" applyAlignment="1">
      <alignment vertical="top"/>
    </xf>
    <xf numFmtId="0" fontId="7" fillId="3" borderId="0" xfId="0" applyFont="1" applyFill="1"/>
    <xf numFmtId="0" fontId="8" fillId="3" borderId="0" xfId="0" applyFont="1" applyFill="1"/>
    <xf numFmtId="0" fontId="9" fillId="3" borderId="3" xfId="0" applyFont="1" applyFill="1" applyBorder="1"/>
    <xf numFmtId="166" fontId="9" fillId="0" borderId="3" xfId="0" applyNumberFormat="1" applyFont="1" applyFill="1" applyBorder="1"/>
    <xf numFmtId="0" fontId="9" fillId="3" borderId="5" xfId="0" applyFont="1" applyFill="1" applyBorder="1"/>
    <xf numFmtId="0" fontId="9" fillId="0" borderId="6" xfId="0" applyFont="1" applyFill="1" applyBorder="1" applyAlignment="1">
      <alignment horizontal="right"/>
    </xf>
    <xf numFmtId="0" fontId="9" fillId="3" borderId="4" xfId="0" applyFont="1" applyFill="1" applyBorder="1"/>
    <xf numFmtId="167" fontId="9" fillId="3" borderId="4" xfId="0" applyNumberFormat="1" applyFont="1" applyFill="1" applyBorder="1"/>
    <xf numFmtId="0" fontId="9" fillId="3" borderId="6" xfId="0" applyFont="1" applyFill="1" applyBorder="1"/>
    <xf numFmtId="167" fontId="9" fillId="3" borderId="6" xfId="0" applyNumberFormat="1" applyFont="1" applyFill="1" applyBorder="1" applyAlignment="1">
      <alignment horizontal="right"/>
    </xf>
    <xf numFmtId="0" fontId="9" fillId="3" borderId="9" xfId="0" applyFont="1" applyFill="1" applyBorder="1"/>
    <xf numFmtId="0" fontId="9" fillId="3" borderId="10" xfId="0" applyFont="1" applyFill="1" applyBorder="1"/>
    <xf numFmtId="167" fontId="9" fillId="3" borderId="3" xfId="0" applyNumberFormat="1" applyFont="1" applyFill="1" applyBorder="1"/>
    <xf numFmtId="167" fontId="7" fillId="3" borderId="0" xfId="0" applyNumberFormat="1" applyFont="1" applyFill="1"/>
    <xf numFmtId="0" fontId="9" fillId="3" borderId="0" xfId="0" applyFont="1" applyFill="1"/>
    <xf numFmtId="165" fontId="9" fillId="0" borderId="3" xfId="0" applyNumberFormat="1" applyFont="1" applyFill="1" applyBorder="1"/>
    <xf numFmtId="167" fontId="9" fillId="3" borderId="6" xfId="0" applyNumberFormat="1" applyFont="1" applyFill="1" applyBorder="1"/>
    <xf numFmtId="0" fontId="9" fillId="3" borderId="7" xfId="0" applyFont="1" applyFill="1" applyBorder="1"/>
    <xf numFmtId="0" fontId="9" fillId="3" borderId="8" xfId="0" applyFont="1" applyFill="1" applyBorder="1"/>
    <xf numFmtId="168" fontId="9" fillId="3" borderId="3" xfId="1" applyNumberFormat="1" applyFont="1" applyFill="1" applyBorder="1"/>
    <xf numFmtId="10" fontId="0" fillId="0" borderId="0" xfId="0" applyNumberFormat="1"/>
    <xf numFmtId="6" fontId="0" fillId="0" borderId="0" xfId="0" applyNumberFormat="1"/>
    <xf numFmtId="164" fontId="9" fillId="0" borderId="4" xfId="1" applyNumberFormat="1" applyFont="1" applyFill="1" applyBorder="1" applyProtection="1">
      <protection locked="0"/>
    </xf>
    <xf numFmtId="169" fontId="9" fillId="0" borderId="3" xfId="1" applyNumberFormat="1" applyFont="1" applyFill="1" applyBorder="1"/>
    <xf numFmtId="170" fontId="9" fillId="0" borderId="3" xfId="1" applyNumberFormat="1" applyFont="1" applyFill="1" applyBorder="1"/>
  </cellXfs>
  <cellStyles count="3">
    <cellStyle name="Komma" xfId="1" builtinId="3"/>
    <cellStyle name="Normal" xfId="0" builtinId="0"/>
    <cellStyle name="Prosent" xfId="2" builtinId="5"/>
  </cellStyles>
  <dxfs count="1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FFFFFF"/>
      <color rgb="FFE5FFE5"/>
      <color rgb="FFCCFFCC"/>
      <color rgb="FFB0FFCC"/>
      <color rgb="FF99FFCC"/>
      <color rgb="FFCCFFFF"/>
      <color rgb="FF66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Very Good VS TEK17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BREEAM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tall'!$J$3:$J$7</c:f>
              <c:strCache>
                <c:ptCount val="5"/>
                <c:pt idx="0">
                  <c:v>Bygg 1</c:v>
                </c:pt>
                <c:pt idx="1">
                  <c:v>Bygg 2</c:v>
                </c:pt>
                <c:pt idx="2">
                  <c:v>Estimat</c:v>
                </c:pt>
                <c:pt idx="3">
                  <c:v>Bygg 3</c:v>
                </c:pt>
                <c:pt idx="4">
                  <c:v>Bygg 4</c:v>
                </c:pt>
              </c:strCache>
            </c:strRef>
          </c:cat>
          <c:val>
            <c:numRef>
              <c:f>'Nye tall'!$P$3:$P$7</c:f>
              <c:numCache>
                <c:formatCode>_-* #\ ##0_-;\-* #\ ##0_-;_-* "-"??_-;_-@_-</c:formatCode>
                <c:ptCount val="5"/>
                <c:pt idx="0">
                  <c:v>42045.352807082447</c:v>
                </c:pt>
                <c:pt idx="1">
                  <c:v>28572.987690958074</c:v>
                </c:pt>
                <c:pt idx="2">
                  <c:v>33981.680260988833</c:v>
                </c:pt>
                <c:pt idx="3">
                  <c:v>29545.961624426949</c:v>
                </c:pt>
                <c:pt idx="4">
                  <c:v>26852.003675467924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89-457E-8011-91EDA0E96791}"/>
            </c:ext>
          </c:extLst>
        </c:ser>
        <c:ser>
          <c:idx val="1"/>
          <c:order val="1"/>
          <c:tx>
            <c:v>TEK17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'Nye tall'!$J$3:$J$7</c:f>
              <c:strCache>
                <c:ptCount val="5"/>
                <c:pt idx="0">
                  <c:v>Bygg 1</c:v>
                </c:pt>
                <c:pt idx="1">
                  <c:v>Bygg 2</c:v>
                </c:pt>
                <c:pt idx="2">
                  <c:v>Estimat</c:v>
                </c:pt>
                <c:pt idx="3">
                  <c:v>Bygg 3</c:v>
                </c:pt>
                <c:pt idx="4">
                  <c:v>Bygg 4</c:v>
                </c:pt>
              </c:strCache>
            </c:strRef>
          </c:cat>
          <c:val>
            <c:numRef>
              <c:f>'Nye tall'!$H$3:$H$7</c:f>
              <c:numCache>
                <c:formatCode>_-* #\ ##0_-;\-* #\ ##0_-;_-* "-"??_-;_-@_-</c:formatCode>
                <c:ptCount val="5"/>
                <c:pt idx="0">
                  <c:v>33060</c:v>
                </c:pt>
                <c:pt idx="1">
                  <c:v>31325</c:v>
                </c:pt>
                <c:pt idx="2">
                  <c:v>31664.471201831297</c:v>
                </c:pt>
                <c:pt idx="3">
                  <c:v>31486</c:v>
                </c:pt>
                <c:pt idx="4">
                  <c:v>27757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89-457E-8011-91EDA0E96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Blandet kr/kvm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'Nye tall'!$F$2</c:f>
              <c:strCache>
                <c:ptCount val="1"/>
                <c:pt idx="0">
                  <c:v>kr/kvm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cat>
            <c:numRef>
              <c:f>'Nye tall'!$E$19:$E$26</c:f>
              <c:numCache>
                <c:formatCode>_-* #\ ##0_-;\-* #\ ##0_-;_-* "-"??_-;_-@_-</c:formatCode>
                <c:ptCount val="8"/>
                <c:pt idx="0">
                  <c:v>3784</c:v>
                </c:pt>
                <c:pt idx="1">
                  <c:v>6501</c:v>
                </c:pt>
                <c:pt idx="2">
                  <c:v>7700</c:v>
                </c:pt>
                <c:pt idx="3">
                  <c:v>8701</c:v>
                </c:pt>
                <c:pt idx="4">
                  <c:v>11561</c:v>
                </c:pt>
                <c:pt idx="5">
                  <c:v>13442</c:v>
                </c:pt>
                <c:pt idx="6">
                  <c:v>14023</c:v>
                </c:pt>
                <c:pt idx="7">
                  <c:v>33047</c:v>
                </c:pt>
              </c:numCache>
            </c:numRef>
          </c:cat>
          <c:val>
            <c:numRef>
              <c:f>'Nye tall'!$F$19:$F$26</c:f>
              <c:numCache>
                <c:formatCode>_-* #\ ##0_-;\-* #\ ##0_-;_-* "-"??_-;_-@_-</c:formatCode>
                <c:ptCount val="8"/>
                <c:pt idx="0">
                  <c:v>41490.486257928118</c:v>
                </c:pt>
                <c:pt idx="1">
                  <c:v>28153.846153846152</c:v>
                </c:pt>
                <c:pt idx="2">
                  <c:v>27402.597402597403</c:v>
                </c:pt>
                <c:pt idx="3">
                  <c:v>33635</c:v>
                </c:pt>
                <c:pt idx="4">
                  <c:v>29322.722947841881</c:v>
                </c:pt>
                <c:pt idx="5">
                  <c:v>26626.354687966064</c:v>
                </c:pt>
                <c:pt idx="6">
                  <c:v>29396</c:v>
                </c:pt>
                <c:pt idx="7">
                  <c:v>43852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7-45CF-AC9F-9B1B6087C2A7}"/>
            </c:ext>
          </c:extLst>
        </c:ser>
        <c:ser>
          <c:idx val="1"/>
          <c:order val="1"/>
          <c:tx>
            <c:v>Trendformel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'Nye tall'!$E$19:$E$26</c:f>
              <c:numCache>
                <c:formatCode>_-* #\ ##0_-;\-* #\ ##0_-;_-* "-"??_-;_-@_-</c:formatCode>
                <c:ptCount val="8"/>
                <c:pt idx="0">
                  <c:v>3784</c:v>
                </c:pt>
                <c:pt idx="1">
                  <c:v>6501</c:v>
                </c:pt>
                <c:pt idx="2">
                  <c:v>7700</c:v>
                </c:pt>
                <c:pt idx="3">
                  <c:v>8701</c:v>
                </c:pt>
                <c:pt idx="4">
                  <c:v>11561</c:v>
                </c:pt>
                <c:pt idx="5">
                  <c:v>13442</c:v>
                </c:pt>
                <c:pt idx="6">
                  <c:v>14023</c:v>
                </c:pt>
                <c:pt idx="7">
                  <c:v>33047</c:v>
                </c:pt>
              </c:numCache>
            </c:numRef>
          </c:cat>
          <c:val>
            <c:numRef>
              <c:f>'Nye tall'!$H$19:$H$26</c:f>
              <c:numCache>
                <c:formatCode>_-* #\ ##0_-;\-* #\ ##0_-;_-* "-"??_-;_-@_-</c:formatCode>
                <c:ptCount val="8"/>
                <c:pt idx="0">
                  <c:v>33060</c:v>
                </c:pt>
                <c:pt idx="1">
                  <c:v>31325</c:v>
                </c:pt>
                <c:pt idx="2">
                  <c:v>31623.635877655048</c:v>
                </c:pt>
                <c:pt idx="3">
                  <c:v>30556</c:v>
                </c:pt>
                <c:pt idx="4">
                  <c:v>33635.074866310162</c:v>
                </c:pt>
                <c:pt idx="5">
                  <c:v>31486</c:v>
                </c:pt>
                <c:pt idx="6">
                  <c:v>27757</c:v>
                </c:pt>
                <c:pt idx="7">
                  <c:v>30130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7-45CF-AC9F-9B1B6087C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110784"/>
        <c:axId val="52859232"/>
      </c:barChart>
      <c:catAx>
        <c:axId val="20411078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859232"/>
        <c:crosses val="autoZero"/>
        <c:auto val="1"/>
        <c:lblAlgn val="ctr"/>
        <c:lblOffset val="100"/>
        <c:noMultiLvlLbl val="0"/>
      </c:catAx>
      <c:valAx>
        <c:axId val="528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41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Blandet kr/kvm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tall'!$J$19:$J$27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Estimat</c:v>
                </c:pt>
                <c:pt idx="3">
                  <c:v>5</c:v>
                </c:pt>
                <c:pt idx="4">
                  <c:v>7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</c:strCache>
            </c:strRef>
          </c:cat>
          <c:val>
            <c:numRef>
              <c:f>'Nye tall'!$P$19:$P$27</c:f>
              <c:numCache>
                <c:formatCode>_-* #\ ##0_-;\-* #\ ##0_-;_-* "-"??_-;_-@_-</c:formatCode>
                <c:ptCount val="9"/>
                <c:pt idx="0">
                  <c:v>42045.352807082447</c:v>
                </c:pt>
                <c:pt idx="1">
                  <c:v>28572.987690958074</c:v>
                </c:pt>
                <c:pt idx="2">
                  <c:v>31063.923828140247</c:v>
                </c:pt>
                <c:pt idx="3">
                  <c:v>27811.324338701303</c:v>
                </c:pt>
                <c:pt idx="4">
                  <c:v>34026.587008389841</c:v>
                </c:pt>
                <c:pt idx="5">
                  <c:v>29545.961624426949</c:v>
                </c:pt>
                <c:pt idx="6">
                  <c:v>26852.003675467924</c:v>
                </c:pt>
                <c:pt idx="7">
                  <c:v>29619.664405660751</c:v>
                </c:pt>
                <c:pt idx="8">
                  <c:v>44138.179318373484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C-4884-9ECC-7E9382F8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2063615"/>
        <c:axId val="1932775215"/>
      </c:barChart>
      <c:catAx>
        <c:axId val="196206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32775215"/>
        <c:crosses val="autoZero"/>
        <c:auto val="1"/>
        <c:lblAlgn val="ctr"/>
        <c:lblOffset val="100"/>
        <c:noMultiLvlLbl val="0"/>
      </c:catAx>
      <c:valAx>
        <c:axId val="193277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62063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Very Good VS TEK17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BREEAM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tall'!$J$3:$J$7</c:f>
              <c:strCache>
                <c:ptCount val="5"/>
                <c:pt idx="0">
                  <c:v>Bygg 1</c:v>
                </c:pt>
                <c:pt idx="1">
                  <c:v>Bygg 2</c:v>
                </c:pt>
                <c:pt idx="2">
                  <c:v>Estimat</c:v>
                </c:pt>
                <c:pt idx="3">
                  <c:v>Bygg 3</c:v>
                </c:pt>
                <c:pt idx="4">
                  <c:v>Bygg 4</c:v>
                </c:pt>
              </c:strCache>
            </c:strRef>
          </c:cat>
          <c:val>
            <c:numRef>
              <c:f>'Nye tall'!$P$3:$P$7</c:f>
              <c:numCache>
                <c:formatCode>_-* #\ ##0_-;\-* #\ ##0_-;_-* "-"??_-;_-@_-</c:formatCode>
                <c:ptCount val="5"/>
                <c:pt idx="0">
                  <c:v>42045.352807082447</c:v>
                </c:pt>
                <c:pt idx="1">
                  <c:v>28572.987690958074</c:v>
                </c:pt>
                <c:pt idx="2">
                  <c:v>33981.680260988833</c:v>
                </c:pt>
                <c:pt idx="3">
                  <c:v>29545.961624426949</c:v>
                </c:pt>
                <c:pt idx="4">
                  <c:v>26852.003675467924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6-421A-ACC9-5202668DE1E6}"/>
            </c:ext>
          </c:extLst>
        </c:ser>
        <c:ser>
          <c:idx val="1"/>
          <c:order val="1"/>
          <c:tx>
            <c:v>TEK17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'Nye tall'!$J$3:$J$7</c:f>
              <c:strCache>
                <c:ptCount val="5"/>
                <c:pt idx="0">
                  <c:v>Bygg 1</c:v>
                </c:pt>
                <c:pt idx="1">
                  <c:v>Bygg 2</c:v>
                </c:pt>
                <c:pt idx="2">
                  <c:v>Estimat</c:v>
                </c:pt>
                <c:pt idx="3">
                  <c:v>Bygg 3</c:v>
                </c:pt>
                <c:pt idx="4">
                  <c:v>Bygg 4</c:v>
                </c:pt>
              </c:strCache>
            </c:strRef>
          </c:cat>
          <c:val>
            <c:numRef>
              <c:f>'Nye tall'!$H$3:$H$7</c:f>
              <c:numCache>
                <c:formatCode>_-* #\ ##0_-;\-* #\ ##0_-;_-* "-"??_-;_-@_-</c:formatCode>
                <c:ptCount val="5"/>
                <c:pt idx="0">
                  <c:v>33060</c:v>
                </c:pt>
                <c:pt idx="1">
                  <c:v>31325</c:v>
                </c:pt>
                <c:pt idx="2">
                  <c:v>31664.471201831297</c:v>
                </c:pt>
                <c:pt idx="3">
                  <c:v>31486</c:v>
                </c:pt>
                <c:pt idx="4">
                  <c:v>27757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E6-421A-ACC9-5202668DE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ExcellentVS TEK17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BREEAM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tall'!$J$11:$J$15</c:f>
              <c:strCache>
                <c:ptCount val="5"/>
                <c:pt idx="0">
                  <c:v>Estimat</c:v>
                </c:pt>
                <c:pt idx="1">
                  <c:v>Bygg 5</c:v>
                </c:pt>
                <c:pt idx="2">
                  <c:v>Bygg 6</c:v>
                </c:pt>
                <c:pt idx="3">
                  <c:v>Bygg 7</c:v>
                </c:pt>
                <c:pt idx="4">
                  <c:v>Bygg 8</c:v>
                </c:pt>
              </c:strCache>
            </c:strRef>
          </c:cat>
          <c:val>
            <c:numRef>
              <c:f>'Nye tall'!$P$11:$P$15</c:f>
              <c:numCache>
                <c:formatCode>_-* #\ ##0_-;\-* #\ ##0_-;_-* "-"??_-;_-@_-</c:formatCode>
                <c:ptCount val="5"/>
                <c:pt idx="0">
                  <c:v>29514.00033164864</c:v>
                </c:pt>
                <c:pt idx="1">
                  <c:v>29133.7269361039</c:v>
                </c:pt>
                <c:pt idx="2">
                  <c:v>34026.587008389841</c:v>
                </c:pt>
                <c:pt idx="3">
                  <c:v>29619.664405660751</c:v>
                </c:pt>
                <c:pt idx="4">
                  <c:v>44138.179318373484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9-43D6-92B9-C7D9ECE224DD}"/>
            </c:ext>
          </c:extLst>
        </c:ser>
        <c:ser>
          <c:idx val="1"/>
          <c:order val="1"/>
          <c:tx>
            <c:v>TEK17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'Nye tall'!$J$11:$J$15</c:f>
              <c:strCache>
                <c:ptCount val="5"/>
                <c:pt idx="0">
                  <c:v>Estimat</c:v>
                </c:pt>
                <c:pt idx="1">
                  <c:v>Bygg 5</c:v>
                </c:pt>
                <c:pt idx="2">
                  <c:v>Bygg 6</c:v>
                </c:pt>
                <c:pt idx="3">
                  <c:v>Bygg 7</c:v>
                </c:pt>
                <c:pt idx="4">
                  <c:v>Bygg 8</c:v>
                </c:pt>
              </c:strCache>
            </c:strRef>
          </c:cat>
          <c:val>
            <c:numRef>
              <c:f>'Nye tall'!$H$11:$H$15</c:f>
              <c:numCache>
                <c:formatCode>_-* #\ ##0_-;\-* #\ ##0_-;_-* "-"??_-;_-@_-</c:formatCode>
                <c:ptCount val="5"/>
                <c:pt idx="0">
                  <c:v>31970.692493331317</c:v>
                </c:pt>
                <c:pt idx="1">
                  <c:v>30556</c:v>
                </c:pt>
                <c:pt idx="2">
                  <c:v>33635.074866310162</c:v>
                </c:pt>
                <c:pt idx="3">
                  <c:v>30130</c:v>
                </c:pt>
                <c:pt idx="4">
                  <c:v>27976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9-43D6-92B9-C7D9ECE22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ExcellentVS TEK17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BREEAM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tall'!$J$19:$J$27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Estimat</c:v>
                </c:pt>
                <c:pt idx="3">
                  <c:v>5</c:v>
                </c:pt>
                <c:pt idx="4">
                  <c:v>7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</c:strCache>
            </c:strRef>
          </c:cat>
          <c:val>
            <c:numRef>
              <c:f>'Nye tall'!$P$19:$P$27</c:f>
              <c:numCache>
                <c:formatCode>_-* #\ ##0_-;\-* #\ ##0_-;_-* "-"??_-;_-@_-</c:formatCode>
                <c:ptCount val="9"/>
                <c:pt idx="0">
                  <c:v>42045.352807082447</c:v>
                </c:pt>
                <c:pt idx="1">
                  <c:v>28572.987690958074</c:v>
                </c:pt>
                <c:pt idx="2">
                  <c:v>31063.923828140247</c:v>
                </c:pt>
                <c:pt idx="3">
                  <c:v>27811.324338701303</c:v>
                </c:pt>
                <c:pt idx="4">
                  <c:v>34026.587008389841</c:v>
                </c:pt>
                <c:pt idx="5">
                  <c:v>29545.961624426949</c:v>
                </c:pt>
                <c:pt idx="6">
                  <c:v>26852.003675467924</c:v>
                </c:pt>
                <c:pt idx="7">
                  <c:v>29619.664405660751</c:v>
                </c:pt>
                <c:pt idx="8">
                  <c:v>44138.179318373484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3-4046-B569-D677141C652A}"/>
            </c:ext>
          </c:extLst>
        </c:ser>
        <c:ser>
          <c:idx val="1"/>
          <c:order val="1"/>
          <c:tx>
            <c:v>TEK17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'Nye tall'!$J$19:$J$27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Estimat</c:v>
                </c:pt>
                <c:pt idx="3">
                  <c:v>5</c:v>
                </c:pt>
                <c:pt idx="4">
                  <c:v>7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</c:strCache>
            </c:strRef>
          </c:cat>
          <c:val>
            <c:numRef>
              <c:f>'Nye tall'!$H$19:$H$27</c:f>
              <c:numCache>
                <c:formatCode>_-* #\ ##0_-;\-* #\ ##0_-;_-* "-"??_-;_-@_-</c:formatCode>
                <c:ptCount val="9"/>
                <c:pt idx="0">
                  <c:v>33060</c:v>
                </c:pt>
                <c:pt idx="1">
                  <c:v>31325</c:v>
                </c:pt>
                <c:pt idx="2">
                  <c:v>31623.635877655048</c:v>
                </c:pt>
                <c:pt idx="3">
                  <c:v>30556</c:v>
                </c:pt>
                <c:pt idx="4">
                  <c:v>33635.074866310162</c:v>
                </c:pt>
                <c:pt idx="5">
                  <c:v>31486</c:v>
                </c:pt>
                <c:pt idx="6">
                  <c:v>27757</c:v>
                </c:pt>
                <c:pt idx="7">
                  <c:v>30130</c:v>
                </c:pt>
                <c:pt idx="8">
                  <c:v>27976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B3-4046-B569-D677141C6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Excellent VS TEK17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BREEAM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tall'!$J$11:$J$15</c:f>
              <c:strCache>
                <c:ptCount val="5"/>
                <c:pt idx="0">
                  <c:v>Estimat</c:v>
                </c:pt>
                <c:pt idx="1">
                  <c:v>Bygg 5</c:v>
                </c:pt>
                <c:pt idx="2">
                  <c:v>Bygg 6</c:v>
                </c:pt>
                <c:pt idx="3">
                  <c:v>Bygg 7</c:v>
                </c:pt>
                <c:pt idx="4">
                  <c:v>Bygg 8</c:v>
                </c:pt>
              </c:strCache>
            </c:strRef>
          </c:cat>
          <c:val>
            <c:numRef>
              <c:f>'Nye tall'!$P$11:$P$15</c:f>
              <c:numCache>
                <c:formatCode>_-* #\ ##0_-;\-* #\ ##0_-;_-* "-"??_-;_-@_-</c:formatCode>
                <c:ptCount val="5"/>
                <c:pt idx="0">
                  <c:v>29514.00033164864</c:v>
                </c:pt>
                <c:pt idx="1">
                  <c:v>29133.7269361039</c:v>
                </c:pt>
                <c:pt idx="2">
                  <c:v>34026.587008389841</c:v>
                </c:pt>
                <c:pt idx="3">
                  <c:v>29619.664405660751</c:v>
                </c:pt>
                <c:pt idx="4">
                  <c:v>44138.179318373484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C4-4F26-B10F-B7DD15DE9F29}"/>
            </c:ext>
          </c:extLst>
        </c:ser>
        <c:ser>
          <c:idx val="1"/>
          <c:order val="1"/>
          <c:tx>
            <c:v>TEK17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'Nye tall'!$J$11:$J$15</c:f>
              <c:strCache>
                <c:ptCount val="5"/>
                <c:pt idx="0">
                  <c:v>Estimat</c:v>
                </c:pt>
                <c:pt idx="1">
                  <c:v>Bygg 5</c:v>
                </c:pt>
                <c:pt idx="2">
                  <c:v>Bygg 6</c:v>
                </c:pt>
                <c:pt idx="3">
                  <c:v>Bygg 7</c:v>
                </c:pt>
                <c:pt idx="4">
                  <c:v>Bygg 8</c:v>
                </c:pt>
              </c:strCache>
            </c:strRef>
          </c:cat>
          <c:val>
            <c:numRef>
              <c:f>'Nye tall'!$H$11:$H$15</c:f>
              <c:numCache>
                <c:formatCode>_-* #\ ##0_-;\-* #\ ##0_-;_-* "-"??_-;_-@_-</c:formatCode>
                <c:ptCount val="5"/>
                <c:pt idx="0">
                  <c:v>31970.692493331317</c:v>
                </c:pt>
                <c:pt idx="1">
                  <c:v>30556</c:v>
                </c:pt>
                <c:pt idx="2">
                  <c:v>33635.074866310162</c:v>
                </c:pt>
                <c:pt idx="3">
                  <c:v>30130</c:v>
                </c:pt>
                <c:pt idx="4">
                  <c:v>27976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C4-4F26-B10F-B7DD15DE9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'Gamle tall'!$A$11</c:f>
              <c:strCache>
                <c:ptCount val="1"/>
                <c:pt idx="0">
                  <c:v>Dårlig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'Gamle tall'!$B$9:$K$9</c:f>
              <c:strCache>
                <c:ptCount val="7"/>
                <c:pt idx="0">
                  <c:v>Good</c:v>
                </c:pt>
                <c:pt idx="1">
                  <c:v>Very Good</c:v>
                </c:pt>
                <c:pt idx="2">
                  <c:v>Very Good</c:v>
                </c:pt>
                <c:pt idx="3">
                  <c:v>Excellent</c:v>
                </c:pt>
                <c:pt idx="4">
                  <c:v>Outstanding</c:v>
                </c:pt>
                <c:pt idx="5">
                  <c:v>Outstanding</c:v>
                </c:pt>
                <c:pt idx="6">
                  <c:v>Outstanding</c:v>
                </c:pt>
              </c:strCache>
            </c:strRef>
          </c:cat>
          <c:val>
            <c:numRef>
              <c:f>'Gamle tall'!$B$11:$K$11</c:f>
              <c:numCache>
                <c:formatCode>General</c:formatCode>
                <c:ptCount val="7"/>
                <c:pt idx="0">
                  <c:v>0.25</c:v>
                </c:pt>
                <c:pt idx="1">
                  <c:v>0.375</c:v>
                </c:pt>
                <c:pt idx="2">
                  <c:v>1.125</c:v>
                </c:pt>
                <c:pt idx="3">
                  <c:v>2.125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30-42DD-BD3F-2E89BF4C5EBD}"/>
            </c:ext>
          </c:extLst>
        </c:ser>
        <c:ser>
          <c:idx val="2"/>
          <c:order val="1"/>
          <c:tx>
            <c:strRef>
              <c:f>'Gamle tall'!$A$12</c:f>
              <c:strCache>
                <c:ptCount val="1"/>
                <c:pt idx="0">
                  <c:v>Gjennomsnitt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'Gamle tall'!$B$9:$K$9</c:f>
              <c:strCache>
                <c:ptCount val="7"/>
                <c:pt idx="0">
                  <c:v>Good</c:v>
                </c:pt>
                <c:pt idx="1">
                  <c:v>Very Good</c:v>
                </c:pt>
                <c:pt idx="2">
                  <c:v>Very Good</c:v>
                </c:pt>
                <c:pt idx="3">
                  <c:v>Excellent</c:v>
                </c:pt>
                <c:pt idx="4">
                  <c:v>Outstanding</c:v>
                </c:pt>
                <c:pt idx="5">
                  <c:v>Outstanding</c:v>
                </c:pt>
                <c:pt idx="6">
                  <c:v>Outstanding</c:v>
                </c:pt>
              </c:strCache>
            </c:strRef>
          </c:cat>
          <c:val>
            <c:numRef>
              <c:f>'Gamle tall'!$B$12:$K$12</c:f>
              <c:numCache>
                <c:formatCode>General</c:formatCode>
                <c:ptCount val="7"/>
                <c:pt idx="0">
                  <c:v>0.125</c:v>
                </c:pt>
                <c:pt idx="1">
                  <c:v>0.3125</c:v>
                </c:pt>
                <c:pt idx="2">
                  <c:v>0.625</c:v>
                </c:pt>
                <c:pt idx="3">
                  <c:v>1.25</c:v>
                </c:pt>
                <c:pt idx="4">
                  <c:v>2.125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30-42DD-BD3F-2E89BF4C5EBD}"/>
            </c:ext>
          </c:extLst>
        </c:ser>
        <c:ser>
          <c:idx val="3"/>
          <c:order val="2"/>
          <c:tx>
            <c:strRef>
              <c:f>'Gamle tall'!$A$13</c:f>
              <c:strCache>
                <c:ptCount val="1"/>
                <c:pt idx="0">
                  <c:v>God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'Gamle tall'!$B$9:$K$9</c:f>
              <c:strCache>
                <c:ptCount val="7"/>
                <c:pt idx="0">
                  <c:v>Good</c:v>
                </c:pt>
                <c:pt idx="1">
                  <c:v>Very Good</c:v>
                </c:pt>
                <c:pt idx="2">
                  <c:v>Very Good</c:v>
                </c:pt>
                <c:pt idx="3">
                  <c:v>Excellent</c:v>
                </c:pt>
                <c:pt idx="4">
                  <c:v>Outstanding</c:v>
                </c:pt>
                <c:pt idx="5">
                  <c:v>Outstanding</c:v>
                </c:pt>
                <c:pt idx="6">
                  <c:v>Outstanding</c:v>
                </c:pt>
              </c:strCache>
            </c:strRef>
          </c:cat>
          <c:val>
            <c:numRef>
              <c:f>'Gamle tall'!$B$13:$K$13</c:f>
              <c:numCache>
                <c:formatCode>General</c:formatCode>
                <c:ptCount val="7"/>
                <c:pt idx="0">
                  <c:v>0.1</c:v>
                </c:pt>
                <c:pt idx="1">
                  <c:v>0.125</c:v>
                </c:pt>
                <c:pt idx="2">
                  <c:v>0.25</c:v>
                </c:pt>
                <c:pt idx="3">
                  <c:v>0.875</c:v>
                </c:pt>
                <c:pt idx="4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30-42DD-BD3F-2E89BF4C5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9267951"/>
        <c:axId val="2099268783"/>
      </c:lineChart>
      <c:catAx>
        <c:axId val="209926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99268783"/>
        <c:crosses val="autoZero"/>
        <c:auto val="1"/>
        <c:lblAlgn val="ctr"/>
        <c:lblOffset val="100"/>
        <c:noMultiLvlLbl val="0"/>
      </c:catAx>
      <c:valAx>
        <c:axId val="2099268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99267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Very</a:t>
            </a:r>
            <a:r>
              <a:rPr lang="en-US" baseline="0"/>
              <a:t> Good </a:t>
            </a:r>
            <a:r>
              <a:rPr lang="en-US"/>
              <a:t>kr/kvm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'Nye tall'!$F$2</c:f>
              <c:strCache>
                <c:ptCount val="1"/>
                <c:pt idx="0">
                  <c:v>kr/kvm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cat>
            <c:numRef>
              <c:f>'Nye tall'!$F$3:$F$6</c:f>
              <c:numCache>
                <c:formatCode>_-* #\ ##0_-;\-* #\ ##0_-;_-* "-"??_-;_-@_-</c:formatCode>
                <c:ptCount val="4"/>
                <c:pt idx="0">
                  <c:v>41490.486257928118</c:v>
                </c:pt>
                <c:pt idx="1">
                  <c:v>28153.846153846152</c:v>
                </c:pt>
                <c:pt idx="2">
                  <c:v>29322.722947841881</c:v>
                </c:pt>
                <c:pt idx="3">
                  <c:v>26626.354687966064</c:v>
                </c:pt>
              </c:numCache>
            </c:numRef>
          </c:cat>
          <c:val>
            <c:numRef>
              <c:f>'Nye tall'!$F$3:$F$6</c:f>
              <c:numCache>
                <c:formatCode>_-* #\ ##0_-;\-* #\ ##0_-;_-* "-"??_-;_-@_-</c:formatCode>
                <c:ptCount val="4"/>
                <c:pt idx="0">
                  <c:v>41490.486257928118</c:v>
                </c:pt>
                <c:pt idx="1">
                  <c:v>28153.846153846152</c:v>
                </c:pt>
                <c:pt idx="2">
                  <c:v>29322.722947841881</c:v>
                </c:pt>
                <c:pt idx="3">
                  <c:v>26626.354687966064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AC0-91F3-F377BEB1EB3E}"/>
            </c:ext>
          </c:extLst>
        </c:ser>
        <c:ser>
          <c:idx val="1"/>
          <c:order val="1"/>
          <c:tx>
            <c:v>Trendformel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'Nye tall'!$H$3:$H$6</c:f>
              <c:numCache>
                <c:formatCode>_-* #\ ##0_-;\-* #\ ##0_-;_-* "-"??_-;_-@_-</c:formatCode>
                <c:ptCount val="4"/>
                <c:pt idx="0">
                  <c:v>33060</c:v>
                </c:pt>
                <c:pt idx="1">
                  <c:v>31325</c:v>
                </c:pt>
                <c:pt idx="2">
                  <c:v>31664.471201831297</c:v>
                </c:pt>
                <c:pt idx="3">
                  <c:v>31486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E2-44C7-9CAE-731C1EE3A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110784"/>
        <c:axId val="52859232"/>
      </c:barChart>
      <c:catAx>
        <c:axId val="204110784"/>
        <c:scaling>
          <c:orientation val="minMax"/>
        </c:scaling>
        <c:delete val="0"/>
        <c:axPos val="b"/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859232"/>
        <c:crosses val="autoZero"/>
        <c:auto val="1"/>
        <c:lblAlgn val="ctr"/>
        <c:lblOffset val="100"/>
        <c:noMultiLvlLbl val="0"/>
      </c:catAx>
      <c:valAx>
        <c:axId val="528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41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Excellent kr/kvm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'Nye tall'!$F$2</c:f>
              <c:strCache>
                <c:ptCount val="1"/>
                <c:pt idx="0">
                  <c:v>kr/kvm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cat>
            <c:numRef>
              <c:f>'Nye tall'!$F$11:$F$14</c:f>
              <c:numCache>
                <c:formatCode>_-* #\ ##0_-;\-* #\ ##0_-;_-* "-"??_-;_-@_-</c:formatCode>
                <c:ptCount val="4"/>
                <c:pt idx="0">
                  <c:v>28725</c:v>
                </c:pt>
                <c:pt idx="1">
                  <c:v>33635</c:v>
                </c:pt>
                <c:pt idx="2">
                  <c:v>29396</c:v>
                </c:pt>
                <c:pt idx="3">
                  <c:v>43852</c:v>
                </c:pt>
              </c:numCache>
            </c:numRef>
          </c:cat>
          <c:val>
            <c:numRef>
              <c:f>'Nye tall'!$F$11:$F$14</c:f>
              <c:numCache>
                <c:formatCode>_-* #\ ##0_-;\-* #\ ##0_-;_-* "-"??_-;_-@_-</c:formatCode>
                <c:ptCount val="4"/>
                <c:pt idx="0">
                  <c:v>28725</c:v>
                </c:pt>
                <c:pt idx="1">
                  <c:v>33635</c:v>
                </c:pt>
                <c:pt idx="2">
                  <c:v>29396</c:v>
                </c:pt>
                <c:pt idx="3">
                  <c:v>43852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F-49BA-B789-221FACE87945}"/>
            </c:ext>
          </c:extLst>
        </c:ser>
        <c:ser>
          <c:idx val="1"/>
          <c:order val="1"/>
          <c:tx>
            <c:v>Trendformel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'Nye tall'!$H$11:$H$14</c:f>
              <c:numCache>
                <c:formatCode>_-* #\ ##0_-;\-* #\ ##0_-;_-* "-"??_-;_-@_-</c:formatCode>
                <c:ptCount val="4"/>
                <c:pt idx="0">
                  <c:v>31970.692493331317</c:v>
                </c:pt>
                <c:pt idx="1">
                  <c:v>30556</c:v>
                </c:pt>
                <c:pt idx="2">
                  <c:v>33635.074866310162</c:v>
                </c:pt>
                <c:pt idx="3">
                  <c:v>30130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23-46ED-AECB-BD3EA1A44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110784"/>
        <c:axId val="52859232"/>
      </c:barChart>
      <c:catAx>
        <c:axId val="204110784"/>
        <c:scaling>
          <c:orientation val="minMax"/>
        </c:scaling>
        <c:delete val="0"/>
        <c:axPos val="b"/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859232"/>
        <c:crosses val="autoZero"/>
        <c:auto val="1"/>
        <c:lblAlgn val="ctr"/>
        <c:lblOffset val="100"/>
        <c:noMultiLvlLbl val="0"/>
      </c:catAx>
      <c:valAx>
        <c:axId val="528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41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Blandet kr/kvm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'Nye tall'!$A$19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'Nye tall'!$A$19:$A$26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7</c:v>
                </c:pt>
                <c:pt idx="4">
                  <c:v>3</c:v>
                </c:pt>
                <c:pt idx="5">
                  <c:v>4</c:v>
                </c:pt>
                <c:pt idx="6">
                  <c:v>6</c:v>
                </c:pt>
                <c:pt idx="7">
                  <c:v>8</c:v>
                </c:pt>
              </c:numCache>
            </c:numRef>
          </c:cat>
          <c:val>
            <c:numRef>
              <c:f>'Nye tall'!$F$19:$F$26</c:f>
              <c:numCache>
                <c:formatCode>_-* #\ ##0_-;\-* #\ ##0_-;_-* "-"??_-;_-@_-</c:formatCode>
                <c:ptCount val="8"/>
                <c:pt idx="0">
                  <c:v>41490.486257928118</c:v>
                </c:pt>
                <c:pt idx="1">
                  <c:v>28153.846153846152</c:v>
                </c:pt>
                <c:pt idx="2">
                  <c:v>27402.597402597403</c:v>
                </c:pt>
                <c:pt idx="3">
                  <c:v>33635</c:v>
                </c:pt>
                <c:pt idx="4">
                  <c:v>29322.722947841881</c:v>
                </c:pt>
                <c:pt idx="5">
                  <c:v>26626.354687966064</c:v>
                </c:pt>
                <c:pt idx="6">
                  <c:v>29396</c:v>
                </c:pt>
                <c:pt idx="7">
                  <c:v>43852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50-456D-810F-29F3D357B2BA}"/>
            </c:ext>
          </c:extLst>
        </c:ser>
        <c:ser>
          <c:idx val="1"/>
          <c:order val="1"/>
          <c:tx>
            <c:v>Trendformel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'Nye tall'!$H$19:$H$26</c:f>
              <c:numCache>
                <c:formatCode>_-* #\ ##0_-;\-* #\ ##0_-;_-* "-"??_-;_-@_-</c:formatCode>
                <c:ptCount val="8"/>
                <c:pt idx="0">
                  <c:v>33060</c:v>
                </c:pt>
                <c:pt idx="1">
                  <c:v>31325</c:v>
                </c:pt>
                <c:pt idx="2">
                  <c:v>31623.635877655048</c:v>
                </c:pt>
                <c:pt idx="3">
                  <c:v>30556</c:v>
                </c:pt>
                <c:pt idx="4">
                  <c:v>33635.074866310162</c:v>
                </c:pt>
                <c:pt idx="5">
                  <c:v>31486</c:v>
                </c:pt>
                <c:pt idx="6">
                  <c:v>27757</c:v>
                </c:pt>
                <c:pt idx="7">
                  <c:v>30130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98-40AE-AE8F-C1DE70C22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110784"/>
        <c:axId val="52859232"/>
      </c:barChart>
      <c:catAx>
        <c:axId val="20411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859232"/>
        <c:crosses val="autoZero"/>
        <c:auto val="1"/>
        <c:lblAlgn val="ctr"/>
        <c:lblOffset val="100"/>
        <c:noMultiLvlLbl val="0"/>
      </c:catAx>
      <c:valAx>
        <c:axId val="528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041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prossesskost blandet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'Nye tall'!$B$18</c:f>
              <c:strCache>
                <c:ptCount val="1"/>
                <c:pt idx="0">
                  <c:v>prossesskost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'Nye tall'!$A$19:$A$26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7</c:v>
                </c:pt>
                <c:pt idx="4">
                  <c:v>3</c:v>
                </c:pt>
                <c:pt idx="5">
                  <c:v>4</c:v>
                </c:pt>
                <c:pt idx="6">
                  <c:v>6</c:v>
                </c:pt>
                <c:pt idx="7">
                  <c:v>8</c:v>
                </c:pt>
              </c:numCache>
            </c:numRef>
          </c:cat>
          <c:val>
            <c:numRef>
              <c:f>'Nye tall'!$P$19:$P$26</c:f>
              <c:numCache>
                <c:formatCode>_-* #\ ##0_-;\-* #\ ##0_-;_-* "-"??_-;_-@_-</c:formatCode>
                <c:ptCount val="8"/>
                <c:pt idx="0">
                  <c:v>42045.352807082447</c:v>
                </c:pt>
                <c:pt idx="1">
                  <c:v>28572.987690958074</c:v>
                </c:pt>
                <c:pt idx="2">
                  <c:v>31063.923828140247</c:v>
                </c:pt>
                <c:pt idx="3">
                  <c:v>27811.324338701303</c:v>
                </c:pt>
                <c:pt idx="4">
                  <c:v>34026.587008389841</c:v>
                </c:pt>
                <c:pt idx="5">
                  <c:v>29545.961624426949</c:v>
                </c:pt>
                <c:pt idx="6">
                  <c:v>26852.003675467924</c:v>
                </c:pt>
                <c:pt idx="7">
                  <c:v>29619.664405660751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9-495E-B776-161F5EC4A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0506879"/>
        <c:axId val="1912713263"/>
      </c:barChart>
      <c:catAx>
        <c:axId val="197050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2713263"/>
        <c:crosses val="autoZero"/>
        <c:auto val="1"/>
        <c:lblAlgn val="ctr"/>
        <c:lblOffset val="100"/>
        <c:noMultiLvlLbl val="0"/>
      </c:catAx>
      <c:valAx>
        <c:axId val="1912713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70506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Very Good kr/kvm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kr/kvm estimert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tall'!$J$3:$J$7</c:f>
              <c:strCache>
                <c:ptCount val="5"/>
                <c:pt idx="0">
                  <c:v>Bygg 1</c:v>
                </c:pt>
                <c:pt idx="1">
                  <c:v>Bygg 2</c:v>
                </c:pt>
                <c:pt idx="2">
                  <c:v>Estimat</c:v>
                </c:pt>
                <c:pt idx="3">
                  <c:v>Bygg 3</c:v>
                </c:pt>
                <c:pt idx="4">
                  <c:v>Bygg 4</c:v>
                </c:pt>
              </c:strCache>
            </c:strRef>
          </c:cat>
          <c:val>
            <c:numRef>
              <c:f>'Nye tall'!$P$3:$P$7</c:f>
              <c:numCache>
                <c:formatCode>_-* #\ ##0_-;\-* #\ ##0_-;_-* "-"??_-;_-@_-</c:formatCode>
                <c:ptCount val="5"/>
                <c:pt idx="0">
                  <c:v>42045.352807082447</c:v>
                </c:pt>
                <c:pt idx="1">
                  <c:v>28572.987690958074</c:v>
                </c:pt>
                <c:pt idx="2">
                  <c:v>33981.680260988833</c:v>
                </c:pt>
                <c:pt idx="3">
                  <c:v>29545.961624426949</c:v>
                </c:pt>
                <c:pt idx="4">
                  <c:v>26852.003675467924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6-4D10-B548-FE5B9FFFA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6136527"/>
        <c:axId val="1925661391"/>
      </c:barChart>
      <c:catAx>
        <c:axId val="191613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5661391"/>
        <c:crosses val="autoZero"/>
        <c:auto val="1"/>
        <c:lblAlgn val="ctr"/>
        <c:lblOffset val="100"/>
        <c:noMultiLvlLbl val="0"/>
      </c:catAx>
      <c:valAx>
        <c:axId val="192566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16136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Excellent kr/kvm estimert for den nye verdien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'Nye tall'!$J$11:$J$15</c:f>
              <c:strCache>
                <c:ptCount val="5"/>
                <c:pt idx="0">
                  <c:v>Estimat</c:v>
                </c:pt>
                <c:pt idx="1">
                  <c:v>Bygg 5</c:v>
                </c:pt>
                <c:pt idx="2">
                  <c:v>Bygg 6</c:v>
                </c:pt>
                <c:pt idx="3">
                  <c:v>Bygg 7</c:v>
                </c:pt>
                <c:pt idx="4">
                  <c:v>Bygg 8</c:v>
                </c:pt>
              </c:strCache>
            </c:strRef>
          </c:cat>
          <c:val>
            <c:numRef>
              <c:f>'Nye tall'!$P$11:$P$15</c:f>
              <c:numCache>
                <c:formatCode>_-* #\ ##0_-;\-* #\ ##0_-;_-* "-"??_-;_-@_-</c:formatCode>
                <c:ptCount val="5"/>
                <c:pt idx="0">
                  <c:v>29514.00033164864</c:v>
                </c:pt>
                <c:pt idx="1">
                  <c:v>29133.7269361039</c:v>
                </c:pt>
                <c:pt idx="2">
                  <c:v>34026.587008389841</c:v>
                </c:pt>
                <c:pt idx="3">
                  <c:v>29619.664405660751</c:v>
                </c:pt>
                <c:pt idx="4">
                  <c:v>44138.179318373484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0B-44EC-80C2-DCDA9EC1E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2063615"/>
        <c:axId val="1932775215"/>
      </c:barChart>
      <c:catAx>
        <c:axId val="196206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32775215"/>
        <c:crosses val="autoZero"/>
        <c:auto val="1"/>
        <c:lblAlgn val="ctr"/>
        <c:lblOffset val="100"/>
        <c:noMultiLvlLbl val="0"/>
      </c:catAx>
      <c:valAx>
        <c:axId val="193277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62063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0" Type="http://schemas.openxmlformats.org/officeDocument/2006/relationships/chart" Target="../charts/chart13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738188</xdr:colOff>
      <xdr:row>1</xdr:row>
      <xdr:rowOff>47624</xdr:rowOff>
    </xdr:from>
    <xdr:to>
      <xdr:col>7</xdr:col>
      <xdr:colOff>358900</xdr:colOff>
      <xdr:row>13</xdr:row>
      <xdr:rowOff>143349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9DFD1767-CF18-4ECB-909E-C25A3721B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738186</xdr:colOff>
      <xdr:row>14</xdr:row>
      <xdr:rowOff>95250</xdr:rowOff>
    </xdr:from>
    <xdr:to>
      <xdr:col>7</xdr:col>
      <xdr:colOff>357185</xdr:colOff>
      <xdr:row>28</xdr:row>
      <xdr:rowOff>15663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3B6FC937-43CE-4320-85B1-D5E62B5473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396240</xdr:colOff>
      <xdr:row>15</xdr:row>
      <xdr:rowOff>167640</xdr:rowOff>
    </xdr:from>
    <xdr:to>
      <xdr:col>20</xdr:col>
      <xdr:colOff>175260</xdr:colOff>
      <xdr:row>30</xdr:row>
      <xdr:rowOff>167640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A04A375-F93B-4DE6-8324-9A283F83EC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610552</xdr:colOff>
      <xdr:row>0</xdr:row>
      <xdr:rowOff>47625</xdr:rowOff>
    </xdr:from>
    <xdr:to>
      <xdr:col>36</xdr:col>
      <xdr:colOff>752475</xdr:colOff>
      <xdr:row>9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37162F4-496F-E6D2-4C1D-3B0DA37807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626745</xdr:colOff>
      <xdr:row>10</xdr:row>
      <xdr:rowOff>34289</xdr:rowOff>
    </xdr:from>
    <xdr:to>
      <xdr:col>36</xdr:col>
      <xdr:colOff>704850</xdr:colOff>
      <xdr:row>19</xdr:row>
      <xdr:rowOff>104774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E5D7EF7D-B8C9-4333-89D7-B510D1423A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666750</xdr:colOff>
      <xdr:row>30</xdr:row>
      <xdr:rowOff>76200</xdr:rowOff>
    </xdr:from>
    <xdr:to>
      <xdr:col>37</xdr:col>
      <xdr:colOff>247650</xdr:colOff>
      <xdr:row>40</xdr:row>
      <xdr:rowOff>167640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E149FE85-F3AE-421A-96FF-D690808D9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47624</xdr:colOff>
      <xdr:row>41</xdr:row>
      <xdr:rowOff>118110</xdr:rowOff>
    </xdr:from>
    <xdr:to>
      <xdr:col>37</xdr:col>
      <xdr:colOff>354329</xdr:colOff>
      <xdr:row>52</xdr:row>
      <xdr:rowOff>47625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CDEEC78E-03DE-45BA-9666-7743A46549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413385</xdr:colOff>
      <xdr:row>6</xdr:row>
      <xdr:rowOff>66675</xdr:rowOff>
    </xdr:from>
    <xdr:to>
      <xdr:col>21</xdr:col>
      <xdr:colOff>38100</xdr:colOff>
      <xdr:row>16</xdr:row>
      <xdr:rowOff>28575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3C50D852-174F-A03B-A48B-7D7C4BC993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278130</xdr:colOff>
      <xdr:row>16</xdr:row>
      <xdr:rowOff>9525</xdr:rowOff>
    </xdr:from>
    <xdr:to>
      <xdr:col>20</xdr:col>
      <xdr:colOff>781050</xdr:colOff>
      <xdr:row>25</xdr:row>
      <xdr:rowOff>47625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656C6442-E42D-CB7B-E8C6-EBA886B0C7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32</xdr:col>
      <xdr:colOff>657225</xdr:colOff>
      <xdr:row>20</xdr:row>
      <xdr:rowOff>57150</xdr:rowOff>
    </xdr:from>
    <xdr:to>
      <xdr:col>36</xdr:col>
      <xdr:colOff>735330</xdr:colOff>
      <xdr:row>29</xdr:row>
      <xdr:rowOff>165735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3142C09F-7E91-446A-AD52-5F2D134D59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238125</xdr:colOff>
      <xdr:row>25</xdr:row>
      <xdr:rowOff>95250</xdr:rowOff>
    </xdr:from>
    <xdr:to>
      <xdr:col>20</xdr:col>
      <xdr:colOff>741045</xdr:colOff>
      <xdr:row>32</xdr:row>
      <xdr:rowOff>561975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334C9902-D477-4290-8CE0-F7509D3890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23</xdr:col>
      <xdr:colOff>752475</xdr:colOff>
      <xdr:row>5</xdr:row>
      <xdr:rowOff>133350</xdr:rowOff>
    </xdr:from>
    <xdr:to>
      <xdr:col>27</xdr:col>
      <xdr:colOff>434340</xdr:colOff>
      <xdr:row>15</xdr:row>
      <xdr:rowOff>95250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8A52B7ED-14BD-4178-8A46-98432D20F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752475</xdr:colOff>
      <xdr:row>15</xdr:row>
      <xdr:rowOff>76200</xdr:rowOff>
    </xdr:from>
    <xdr:to>
      <xdr:col>27</xdr:col>
      <xdr:colOff>434340</xdr:colOff>
      <xdr:row>25</xdr:row>
      <xdr:rowOff>38100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C4C8EA3D-7DFE-40B1-900B-92EC8A0657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24</xdr:col>
      <xdr:colOff>0</xdr:colOff>
      <xdr:row>26</xdr:row>
      <xdr:rowOff>0</xdr:rowOff>
    </xdr:from>
    <xdr:to>
      <xdr:col>27</xdr:col>
      <xdr:colOff>501015</xdr:colOff>
      <xdr:row>36</xdr:row>
      <xdr:rowOff>0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396835D6-571C-471B-8054-DF64320BFF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Egendefinert 1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48A23F"/>
      </a:accent3>
      <a:accent4>
        <a:srgbClr val="D3D9D2"/>
      </a:accent4>
      <a:accent5>
        <a:srgbClr val="DEEAD6"/>
      </a:accent5>
      <a:accent6>
        <a:srgbClr val="FFC358"/>
      </a:accent6>
      <a:hlink>
        <a:srgbClr val="48A23F"/>
      </a:hlink>
      <a:folHlink>
        <a:srgbClr val="4D4D4D"/>
      </a:folHlink>
    </a:clrScheme>
    <a:fontScheme name="Century Gothic">
      <a:maj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51529-A1F5-497D-A926-91C94A6A8C47}">
  <dimension ref="A1:C32"/>
  <sheetViews>
    <sheetView tabSelected="1" zoomScale="120" zoomScaleNormal="120" workbookViewId="0">
      <selection activeCell="B6" sqref="B6"/>
    </sheetView>
  </sheetViews>
  <sheetFormatPr baseColWidth="10" defaultColWidth="11.6171875" defaultRowHeight="14.1" x14ac:dyDescent="0.5"/>
  <cols>
    <col min="1" max="1" width="42" style="20" customWidth="1"/>
    <col min="2" max="2" width="27.76171875" style="20" customWidth="1"/>
    <col min="3" max="16384" width="11.6171875" style="20"/>
  </cols>
  <sheetData>
    <row r="1" spans="1:3" ht="34" customHeight="1" x14ac:dyDescent="0.5">
      <c r="A1" s="19" t="s">
        <v>95</v>
      </c>
    </row>
    <row r="2" spans="1:3" ht="15.3" x14ac:dyDescent="0.55000000000000004">
      <c r="A2" s="21" t="s">
        <v>93</v>
      </c>
    </row>
    <row r="3" spans="1:3" ht="15.3" x14ac:dyDescent="0.55000000000000004">
      <c r="A3" s="21" t="s">
        <v>78</v>
      </c>
    </row>
    <row r="5" spans="1:3" x14ac:dyDescent="0.5">
      <c r="A5" s="22" t="s">
        <v>1</v>
      </c>
      <c r="B5" s="23">
        <v>7000</v>
      </c>
    </row>
    <row r="6" spans="1:3" x14ac:dyDescent="0.5">
      <c r="A6" s="24" t="s">
        <v>2</v>
      </c>
      <c r="B6" s="25" t="s">
        <v>3</v>
      </c>
    </row>
    <row r="7" spans="1:3" x14ac:dyDescent="0.5">
      <c r="A7" s="26" t="s">
        <v>0</v>
      </c>
      <c r="B7" s="27">
        <f>IF(B5&lt;=8000,INDEX('Nye tall'!$R$2:$U$3,MATCH(Beregning!B6,'Nye tall'!$R$2:$R$3,0),3),INDEX('Nye tall'!$R$2:$U$3,MATCH(Beregning!B6,'Nye tall'!$R$2:$R$3,0),4))</f>
        <v>217447466.79698172</v>
      </c>
    </row>
    <row r="8" spans="1:3" x14ac:dyDescent="0.5">
      <c r="A8" s="28" t="s">
        <v>76</v>
      </c>
      <c r="B8" s="29">
        <f>B7/B5</f>
        <v>31063.923828140247</v>
      </c>
    </row>
    <row r="9" spans="1:3" x14ac:dyDescent="0.5">
      <c r="A9" s="30"/>
      <c r="B9" s="22"/>
    </row>
    <row r="10" spans="1:3" x14ac:dyDescent="0.5">
      <c r="A10" s="31" t="s">
        <v>4</v>
      </c>
      <c r="B10" s="29">
        <f>INDEX('Nye tall'!$R$2:$Y$3,MATCH(Beregning!B6,'Nye tall'!R2:R3,0),2)</f>
        <v>1332225.5</v>
      </c>
    </row>
    <row r="11" spans="1:3" x14ac:dyDescent="0.5">
      <c r="A11" s="31" t="s">
        <v>79</v>
      </c>
      <c r="B11" s="29">
        <f>IF(B5&lt;=8000,INDEX('Nye tall'!$R$2:$Y$3,MATCH(Beregning!B6,'Nye tall'!R2:R3,0),5),INDEX('Nye tall'!$R$2:$Y$3,MATCH(Beregning!B6,'Nye tall'!R2:R3,0),6))</f>
        <v>2419940.2937919297</v>
      </c>
    </row>
    <row r="12" spans="1:3" x14ac:dyDescent="0.5">
      <c r="A12" s="28" t="s">
        <v>94</v>
      </c>
      <c r="B12" s="29">
        <f>B11+B10+B7</f>
        <v>221199632.59077364</v>
      </c>
    </row>
    <row r="13" spans="1:3" x14ac:dyDescent="0.5">
      <c r="A13" s="22" t="s">
        <v>96</v>
      </c>
      <c r="B13" s="32">
        <f>B12/B5</f>
        <v>31599.947512967665</v>
      </c>
      <c r="C13" s="33"/>
    </row>
    <row r="14" spans="1:3" x14ac:dyDescent="0.5">
      <c r="A14" s="34"/>
      <c r="B14" s="34"/>
    </row>
    <row r="15" spans="1:3" x14ac:dyDescent="0.5">
      <c r="A15" s="34"/>
      <c r="B15" s="34"/>
    </row>
    <row r="16" spans="1:3" x14ac:dyDescent="0.5">
      <c r="A16" s="22" t="s">
        <v>5</v>
      </c>
      <c r="B16" s="35">
        <v>1</v>
      </c>
    </row>
    <row r="17" spans="1:2" x14ac:dyDescent="0.5">
      <c r="A17" s="22" t="s">
        <v>6</v>
      </c>
      <c r="B17" s="36">
        <f>INDEX('Gamle tall'!A17:K28,4,MATCH(Beregning!B6,'Gamle tall'!A17:K17,0))*B5*B16</f>
        <v>253750</v>
      </c>
    </row>
    <row r="18" spans="1:2" x14ac:dyDescent="0.5">
      <c r="A18" s="34"/>
      <c r="B18" s="34"/>
    </row>
    <row r="19" spans="1:2" x14ac:dyDescent="0.5">
      <c r="A19" s="34" t="s">
        <v>7</v>
      </c>
      <c r="B19" s="34"/>
    </row>
    <row r="20" spans="1:2" x14ac:dyDescent="0.5">
      <c r="A20" s="22" t="s">
        <v>8</v>
      </c>
      <c r="B20" s="43">
        <v>70</v>
      </c>
    </row>
    <row r="21" spans="1:2" x14ac:dyDescent="0.5">
      <c r="A21" s="22" t="s">
        <v>9</v>
      </c>
      <c r="B21" s="27">
        <f>B20*B12/100</f>
        <v>154839742.81354153</v>
      </c>
    </row>
    <row r="22" spans="1:2" x14ac:dyDescent="0.5">
      <c r="A22" s="30" t="s">
        <v>97</v>
      </c>
      <c r="B22" s="42">
        <v>15</v>
      </c>
    </row>
    <row r="23" spans="1:2" x14ac:dyDescent="0.5">
      <c r="A23" s="30" t="s">
        <v>10</v>
      </c>
      <c r="B23" s="44">
        <v>4.5</v>
      </c>
    </row>
    <row r="24" spans="1:2" x14ac:dyDescent="0.5">
      <c r="A24" s="37" t="s">
        <v>11</v>
      </c>
      <c r="B24" s="44">
        <v>4.3</v>
      </c>
    </row>
    <row r="25" spans="1:2" x14ac:dyDescent="0.5">
      <c r="A25" s="22" t="s">
        <v>12</v>
      </c>
      <c r="B25" s="36">
        <f>Låneberegninger!J3</f>
        <v>197548.76100573738</v>
      </c>
    </row>
    <row r="26" spans="1:2" x14ac:dyDescent="0.5">
      <c r="A26" s="38"/>
      <c r="B26" s="34"/>
    </row>
    <row r="27" spans="1:2" x14ac:dyDescent="0.5">
      <c r="A27" s="22" t="s">
        <v>13</v>
      </c>
      <c r="B27" s="32">
        <f>B25+B17</f>
        <v>451298.76100573735</v>
      </c>
    </row>
    <row r="28" spans="1:2" x14ac:dyDescent="0.5">
      <c r="A28" s="28" t="s">
        <v>14</v>
      </c>
      <c r="B28" s="39">
        <f>(B10+B11)/B27</f>
        <v>8.3141504431124034</v>
      </c>
    </row>
    <row r="30" spans="1:2" x14ac:dyDescent="0.5">
      <c r="A30" s="20" t="s">
        <v>92</v>
      </c>
    </row>
    <row r="31" spans="1:2" x14ac:dyDescent="0.5">
      <c r="A31" s="20" t="s">
        <v>108</v>
      </c>
    </row>
    <row r="32" spans="1:2" x14ac:dyDescent="0.5">
      <c r="A32" s="20" t="s">
        <v>109</v>
      </c>
    </row>
  </sheetData>
  <sheetProtection sheet="1" objects="1" scenarios="1"/>
  <protectedRanges>
    <protectedRange sqref="B5:B6 B16 B20 B23:B24" name="Område1"/>
  </protectedRanges>
  <dataValidations count="4">
    <dataValidation type="whole" allowBlank="1" showInputMessage="1" showErrorMessage="1" errorTitle="Feil input" error="Tall må være mellom 2.000 og 15.000 kvm" sqref="B5" xr:uid="{599C49D4-0BD1-463D-B67B-52FED77F289F}">
      <formula1>2000</formula1>
      <formula2>15000</formula2>
    </dataValidation>
    <dataValidation type="decimal" allowBlank="1" showInputMessage="1" showErrorMessage="1" errorTitle="Feil input" error="Strømpris kan ikke være under kr 0,1 eller over kr 100 per kWH " sqref="B16" xr:uid="{E5C74DB8-BC6F-4476-8D18-7D9956971355}">
      <formula1>0.1</formula1>
      <formula2>100</formula2>
    </dataValidation>
    <dataValidation type="decimal" allowBlank="1" showInputMessage="1" showErrorMessage="1" sqref="B20" xr:uid="{88AC39BF-0C4D-4DB8-B055-0FA71047892D}">
      <formula1>1</formula1>
      <formula2>99</formula2>
    </dataValidation>
    <dataValidation type="decimal" allowBlank="1" showInputMessage="1" showErrorMessage="1" errorTitle="Feil input" error="Kun tall mellom 1 og 99 godtas" sqref="B23:B24" xr:uid="{B475E82F-2463-4014-BCB3-31C1394DF30A}">
      <formula1>0.1</formula1>
      <formula2>99.1</formula2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ACA2DAB-F3AF-420D-A97C-84DFDCFFB069}">
          <x14:formula1>
            <xm:f>'Nye tall'!$R$2:$R$3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30979-94E0-4099-B593-8F860D7419F9}">
  <dimension ref="A1:J3"/>
  <sheetViews>
    <sheetView workbookViewId="0">
      <selection activeCell="C4" sqref="C4"/>
    </sheetView>
  </sheetViews>
  <sheetFormatPr baseColWidth="10" defaultRowHeight="13.8" x14ac:dyDescent="0.45"/>
  <cols>
    <col min="1" max="1" width="14.234375" bestFit="1" customWidth="1"/>
    <col min="5" max="5" width="12.140625" bestFit="1" customWidth="1"/>
    <col min="6" max="6" width="11.76171875" bestFit="1" customWidth="1"/>
    <col min="7" max="7" width="14.6171875" bestFit="1" customWidth="1"/>
    <col min="8" max="8" width="13.140625" bestFit="1" customWidth="1"/>
  </cols>
  <sheetData>
    <row r="1" spans="1:10" x14ac:dyDescent="0.45">
      <c r="E1" t="s">
        <v>104</v>
      </c>
      <c r="G1" t="s">
        <v>105</v>
      </c>
    </row>
    <row r="2" spans="1:10" x14ac:dyDescent="0.45">
      <c r="A2" t="s">
        <v>98</v>
      </c>
      <c r="B2" t="s">
        <v>99</v>
      </c>
      <c r="C2" t="s">
        <v>100</v>
      </c>
      <c r="D2" t="s">
        <v>101</v>
      </c>
      <c r="E2" t="s">
        <v>102</v>
      </c>
      <c r="F2" t="s">
        <v>103</v>
      </c>
      <c r="G2" t="s">
        <v>102</v>
      </c>
      <c r="H2" t="s">
        <v>103</v>
      </c>
      <c r="I2" t="s">
        <v>106</v>
      </c>
      <c r="J2" t="s">
        <v>107</v>
      </c>
    </row>
    <row r="3" spans="1:10" x14ac:dyDescent="0.45">
      <c r="A3" s="8">
        <f>Beregning!B21</f>
        <v>154839742.81354153</v>
      </c>
      <c r="B3">
        <f>Beregning!B22</f>
        <v>15</v>
      </c>
      <c r="C3" s="40">
        <f>Beregning!B23/100</f>
        <v>4.4999999999999998E-2</v>
      </c>
      <c r="D3" s="40">
        <f>Beregning!B24/100</f>
        <v>4.2999999999999997E-2</v>
      </c>
      <c r="E3" s="41">
        <f>PMT(C3,B3,A3)</f>
        <v>-14417718.10088026</v>
      </c>
      <c r="F3" s="8">
        <f>-E3*B3</f>
        <v>216265771.51320389</v>
      </c>
      <c r="G3" s="41">
        <f>PMT(D3,B3,A3)</f>
        <v>-14220169.339874523</v>
      </c>
      <c r="H3" s="8">
        <f>-G3*B3</f>
        <v>213302540.09811783</v>
      </c>
      <c r="I3" s="10">
        <f>F3-H3</f>
        <v>2963231.4150860608</v>
      </c>
      <c r="J3" s="10">
        <f>I3/B3</f>
        <v>197548.76100573738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96B4-B966-4FEC-BB21-00C0FB76AFFA}">
  <dimension ref="A1:N43"/>
  <sheetViews>
    <sheetView workbookViewId="0">
      <selection activeCell="N1" sqref="N1:N6"/>
    </sheetView>
  </sheetViews>
  <sheetFormatPr baseColWidth="10" defaultColWidth="11.47265625" defaultRowHeight="13.8" x14ac:dyDescent="0.45"/>
  <cols>
    <col min="1" max="1" width="26.234375" customWidth="1"/>
    <col min="2" max="4" width="0" hidden="1" customWidth="1"/>
  </cols>
  <sheetData>
    <row r="1" spans="1:14" x14ac:dyDescent="0.45">
      <c r="A1" t="s">
        <v>15</v>
      </c>
      <c r="D1" t="s">
        <v>16</v>
      </c>
      <c r="E1" t="s">
        <v>17</v>
      </c>
      <c r="F1" t="s">
        <v>18</v>
      </c>
      <c r="G1" t="s">
        <v>18</v>
      </c>
      <c r="H1" t="s">
        <v>3</v>
      </c>
      <c r="I1" t="s">
        <v>19</v>
      </c>
      <c r="J1" t="s">
        <v>19</v>
      </c>
      <c r="K1" t="s">
        <v>19</v>
      </c>
      <c r="N1" t="s">
        <v>20</v>
      </c>
    </row>
    <row r="2" spans="1:14" x14ac:dyDescent="0.45">
      <c r="A2" t="s">
        <v>21</v>
      </c>
      <c r="B2">
        <v>10</v>
      </c>
      <c r="C2">
        <v>20</v>
      </c>
      <c r="D2">
        <v>30</v>
      </c>
      <c r="E2">
        <v>45</v>
      </c>
      <c r="F2">
        <v>55</v>
      </c>
      <c r="G2">
        <v>60</v>
      </c>
      <c r="H2">
        <v>70</v>
      </c>
      <c r="I2">
        <v>85</v>
      </c>
      <c r="J2">
        <v>90</v>
      </c>
      <c r="K2">
        <v>100</v>
      </c>
      <c r="N2" t="s">
        <v>22</v>
      </c>
    </row>
    <row r="3" spans="1:14" x14ac:dyDescent="0.45">
      <c r="A3" t="s">
        <v>23</v>
      </c>
      <c r="B3">
        <v>0.1</v>
      </c>
      <c r="C3">
        <v>0.1</v>
      </c>
      <c r="D3">
        <v>0.1</v>
      </c>
      <c r="E3">
        <v>0.2</v>
      </c>
      <c r="F3">
        <v>0.3</v>
      </c>
      <c r="G3">
        <v>0.9</v>
      </c>
      <c r="H3">
        <v>1.7</v>
      </c>
      <c r="N3" t="s">
        <v>24</v>
      </c>
    </row>
    <row r="4" spans="1:14" x14ac:dyDescent="0.45">
      <c r="A4" t="s">
        <v>25</v>
      </c>
      <c r="E4">
        <v>0.1</v>
      </c>
      <c r="F4">
        <v>0.25</v>
      </c>
      <c r="G4">
        <v>0.5</v>
      </c>
      <c r="H4">
        <v>1</v>
      </c>
      <c r="N4" t="s">
        <v>18</v>
      </c>
    </row>
    <row r="5" spans="1:14" x14ac:dyDescent="0.45">
      <c r="A5" t="s">
        <v>26</v>
      </c>
      <c r="F5">
        <v>0.1</v>
      </c>
      <c r="G5">
        <v>0.2</v>
      </c>
      <c r="H5">
        <v>0.7</v>
      </c>
      <c r="N5" t="s">
        <v>3</v>
      </c>
    </row>
    <row r="6" spans="1:14" x14ac:dyDescent="0.45">
      <c r="N6" t="s">
        <v>19</v>
      </c>
    </row>
    <row r="7" spans="1:14" x14ac:dyDescent="0.45">
      <c r="A7" t="s">
        <v>27</v>
      </c>
      <c r="B7">
        <v>125</v>
      </c>
    </row>
    <row r="9" spans="1:14" x14ac:dyDescent="0.45">
      <c r="A9" t="s">
        <v>28</v>
      </c>
      <c r="B9" t="s">
        <v>29</v>
      </c>
      <c r="C9" t="s">
        <v>29</v>
      </c>
      <c r="D9" t="s">
        <v>22</v>
      </c>
      <c r="E9" t="s">
        <v>24</v>
      </c>
      <c r="F9" t="s">
        <v>18</v>
      </c>
      <c r="G9" t="s">
        <v>18</v>
      </c>
      <c r="H9" t="s">
        <v>3</v>
      </c>
      <c r="I9" t="s">
        <v>19</v>
      </c>
      <c r="J9" t="s">
        <v>19</v>
      </c>
      <c r="K9" t="s">
        <v>19</v>
      </c>
    </row>
    <row r="10" spans="1:14" hidden="1" x14ac:dyDescent="0.45">
      <c r="A10" t="s">
        <v>21</v>
      </c>
      <c r="B10">
        <v>10</v>
      </c>
      <c r="C10">
        <v>20</v>
      </c>
      <c r="D10">
        <v>30</v>
      </c>
      <c r="E10">
        <v>45</v>
      </c>
      <c r="F10">
        <v>55</v>
      </c>
      <c r="G10">
        <v>60</v>
      </c>
      <c r="H10">
        <v>70</v>
      </c>
      <c r="I10">
        <v>85</v>
      </c>
      <c r="J10">
        <v>90</v>
      </c>
      <c r="K10">
        <v>100</v>
      </c>
    </row>
    <row r="11" spans="1:14" x14ac:dyDescent="0.45">
      <c r="A11" t="s">
        <v>23</v>
      </c>
      <c r="B11">
        <f>B3*$B$7/100</f>
        <v>0.125</v>
      </c>
      <c r="C11">
        <f t="shared" ref="C11:H11" si="0">C3*$B$7/100</f>
        <v>0.125</v>
      </c>
      <c r="D11">
        <f t="shared" si="0"/>
        <v>0.125</v>
      </c>
      <c r="E11">
        <f t="shared" si="0"/>
        <v>0.25</v>
      </c>
      <c r="F11">
        <f t="shared" si="0"/>
        <v>0.375</v>
      </c>
      <c r="G11">
        <f t="shared" si="0"/>
        <v>1.125</v>
      </c>
      <c r="H11">
        <f t="shared" si="0"/>
        <v>2.125</v>
      </c>
      <c r="I11">
        <v>4</v>
      </c>
    </row>
    <row r="12" spans="1:14" x14ac:dyDescent="0.45">
      <c r="A12" t="s">
        <v>25</v>
      </c>
      <c r="E12">
        <f t="shared" ref="E12:H12" si="1">E4*$B$7/100</f>
        <v>0.125</v>
      </c>
      <c r="F12">
        <f t="shared" si="1"/>
        <v>0.3125</v>
      </c>
      <c r="G12">
        <f t="shared" si="1"/>
        <v>0.625</v>
      </c>
      <c r="H12">
        <f t="shared" si="1"/>
        <v>1.25</v>
      </c>
      <c r="I12">
        <v>2.125</v>
      </c>
    </row>
    <row r="13" spans="1:14" x14ac:dyDescent="0.45">
      <c r="A13" t="s">
        <v>26</v>
      </c>
      <c r="E13">
        <v>0.1</v>
      </c>
      <c r="F13">
        <f t="shared" ref="F13:H13" si="2">F5*$B$7/100</f>
        <v>0.125</v>
      </c>
      <c r="G13">
        <f t="shared" si="2"/>
        <v>0.25</v>
      </c>
      <c r="H13">
        <f t="shared" si="2"/>
        <v>0.875</v>
      </c>
      <c r="I13">
        <v>1.8</v>
      </c>
    </row>
    <row r="16" spans="1:14" x14ac:dyDescent="0.45">
      <c r="A16" t="s">
        <v>30</v>
      </c>
    </row>
    <row r="17" spans="1:11" x14ac:dyDescent="0.45">
      <c r="A17" t="s">
        <v>31</v>
      </c>
      <c r="B17" t="s">
        <v>29</v>
      </c>
      <c r="C17" t="s">
        <v>29</v>
      </c>
      <c r="D17" t="s">
        <v>16</v>
      </c>
      <c r="E17" t="s">
        <v>17</v>
      </c>
      <c r="F17" t="s">
        <v>18</v>
      </c>
      <c r="G17" t="s">
        <v>18</v>
      </c>
      <c r="H17" t="s">
        <v>3</v>
      </c>
      <c r="I17" t="s">
        <v>19</v>
      </c>
      <c r="J17" t="s">
        <v>19</v>
      </c>
      <c r="K17" t="s">
        <v>19</v>
      </c>
    </row>
    <row r="18" spans="1:11" x14ac:dyDescent="0.45">
      <c r="A18" s="5" t="s">
        <v>32</v>
      </c>
      <c r="H18" s="7">
        <v>0.25</v>
      </c>
      <c r="I18" s="7">
        <v>0.38</v>
      </c>
    </row>
    <row r="19" spans="1:11" x14ac:dyDescent="0.45">
      <c r="A19" s="5" t="s">
        <v>33</v>
      </c>
      <c r="H19" s="8">
        <f>D32-(1-$H$18)*D32</f>
        <v>36.25</v>
      </c>
      <c r="I19" s="8">
        <f>D32-(1-$I$18)*D32</f>
        <v>55.099999999999994</v>
      </c>
    </row>
    <row r="20" spans="1:11" x14ac:dyDescent="0.45">
      <c r="A20" s="5" t="s">
        <v>34</v>
      </c>
      <c r="H20" s="8">
        <f t="shared" ref="H20:H28" si="3">D33-(1-$H$18)*D33</f>
        <v>36.25</v>
      </c>
      <c r="I20" s="8">
        <f t="shared" ref="I20:I28" si="4">D33-(1-$I$18)*D33</f>
        <v>55.099999999999994</v>
      </c>
    </row>
    <row r="21" spans="1:11" x14ac:dyDescent="0.45">
      <c r="A21" s="5" t="s">
        <v>35</v>
      </c>
      <c r="H21" s="8">
        <f t="shared" si="3"/>
        <v>33.75</v>
      </c>
      <c r="I21" s="8">
        <f t="shared" si="4"/>
        <v>51.3</v>
      </c>
    </row>
    <row r="22" spans="1:11" x14ac:dyDescent="0.45">
      <c r="A22" s="5" t="s">
        <v>36</v>
      </c>
      <c r="H22" s="8">
        <f t="shared" si="3"/>
        <v>40</v>
      </c>
      <c r="I22" s="8">
        <f t="shared" si="4"/>
        <v>60.8</v>
      </c>
    </row>
    <row r="23" spans="1:11" x14ac:dyDescent="0.45">
      <c r="A23" s="5" t="s">
        <v>37</v>
      </c>
      <c r="H23" s="8">
        <f t="shared" si="3"/>
        <v>76.25</v>
      </c>
      <c r="I23" s="8">
        <f t="shared" si="4"/>
        <v>115.9</v>
      </c>
    </row>
    <row r="24" spans="1:11" x14ac:dyDescent="0.45">
      <c r="A24" s="5" t="s">
        <v>38</v>
      </c>
      <c r="H24" s="8">
        <f t="shared" si="3"/>
        <v>60</v>
      </c>
      <c r="I24" s="8">
        <f t="shared" si="4"/>
        <v>91.199999999999989</v>
      </c>
    </row>
    <row r="25" spans="1:11" x14ac:dyDescent="0.45">
      <c r="A25" s="5" t="s">
        <v>39</v>
      </c>
      <c r="H25" s="8">
        <f t="shared" si="3"/>
        <v>60</v>
      </c>
      <c r="I25" s="8">
        <f t="shared" si="4"/>
        <v>91.199999999999989</v>
      </c>
    </row>
    <row r="26" spans="1:11" x14ac:dyDescent="0.45">
      <c r="A26" s="5" t="s">
        <v>40</v>
      </c>
      <c r="H26" s="8">
        <f t="shared" si="3"/>
        <v>51.25</v>
      </c>
      <c r="I26" s="8">
        <f t="shared" si="4"/>
        <v>77.900000000000006</v>
      </c>
    </row>
    <row r="27" spans="1:11" x14ac:dyDescent="0.45">
      <c r="A27" s="5" t="s">
        <v>41</v>
      </c>
      <c r="H27" s="8">
        <f t="shared" si="3"/>
        <v>52.5</v>
      </c>
      <c r="I27" s="8">
        <f t="shared" si="4"/>
        <v>79.800000000000011</v>
      </c>
    </row>
    <row r="28" spans="1:11" x14ac:dyDescent="0.45">
      <c r="A28" s="5" t="s">
        <v>42</v>
      </c>
      <c r="H28" s="8">
        <f t="shared" si="3"/>
        <v>43.75</v>
      </c>
      <c r="I28" s="8">
        <f t="shared" si="4"/>
        <v>66.5</v>
      </c>
    </row>
    <row r="31" spans="1:11" ht="14.1" x14ac:dyDescent="0.45">
      <c r="A31" s="3" t="s">
        <v>31</v>
      </c>
      <c r="B31" s="4" t="s">
        <v>43</v>
      </c>
      <c r="C31" s="4" t="s">
        <v>44</v>
      </c>
      <c r="D31" s="4" t="s">
        <v>45</v>
      </c>
      <c r="E31" s="4" t="s">
        <v>46</v>
      </c>
      <c r="F31" s="4" t="s">
        <v>47</v>
      </c>
      <c r="G31" s="4" t="s">
        <v>48</v>
      </c>
      <c r="H31" s="4" t="s">
        <v>49</v>
      </c>
    </row>
    <row r="32" spans="1:11" x14ac:dyDescent="0.45">
      <c r="A32" s="1" t="s">
        <v>33</v>
      </c>
      <c r="B32" s="6">
        <v>85</v>
      </c>
      <c r="C32" s="6">
        <v>115</v>
      </c>
      <c r="D32" s="6">
        <v>145</v>
      </c>
      <c r="E32" s="6">
        <v>180</v>
      </c>
      <c r="F32" s="6">
        <v>220</v>
      </c>
      <c r="G32" s="6">
        <v>275</v>
      </c>
      <c r="H32" s="5"/>
    </row>
    <row r="33" spans="1:8" x14ac:dyDescent="0.45">
      <c r="A33" s="1" t="s">
        <v>34</v>
      </c>
      <c r="B33" s="6">
        <v>90</v>
      </c>
      <c r="C33" s="6">
        <v>115</v>
      </c>
      <c r="D33" s="6">
        <v>145</v>
      </c>
      <c r="E33" s="6">
        <v>180</v>
      </c>
      <c r="F33" s="6">
        <v>220</v>
      </c>
      <c r="G33" s="6">
        <v>275</v>
      </c>
      <c r="H33" s="5"/>
    </row>
    <row r="34" spans="1:8" x14ac:dyDescent="0.45">
      <c r="A34" s="1" t="s">
        <v>35</v>
      </c>
      <c r="B34" s="6">
        <v>75</v>
      </c>
      <c r="C34" s="6">
        <v>105</v>
      </c>
      <c r="D34" s="6">
        <v>135</v>
      </c>
      <c r="E34" s="6">
        <v>175</v>
      </c>
      <c r="F34" s="6">
        <v>220</v>
      </c>
      <c r="G34" s="6">
        <v>280</v>
      </c>
      <c r="H34" s="5"/>
    </row>
    <row r="35" spans="1:8" x14ac:dyDescent="0.45">
      <c r="A35" s="1" t="s">
        <v>50</v>
      </c>
      <c r="B35" s="6">
        <v>90</v>
      </c>
      <c r="C35" s="6">
        <v>125</v>
      </c>
      <c r="D35" s="6">
        <v>160</v>
      </c>
      <c r="E35" s="6">
        <v>200</v>
      </c>
      <c r="F35" s="6">
        <v>240</v>
      </c>
      <c r="G35" s="6">
        <v>300</v>
      </c>
      <c r="H35" s="5"/>
    </row>
    <row r="36" spans="1:8" x14ac:dyDescent="0.45">
      <c r="A36" s="1" t="s">
        <v>37</v>
      </c>
      <c r="B36" s="6">
        <v>175</v>
      </c>
      <c r="C36" s="6">
        <v>240</v>
      </c>
      <c r="D36" s="6">
        <v>305</v>
      </c>
      <c r="E36" s="6">
        <v>360</v>
      </c>
      <c r="F36" s="6">
        <v>415</v>
      </c>
      <c r="G36" s="6">
        <v>505</v>
      </c>
      <c r="H36" s="5"/>
    </row>
    <row r="37" spans="1:8" x14ac:dyDescent="0.45">
      <c r="A37" s="1" t="s">
        <v>51</v>
      </c>
      <c r="B37" s="6">
        <v>145</v>
      </c>
      <c r="C37" s="6">
        <v>195</v>
      </c>
      <c r="D37" s="6">
        <v>240</v>
      </c>
      <c r="E37" s="6">
        <v>295</v>
      </c>
      <c r="F37" s="6">
        <v>355</v>
      </c>
      <c r="G37" s="6">
        <v>440</v>
      </c>
      <c r="H37" s="5"/>
    </row>
    <row r="38" spans="1:8" x14ac:dyDescent="0.45">
      <c r="A38" s="1" t="s">
        <v>38</v>
      </c>
      <c r="B38" s="6">
        <v>140</v>
      </c>
      <c r="C38" s="6">
        <v>190</v>
      </c>
      <c r="D38" s="6">
        <v>240</v>
      </c>
      <c r="E38" s="6">
        <v>290</v>
      </c>
      <c r="F38" s="6">
        <v>340</v>
      </c>
      <c r="G38" s="6">
        <v>415</v>
      </c>
      <c r="H38" s="5"/>
    </row>
    <row r="39" spans="1:8" x14ac:dyDescent="0.45">
      <c r="A39" s="1" t="s">
        <v>39</v>
      </c>
      <c r="B39" s="6">
        <v>125</v>
      </c>
      <c r="C39" s="6">
        <v>165</v>
      </c>
      <c r="D39" s="6">
        <v>205</v>
      </c>
      <c r="E39" s="6">
        <v>275</v>
      </c>
      <c r="F39" s="6">
        <v>345</v>
      </c>
      <c r="G39" s="6">
        <v>440</v>
      </c>
      <c r="H39" s="5"/>
    </row>
    <row r="40" spans="1:8" x14ac:dyDescent="0.45">
      <c r="A40" s="1" t="s">
        <v>52</v>
      </c>
      <c r="B40" s="6">
        <v>115</v>
      </c>
      <c r="C40" s="6">
        <v>160</v>
      </c>
      <c r="D40" s="6">
        <v>210</v>
      </c>
      <c r="E40" s="6">
        <v>255</v>
      </c>
      <c r="F40" s="6">
        <v>300</v>
      </c>
      <c r="G40" s="6">
        <v>375</v>
      </c>
      <c r="H40" s="5"/>
    </row>
    <row r="41" spans="1:8" x14ac:dyDescent="0.45">
      <c r="A41" s="1" t="s">
        <v>41</v>
      </c>
      <c r="B41" s="6">
        <v>95</v>
      </c>
      <c r="C41" s="6">
        <v>135</v>
      </c>
      <c r="D41" s="6">
        <v>175</v>
      </c>
      <c r="E41" s="6">
        <v>215</v>
      </c>
      <c r="F41" s="6">
        <v>255</v>
      </c>
      <c r="G41" s="6">
        <v>320</v>
      </c>
      <c r="H41" s="5"/>
    </row>
    <row r="42" spans="1:8" ht="14.1" thickBot="1" x14ac:dyDescent="0.5">
      <c r="A42" s="2" t="s">
        <v>42</v>
      </c>
      <c r="B42" s="6">
        <v>105</v>
      </c>
      <c r="C42" s="6">
        <v>145</v>
      </c>
      <c r="D42" s="6">
        <v>185</v>
      </c>
      <c r="E42" s="6">
        <v>250</v>
      </c>
      <c r="F42" s="6">
        <v>315</v>
      </c>
      <c r="G42" s="6">
        <v>405</v>
      </c>
      <c r="H42" s="5"/>
    </row>
    <row r="43" spans="1:8" ht="14.1" thickTop="1" x14ac:dyDescent="0.45"/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0674D-DA25-4562-8D0E-03BD1B9C9559}">
  <dimension ref="A1:Y37"/>
  <sheetViews>
    <sheetView workbookViewId="0">
      <selection activeCell="A19" sqref="A19"/>
    </sheetView>
  </sheetViews>
  <sheetFormatPr baseColWidth="10" defaultColWidth="11.47265625" defaultRowHeight="13.8" x14ac:dyDescent="0.45"/>
  <cols>
    <col min="1" max="1" width="10.234375" customWidth="1"/>
    <col min="4" max="4" width="12.85546875" customWidth="1"/>
    <col min="8" max="9" width="13" customWidth="1"/>
    <col min="15" max="15" width="13.76171875" customWidth="1"/>
    <col min="20" max="20" width="12.234375" customWidth="1"/>
    <col min="21" max="21" width="14.85546875" customWidth="1"/>
    <col min="22" max="23" width="14.76171875" customWidth="1"/>
    <col min="24" max="24" width="12.234375" customWidth="1"/>
    <col min="25" max="25" width="15.234375" customWidth="1"/>
  </cols>
  <sheetData>
    <row r="1" spans="1:25" ht="16.2" x14ac:dyDescent="0.65">
      <c r="A1" s="5" t="s">
        <v>18</v>
      </c>
      <c r="B1" s="5" t="s">
        <v>53</v>
      </c>
      <c r="C1" s="5" t="s">
        <v>54</v>
      </c>
      <c r="D1" s="5" t="s">
        <v>55</v>
      </c>
      <c r="E1" s="5"/>
      <c r="F1" s="5" t="s">
        <v>56</v>
      </c>
      <c r="G1" s="5" t="s">
        <v>57</v>
      </c>
      <c r="J1" t="s">
        <v>91</v>
      </c>
      <c r="K1" t="s">
        <v>58</v>
      </c>
      <c r="L1" t="s">
        <v>70</v>
      </c>
      <c r="M1" t="s">
        <v>71</v>
      </c>
      <c r="N1" t="s">
        <v>74</v>
      </c>
      <c r="O1" t="s">
        <v>72</v>
      </c>
      <c r="P1" t="s">
        <v>75</v>
      </c>
      <c r="R1" s="12" t="s">
        <v>20</v>
      </c>
      <c r="S1" s="12" t="s">
        <v>59</v>
      </c>
      <c r="T1" s="12" t="s">
        <v>88</v>
      </c>
      <c r="U1" s="12" t="s">
        <v>87</v>
      </c>
      <c r="V1" s="12" t="s">
        <v>89</v>
      </c>
      <c r="W1" s="12" t="s">
        <v>90</v>
      </c>
      <c r="X1" s="12" t="s">
        <v>86</v>
      </c>
      <c r="Y1" s="12"/>
    </row>
    <row r="2" spans="1:25" x14ac:dyDescent="0.45">
      <c r="A2" s="3" t="s">
        <v>60</v>
      </c>
      <c r="B2" s="3" t="s">
        <v>61</v>
      </c>
      <c r="C2" s="3" t="s">
        <v>62</v>
      </c>
      <c r="D2" s="3" t="s">
        <v>62</v>
      </c>
      <c r="E2" s="3" t="s">
        <v>63</v>
      </c>
      <c r="F2" s="3" t="s">
        <v>62</v>
      </c>
      <c r="G2" s="3" t="s">
        <v>62</v>
      </c>
      <c r="H2" s="9" t="s">
        <v>64</v>
      </c>
      <c r="I2" s="18"/>
      <c r="K2" s="11" t="s">
        <v>65</v>
      </c>
      <c r="L2" s="11" t="s">
        <v>62</v>
      </c>
      <c r="M2" s="11" t="s">
        <v>62</v>
      </c>
      <c r="N2" s="13" t="s">
        <v>73</v>
      </c>
      <c r="O2" s="16" t="s">
        <v>73</v>
      </c>
      <c r="P2" s="16" t="s">
        <v>62</v>
      </c>
      <c r="R2" t="s">
        <v>18</v>
      </c>
      <c r="S2" s="10">
        <f>B7+INDEX($K$3:$P$7,MATCH($E$7,_xlfn.ANCHORARRAY(K3),0),4)</f>
        <v>1280398</v>
      </c>
      <c r="T2" s="10">
        <f>INDEX($K$19:$P$27,MATCH(E7,_xlfn.ANCHORARRAY(K19),0),6)*E7</f>
        <v>217447466.79698172</v>
      </c>
      <c r="U2" s="10">
        <f>INDEX($K$3:$P$7,MATCH(E7,_xlfn.ANCHORARRAY(K3),0),6)*E7</f>
        <v>237871761.82692182</v>
      </c>
      <c r="V2" s="10">
        <f>INDEX($K$19:$P$27,MATCH(E7,_xlfn.ANCHORARRAY(K19),0),3)*E7</f>
        <v>2419940.2937919297</v>
      </c>
      <c r="W2" s="10">
        <f>INDEX($K$3:$P$7,MATCH(E7,_xlfn.ANCHORARRAY(K3),0),3)*E7</f>
        <v>2649973.6730385371</v>
      </c>
      <c r="X2" s="10">
        <f>V2+S2</f>
        <v>3700338.2937919297</v>
      </c>
      <c r="Y2" s="10"/>
    </row>
    <row r="3" spans="1:25" x14ac:dyDescent="0.45">
      <c r="A3" t="s">
        <v>111</v>
      </c>
      <c r="B3" s="8">
        <v>935000</v>
      </c>
      <c r="C3" s="8">
        <f>B3/E3</f>
        <v>247.09302325581396</v>
      </c>
      <c r="D3" s="14">
        <v>493.05418128964061</v>
      </c>
      <c r="E3" s="8">
        <v>3784</v>
      </c>
      <c r="F3" s="8">
        <v>41490.486257928118</v>
      </c>
      <c r="G3" s="8">
        <v>33060</v>
      </c>
      <c r="H3" s="8" cm="1">
        <f t="array" ref="H3">IF(INDEX($E$3:$G$7,MATCH(K3,$E$3:$E$7,0),3)=0,TREND($G$3:$G$6,$E$3:$E$6,$E$7),INDEX($E$3:$G$7,MATCH(K3,$E$3:$E$7,0),3))</f>
        <v>33060</v>
      </c>
      <c r="I3" s="8"/>
      <c r="J3" t="str">
        <f>INDEX($A$3:$H$7,MATCH(K3,$E$3:$E$7,0),1)</f>
        <v>Bygg 1</v>
      </c>
      <c r="K3" s="8" cm="1">
        <f t="array" ref="K3:K7">_xlfn._xlws.SORT(E3:E7,1,1)</f>
        <v>3784</v>
      </c>
      <c r="L3" s="8" cm="1">
        <f t="array" ref="L3">IF(INDEX($E$3:$F$7,MATCH(K3,$E$3:$E$7,0),2)=0,TREND($F$3:$F$6,$E$3:$E$6,$E$7),INDEX($E$3:$F$7,MATCH(K3,$E$3:$E$7,0),2))</f>
        <v>41490.486257928118</v>
      </c>
      <c r="M3" s="8" cm="1">
        <f t="array" ref="M3">IF(INDEX($D$3:$E$7,MATCH(K3,$E$3:$E$7,0),1)=0,TREND($D$3:$D$6,$E$3:$E$6,$E$7),INDEX($D$3:$E$7,MATCH(K3,$E$3:$E$7,0),1))</f>
        <v>493.05418128964061</v>
      </c>
      <c r="N3" s="10">
        <f>233898</f>
        <v>233898</v>
      </c>
      <c r="O3" s="10">
        <f>(L3+M3)*K3+N3</f>
        <v>159099615.02199998</v>
      </c>
      <c r="P3" s="8">
        <f>O3/K3</f>
        <v>42045.352807082447</v>
      </c>
      <c r="R3" t="s">
        <v>3</v>
      </c>
      <c r="S3" s="10">
        <f>B15+INDEX($K$11:$P$15,MATCH($E$15,_xlfn.ANCHORARRAY(K11),0),4)</f>
        <v>1332225.5</v>
      </c>
      <c r="T3" s="10">
        <f>INDEX($K$19:$P$27,MATCH(E7,_xlfn.ANCHORARRAY(K19),0),6)*E7</f>
        <v>217447466.79698172</v>
      </c>
      <c r="U3" s="10">
        <f>INDEX($K$11:$P$15,MATCH(E15,_xlfn.ANCHORARRAY(K11),0),6)*E15</f>
        <v>206598002.32154047</v>
      </c>
      <c r="V3" s="10">
        <f>INDEX($K$19:$P$27,MATCH(E7,_xlfn.ANCHORARRAY(K19),0),3)*E7</f>
        <v>2419940.2937919297</v>
      </c>
      <c r="W3" s="10">
        <f>INDEX($K$11:$P$15,MATCH(E7,_xlfn.ANCHORARRAY(K11),0),3)*E7</f>
        <v>2343374.0734974477</v>
      </c>
      <c r="X3" s="10">
        <f>V3+S3</f>
        <v>3752165.7937919297</v>
      </c>
      <c r="Y3" s="10"/>
    </row>
    <row r="4" spans="1:25" ht="16.2" x14ac:dyDescent="0.65">
      <c r="A4" t="s">
        <v>112</v>
      </c>
      <c r="B4" s="8">
        <v>901000</v>
      </c>
      <c r="C4" s="8">
        <f t="shared" ref="C4:C6" si="0">B4/E4</f>
        <v>138.59406245193048</v>
      </c>
      <c r="D4" s="15">
        <v>383.16276461538467</v>
      </c>
      <c r="E4" s="8">
        <v>6501</v>
      </c>
      <c r="F4" s="8">
        <v>28153.846153846152</v>
      </c>
      <c r="G4" s="8">
        <v>31325</v>
      </c>
      <c r="H4" s="8" cm="1">
        <f t="array" ref="H4">IF(INDEX($E$3:$G$7,MATCH(K4,$E$3:$E$7,0),3)=0,TREND($G$3:$G$6,$E$3:$E$6,$E$7),INDEX($E$3:$G$7,MATCH(K4,$E$3:$E$7,0),3))</f>
        <v>31325</v>
      </c>
      <c r="I4" s="8"/>
      <c r="J4" t="str">
        <f t="shared" ref="J4:J7" si="1">INDEX($A$3:$H$7,MATCH(K4,$E$3:$E$7,0),1)</f>
        <v>Bygg 2</v>
      </c>
      <c r="K4" s="8">
        <v>6501</v>
      </c>
      <c r="L4" s="8" cm="1">
        <f t="array" ref="L4">IF(INDEX($E$3:$F$7,MATCH(K4,$E$3:$E$7,0),2)=0,TREND($F$3:$F$6,$E$3:$E$6,$E$7),INDEX($E$3:$F$7,MATCH(K4,$E$3:$E$7,0),2))</f>
        <v>28153.846153846152</v>
      </c>
      <c r="M4" s="8" cm="1">
        <f t="array" ref="M4">IF(INDEX($D$3:$E$7,MATCH(K4,$E$3:$E$7,0),1)=0,TREND($D$3:$D$6,$E$3:$E$6,$E$7),INDEX($D$3:$E$7,MATCH(K4,$E$3:$E$7,0),1))</f>
        <v>383.16276461538467</v>
      </c>
      <c r="N4" s="10">
        <f t="shared" ref="N4:N7" si="2">233898</f>
        <v>233898</v>
      </c>
      <c r="O4" s="10">
        <f t="shared" ref="O4:O7" si="3">(L4+M4)*K4+N4</f>
        <v>185752992.97891843</v>
      </c>
      <c r="P4" s="8">
        <f t="shared" ref="P4:P7" si="4">O4/K4</f>
        <v>28572.987690958074</v>
      </c>
      <c r="R4" t="s">
        <v>66</v>
      </c>
      <c r="S4">
        <v>30390</v>
      </c>
      <c r="U4" s="10">
        <f>S4*$E$7</f>
        <v>212730000</v>
      </c>
    </row>
    <row r="5" spans="1:25" ht="16.2" x14ac:dyDescent="0.65">
      <c r="A5" t="s">
        <v>113</v>
      </c>
      <c r="B5" s="8">
        <v>620000</v>
      </c>
      <c r="C5" s="8">
        <f t="shared" si="0"/>
        <v>53.628578842660673</v>
      </c>
      <c r="D5" s="8">
        <v>203.00703572355332</v>
      </c>
      <c r="E5" s="8">
        <v>11561</v>
      </c>
      <c r="F5" s="8">
        <v>29322.722947841881</v>
      </c>
      <c r="G5" s="8">
        <v>31486</v>
      </c>
      <c r="H5" s="8" cm="1">
        <f t="array" ref="H5">IF(INDEX($E$3:$G$7,MATCH(K5,$E$3:$E$7,0),3)=0,TREND($G$3:$G$6,$E$3:$E$6,$E$7),INDEX($E$3:$G$7,MATCH(K5,$E$3:$E$7,0),3))</f>
        <v>31664.471201831297</v>
      </c>
      <c r="I5" s="8"/>
      <c r="J5" t="str">
        <f t="shared" si="1"/>
        <v>Estimat</v>
      </c>
      <c r="K5" s="8">
        <v>7000</v>
      </c>
      <c r="L5" s="8" cm="1">
        <f t="array" ref="L5">IF(INDEX($E$3:$F$7,MATCH(K5,$E$3:$E$7,0),2)=0,TREND($F$3:$F$6,$E$3:$E$6,$E$7),INDEX($E$3:$F$7,MATCH(K5,$E$3:$E$7,0),2))</f>
        <v>33569.6985934119</v>
      </c>
      <c r="M5" s="8" cm="1">
        <f t="array" ref="M5">IF(INDEX($D$3:$E$7,MATCH(K5,$E$3:$E$7,0),1)=0,TREND($D$3:$D$6,$E$3:$E$6,$E$7),INDEX($D$3:$E$7,MATCH(K5,$E$3:$E$7,0),1))</f>
        <v>378.5676675769339</v>
      </c>
      <c r="N5" s="10">
        <f t="shared" si="2"/>
        <v>233898</v>
      </c>
      <c r="O5" s="10">
        <f t="shared" si="3"/>
        <v>237871761.82692185</v>
      </c>
      <c r="P5" s="8">
        <f t="shared" si="4"/>
        <v>33981.680260988833</v>
      </c>
      <c r="R5" t="s">
        <v>67</v>
      </c>
      <c r="S5">
        <v>33000</v>
      </c>
      <c r="U5" s="10">
        <f>S5*$E$7</f>
        <v>231000000</v>
      </c>
    </row>
    <row r="6" spans="1:25" x14ac:dyDescent="0.45">
      <c r="A6" t="s">
        <v>114</v>
      </c>
      <c r="B6" s="8">
        <v>1730000</v>
      </c>
      <c r="C6" s="8">
        <f t="shared" si="0"/>
        <v>128.70108614789467</v>
      </c>
      <c r="D6" s="15">
        <v>208.24845186728166</v>
      </c>
      <c r="E6" s="8">
        <v>13442</v>
      </c>
      <c r="F6" s="8">
        <v>26626.354687966064</v>
      </c>
      <c r="G6" s="8">
        <v>27757</v>
      </c>
      <c r="H6" s="8" cm="1">
        <f t="array" ref="H6">IF(INDEX($E$3:$G$7,MATCH(K6,$E$3:$E$7,0),3)=0,TREND($G$3:$G$6,$E$3:$E$6,$E$7),INDEX($E$3:$G$7,MATCH(K6,$E$3:$E$7,0),3))</f>
        <v>31486</v>
      </c>
      <c r="I6" s="8"/>
      <c r="J6" t="str">
        <f t="shared" si="1"/>
        <v>Bygg 3</v>
      </c>
      <c r="K6" s="8">
        <v>11561</v>
      </c>
      <c r="L6" s="8" cm="1">
        <f t="array" ref="L6">IF(INDEX($E$3:$F$7,MATCH(K6,$E$3:$E$7,0),2)=0,TREND($F$3:$F$6,$E$3:$E$6,$E$7),INDEX($E$3:$F$7,MATCH(K6,$E$3:$E$7,0),2))</f>
        <v>29322.722947841881</v>
      </c>
      <c r="M6" s="8" cm="1">
        <f t="array" ref="M6">IF(INDEX($D$3:$E$7,MATCH(K6,$E$3:$E$7,0),1)=0,TREND($D$3:$D$6,$E$3:$E$6,$E$7),INDEX($D$3:$E$7,MATCH(K6,$E$3:$E$7,0),1))</f>
        <v>203.00703572355332</v>
      </c>
      <c r="N6" s="10">
        <f t="shared" si="2"/>
        <v>233898</v>
      </c>
      <c r="O6" s="10">
        <f t="shared" si="3"/>
        <v>341580862.33999997</v>
      </c>
      <c r="P6" s="8">
        <f t="shared" si="4"/>
        <v>29545.961624426949</v>
      </c>
    </row>
    <row r="7" spans="1:25" x14ac:dyDescent="0.45">
      <c r="A7" t="s">
        <v>110</v>
      </c>
      <c r="B7" s="10">
        <f>AVERAGE(B3:B6)</f>
        <v>1046500</v>
      </c>
      <c r="E7">
        <f>Beregning!B5</f>
        <v>7000</v>
      </c>
      <c r="F7" s="10"/>
      <c r="H7" s="8" cm="1">
        <f t="array" ref="H7">IF(INDEX($E$3:$G$7,MATCH(K7,$E$3:$E$7,0),3)=0,TREND($G$3:$G$6,$E$3:$E$6,$E$7),INDEX($E$3:$G$7,MATCH(K7,$E$3:$E$7,0),3))</f>
        <v>27757</v>
      </c>
      <c r="I7" s="8"/>
      <c r="J7" t="str">
        <f t="shared" si="1"/>
        <v>Bygg 4</v>
      </c>
      <c r="K7" s="8">
        <v>13442</v>
      </c>
      <c r="L7" s="8" cm="1">
        <f t="array" ref="L7">IF(INDEX($E$3:$F$7,MATCH(K7,$E$3:$E$7,0),2)=0,TREND($F$3:$F$6,$E$3:$E$6,$E$7),INDEX($E$3:$F$7,MATCH(K7,$E$3:$E$7,0),2))</f>
        <v>26626.354687966064</v>
      </c>
      <c r="M7" s="8" cm="1">
        <f t="array" ref="M7">IF(INDEX($D$3:$E$7,MATCH(K7,$E$3:$E$7,0),1)=0,TREND($D$3:$D$6,$E$3:$E$6,$E$7),INDEX($D$3:$E$7,MATCH(K7,$E$3:$E$7,0),1))</f>
        <v>208.24845186728166</v>
      </c>
      <c r="N7" s="10">
        <f t="shared" si="2"/>
        <v>233898</v>
      </c>
      <c r="O7" s="10">
        <f t="shared" si="3"/>
        <v>360944633.40563983</v>
      </c>
      <c r="P7" s="8">
        <f t="shared" si="4"/>
        <v>26852.003675467924</v>
      </c>
    </row>
    <row r="9" spans="1:25" ht="16.2" x14ac:dyDescent="0.65">
      <c r="A9" s="5" t="s">
        <v>3</v>
      </c>
      <c r="B9" s="5" t="s">
        <v>53</v>
      </c>
      <c r="C9" s="5" t="s">
        <v>54</v>
      </c>
      <c r="D9" s="5" t="s">
        <v>55</v>
      </c>
      <c r="E9" s="5"/>
      <c r="F9" s="5" t="s">
        <v>56</v>
      </c>
      <c r="G9" s="5" t="s">
        <v>68</v>
      </c>
      <c r="K9" t="s">
        <v>58</v>
      </c>
      <c r="L9" t="s">
        <v>70</v>
      </c>
      <c r="M9" t="s">
        <v>71</v>
      </c>
      <c r="N9" t="s">
        <v>74</v>
      </c>
      <c r="O9" t="s">
        <v>72</v>
      </c>
      <c r="P9" t="s">
        <v>75</v>
      </c>
    </row>
    <row r="10" spans="1:25" x14ac:dyDescent="0.45">
      <c r="A10" s="3"/>
      <c r="B10" s="3" t="s">
        <v>61</v>
      </c>
      <c r="C10" s="3" t="s">
        <v>62</v>
      </c>
      <c r="D10" s="3" t="s">
        <v>62</v>
      </c>
      <c r="E10" s="3" t="s">
        <v>63</v>
      </c>
      <c r="F10" s="3" t="s">
        <v>62</v>
      </c>
      <c r="G10" s="3" t="s">
        <v>62</v>
      </c>
      <c r="H10" s="9" t="s">
        <v>64</v>
      </c>
      <c r="I10" s="18"/>
      <c r="K10" s="11" t="s">
        <v>65</v>
      </c>
      <c r="L10" s="11" t="s">
        <v>62</v>
      </c>
      <c r="M10" s="11" t="s">
        <v>62</v>
      </c>
      <c r="N10" s="13" t="s">
        <v>73</v>
      </c>
      <c r="O10" s="16" t="s">
        <v>73</v>
      </c>
      <c r="P10" s="16" t="s">
        <v>62</v>
      </c>
    </row>
    <row r="11" spans="1:25" x14ac:dyDescent="0.45">
      <c r="A11" t="s">
        <v>115</v>
      </c>
      <c r="B11" s="8">
        <v>961310</v>
      </c>
      <c r="C11" s="8">
        <f>B11/E11</f>
        <v>124.84545454545454</v>
      </c>
      <c r="D11" s="15">
        <v>378.35057246753252</v>
      </c>
      <c r="E11" s="8">
        <v>7700</v>
      </c>
      <c r="F11" s="8">
        <v>28725</v>
      </c>
      <c r="G11" s="8">
        <v>30556</v>
      </c>
      <c r="H11" s="8" cm="1">
        <f t="array" ref="H11">IF(INDEX($E$11:$G$15,MATCH(K11,$E$11:$E$15,0),3)=0,TREND($G$11:$G$14,$E$11:$E$14,$E$15),INDEX($E$11:$G$15,MATCH(K11,$E$11:$E$15,0),3))</f>
        <v>31970.692493331317</v>
      </c>
      <c r="I11" s="8"/>
      <c r="J11" t="str">
        <f>INDEX($A$11:$H$15,MATCH(K11,$E$11:$E$15,0),1)</f>
        <v>Estimat</v>
      </c>
      <c r="K11" s="8" cm="1">
        <f t="array" ref="K11:K15">_xlfn._xlws.SORT(E11:E15,1,1)</f>
        <v>7000</v>
      </c>
      <c r="L11" s="8" cm="1">
        <f t="array" ref="L11">IF(INDEX($E$11:$F$15,MATCH(K11,$E$11:$E$15,0),2)=0,TREND($F$11:$F$14,$E$11:$E$14,$E$15),INDEX($E$11:$F$15,MATCH(K11,$E$11:$E$15,0),2))</f>
        <v>29145.818606863289</v>
      </c>
      <c r="M11" s="8" cm="1">
        <f t="array" ref="M11">IF(INDEX($D$11:$E$15,MATCH(K11,$E$11:$E$15,0),1)=0,TREND($D$11:$D$14,$E$11:$E$14,$E$15),INDEX($D$11:$E$15,MATCH(K11,$E$11:$E$15,0),1))</f>
        <v>334.76772478534969</v>
      </c>
      <c r="N11" s="10">
        <f>233898</f>
        <v>233898</v>
      </c>
      <c r="O11" s="10">
        <f>(L11+M11)*K11+N11</f>
        <v>206598002.32154047</v>
      </c>
      <c r="P11" s="8">
        <f>O11/K11</f>
        <v>29514.00033164864</v>
      </c>
    </row>
    <row r="12" spans="1:25" x14ac:dyDescent="0.45">
      <c r="A12" t="s">
        <v>116</v>
      </c>
      <c r="B12" s="8">
        <v>737000</v>
      </c>
      <c r="C12" s="8">
        <f t="shared" ref="C12:C14" si="5">B12/E12</f>
        <v>84.702907711757263</v>
      </c>
      <c r="D12" s="15">
        <v>364.70527065854498</v>
      </c>
      <c r="E12" s="8">
        <v>8701</v>
      </c>
      <c r="F12" s="8">
        <v>33635</v>
      </c>
      <c r="G12" s="8">
        <v>33635.074866310162</v>
      </c>
      <c r="H12" s="8" cm="1">
        <f t="array" ref="H12">IF(INDEX($E$11:$G$15,MATCH(K12,$E$11:$E$15,0),3)=0,TREND($G$11:$G$14,$E$11:$E$14,$E$15),INDEX($E$11:$G$15,MATCH(K12,$E$11:$E$15,0),3))</f>
        <v>30556</v>
      </c>
      <c r="I12" s="8"/>
      <c r="J12" t="str">
        <f t="shared" ref="J12:J15" si="6">INDEX($A$11:$H$15,MATCH(K12,$E$11:$E$15,0),1)</f>
        <v>Bygg 5</v>
      </c>
      <c r="K12" s="8">
        <v>7700</v>
      </c>
      <c r="L12" s="8" cm="1">
        <f t="array" ref="L12">IF(INDEX($E$11:$F$15,MATCH(K12,$E$11:$E$15,0),2)=0,TREND($F$11:$F$14,$E$11:$E$14,$E$15),INDEX($E$11:$F$15,MATCH(K12,$E$11:$E$15,0),2))</f>
        <v>28725</v>
      </c>
      <c r="M12" s="8" cm="1">
        <f t="array" ref="M12">IF(INDEX($D$11:$E$15,MATCH(K12,$E$11:$E$15,0),1)=0,TREND($D$11:$D$14,$E$11:$E$14,$E$15),INDEX($D$11:$E$15,MATCH(K12,$E$11:$E$15,0),1))</f>
        <v>378.35057246753252</v>
      </c>
      <c r="N12" s="10">
        <f t="shared" ref="N12:N15" si="7">233898</f>
        <v>233898</v>
      </c>
      <c r="O12" s="10">
        <f t="shared" ref="O12:O15" si="8">(L12+M12)*K12+N12</f>
        <v>224329697.40800002</v>
      </c>
      <c r="P12" s="8">
        <f t="shared" ref="P12:P15" si="9">O12/K12</f>
        <v>29133.7269361039</v>
      </c>
    </row>
    <row r="13" spans="1:25" x14ac:dyDescent="0.45">
      <c r="A13" t="s">
        <v>117</v>
      </c>
      <c r="B13" s="8">
        <v>1065000</v>
      </c>
      <c r="C13" s="8">
        <f t="shared" si="5"/>
        <v>75.946659060115522</v>
      </c>
      <c r="D13" s="15">
        <v>206.9848078571429</v>
      </c>
      <c r="E13" s="8">
        <v>14023</v>
      </c>
      <c r="F13" s="8">
        <v>29396</v>
      </c>
      <c r="G13" s="8">
        <v>30130</v>
      </c>
      <c r="H13" s="8" cm="1">
        <f t="array" ref="H13">IF(INDEX($E$11:$G$15,MATCH(K13,$E$11:$E$15,0),3)=0,TREND($G$11:$G$14,$E$11:$E$14,$E$15),INDEX($E$11:$G$15,MATCH(K13,$E$11:$E$15,0),3))</f>
        <v>33635.074866310162</v>
      </c>
      <c r="I13" s="8"/>
      <c r="J13" t="str">
        <f t="shared" si="6"/>
        <v>Bygg 6</v>
      </c>
      <c r="K13" s="8">
        <v>8701</v>
      </c>
      <c r="L13" s="8" cm="1">
        <f t="array" ref="L13">IF(INDEX($E$11:$F$15,MATCH(K13,$E$11:$E$15,0),2)=0,TREND($F$11:$F$14,$E$11:$E$14,$E$15),INDEX($E$11:$F$15,MATCH(K13,$E$11:$E$15,0),2))</f>
        <v>33635</v>
      </c>
      <c r="M13" s="8" cm="1">
        <f t="array" ref="M13">IF(INDEX($D$11:$E$15,MATCH(K13,$E$11:$E$15,0),1)=0,TREND($D$11:$D$14,$E$11:$E$14,$E$15),INDEX($D$11:$E$15,MATCH(K13,$E$11:$E$15,0),1))</f>
        <v>364.70527065854498</v>
      </c>
      <c r="N13" s="10">
        <f t="shared" si="7"/>
        <v>233898</v>
      </c>
      <c r="O13" s="10">
        <f t="shared" si="8"/>
        <v>296065333.56</v>
      </c>
      <c r="P13" s="8">
        <f t="shared" si="9"/>
        <v>34026.587008389841</v>
      </c>
    </row>
    <row r="14" spans="1:25" x14ac:dyDescent="0.45">
      <c r="A14" t="s">
        <v>118</v>
      </c>
      <c r="B14" s="8">
        <v>1630000</v>
      </c>
      <c r="C14" s="8">
        <f t="shared" si="5"/>
        <v>49.323690501407086</v>
      </c>
      <c r="D14" s="15">
        <v>279.10158060606062</v>
      </c>
      <c r="E14" s="8">
        <v>33047</v>
      </c>
      <c r="F14" s="8">
        <v>43852</v>
      </c>
      <c r="G14" s="8">
        <v>27976</v>
      </c>
      <c r="H14" s="8" cm="1">
        <f t="array" ref="H14">IF(INDEX($E$11:$G$15,MATCH(K14,$E$11:$E$15,0),3)=0,TREND($G$11:$G$14,$E$11:$E$14,$E$15),INDEX($E$11:$G$15,MATCH(K14,$E$11:$E$15,0),3))</f>
        <v>30130</v>
      </c>
      <c r="I14" s="8"/>
      <c r="J14" t="str">
        <f t="shared" si="6"/>
        <v>Bygg 7</v>
      </c>
      <c r="K14" s="8">
        <v>14023</v>
      </c>
      <c r="L14" s="8" cm="1">
        <f t="array" ref="L14">IF(INDEX($E$11:$F$15,MATCH(K14,$E$11:$E$15,0),2)=0,TREND($F$11:$F$14,$E$11:$E$14,$E$15),INDEX($E$11:$F$15,MATCH(K14,$E$11:$E$15,0),2))</f>
        <v>29396</v>
      </c>
      <c r="M14" s="8" cm="1">
        <f t="array" ref="M14">IF(INDEX($D$11:$E$15,MATCH(K14,$E$11:$E$15,0),1)=0,TREND($D$11:$D$14,$E$11:$E$14,$E$15),INDEX($D$11:$E$15,MATCH(K14,$E$11:$E$15,0),1))</f>
        <v>206.9848078571429</v>
      </c>
      <c r="N14" s="10">
        <f t="shared" si="7"/>
        <v>233898</v>
      </c>
      <c r="O14" s="10">
        <f t="shared" si="8"/>
        <v>415356553.96058071</v>
      </c>
      <c r="P14" s="8">
        <f t="shared" si="9"/>
        <v>29619.664405660751</v>
      </c>
    </row>
    <row r="15" spans="1:25" x14ac:dyDescent="0.45">
      <c r="A15" t="s">
        <v>110</v>
      </c>
      <c r="B15" s="10">
        <f>AVERAGE(B11:B14)</f>
        <v>1098327.5</v>
      </c>
      <c r="E15">
        <f>Beregning!B5</f>
        <v>7000</v>
      </c>
      <c r="H15" s="8" cm="1">
        <f t="array" ref="H15">IF(INDEX($E$11:$G$15,MATCH(K15,$E$11:$E$15,0),3)=0,TREND($G$11:$G$14,$E$11:$E$14,$E$15),INDEX($E$11:$G$15,MATCH(K15,$E$11:$E$15,0),3))</f>
        <v>27976</v>
      </c>
      <c r="I15" s="8"/>
      <c r="J15" t="str">
        <f t="shared" si="6"/>
        <v>Bygg 8</v>
      </c>
      <c r="K15" s="8">
        <v>33047</v>
      </c>
      <c r="L15" s="8" cm="1">
        <f t="array" ref="L15">IF(INDEX($E$11:$F$15,MATCH(K15,$E$11:$E$15,0),2)=0,TREND($F$11:$F$14,$E$11:$E$14,$E$15),INDEX($E$11:$F$15,MATCH(K15,$E$11:$E$15,0),2))</f>
        <v>43852</v>
      </c>
      <c r="M15" s="8" cm="1">
        <f t="array" ref="M15">IF(INDEX($D$11:$E$15,MATCH(K15,$E$11:$E$15,0),1)=0,TREND($D$11:$D$14,$E$11:$E$14,$E$15),INDEX($D$11:$E$15,MATCH(K15,$E$11:$E$15,0),1))</f>
        <v>279.10158060606062</v>
      </c>
      <c r="N15" s="10">
        <f t="shared" si="7"/>
        <v>233898</v>
      </c>
      <c r="O15" s="10">
        <f t="shared" si="8"/>
        <v>1458634411.9342885</v>
      </c>
      <c r="P15" s="8">
        <f t="shared" si="9"/>
        <v>44138.179318373484</v>
      </c>
    </row>
    <row r="16" spans="1:25" x14ac:dyDescent="0.45">
      <c r="K16" s="8"/>
    </row>
    <row r="17" spans="1:16" ht="16.2" x14ac:dyDescent="0.65">
      <c r="B17" s="5" t="s">
        <v>53</v>
      </c>
      <c r="C17" s="5" t="s">
        <v>54</v>
      </c>
      <c r="D17" s="5" t="s">
        <v>55</v>
      </c>
      <c r="E17" s="5"/>
      <c r="F17" s="5" t="s">
        <v>56</v>
      </c>
      <c r="G17" s="5" t="s">
        <v>68</v>
      </c>
      <c r="K17" t="s">
        <v>58</v>
      </c>
      <c r="L17" t="s">
        <v>70</v>
      </c>
      <c r="M17" t="s">
        <v>71</v>
      </c>
      <c r="N17" t="s">
        <v>74</v>
      </c>
      <c r="O17" t="s">
        <v>72</v>
      </c>
      <c r="P17" t="s">
        <v>75</v>
      </c>
    </row>
    <row r="18" spans="1:16" x14ac:dyDescent="0.45">
      <c r="A18" t="s">
        <v>69</v>
      </c>
      <c r="B18" s="3" t="s">
        <v>61</v>
      </c>
      <c r="C18" s="3" t="s">
        <v>62</v>
      </c>
      <c r="D18" s="3" t="s">
        <v>62</v>
      </c>
      <c r="E18" s="3" t="s">
        <v>63</v>
      </c>
      <c r="F18" s="3" t="s">
        <v>62</v>
      </c>
      <c r="G18" s="3" t="s">
        <v>62</v>
      </c>
      <c r="H18" s="9" t="s">
        <v>64</v>
      </c>
      <c r="I18" s="18"/>
      <c r="K18" s="11" t="s">
        <v>65</v>
      </c>
      <c r="L18" s="11" t="s">
        <v>62</v>
      </c>
      <c r="M18" s="11" t="s">
        <v>62</v>
      </c>
      <c r="N18" s="13" t="s">
        <v>73</v>
      </c>
      <c r="O18" s="16" t="s">
        <v>73</v>
      </c>
      <c r="P18" s="16" t="s">
        <v>62</v>
      </c>
    </row>
    <row r="19" spans="1:16" x14ac:dyDescent="0.45">
      <c r="A19">
        <v>1</v>
      </c>
      <c r="B19" s="8">
        <v>935000</v>
      </c>
      <c r="C19" s="8">
        <f>B19/E19</f>
        <v>247.09302325581396</v>
      </c>
      <c r="D19" s="8">
        <f>INDEX($B$3:$E$14,MATCH(B19,$B$3:$B$14,0),3)</f>
        <v>493.05418128964061</v>
      </c>
      <c r="E19" s="8">
        <v>3784</v>
      </c>
      <c r="F19" s="8">
        <v>41490.486257928118</v>
      </c>
      <c r="G19" s="8">
        <v>33060</v>
      </c>
      <c r="H19" s="8" cm="1">
        <f t="array" ref="H19">IF(INDEX($E$19:$G$27,MATCH(K19,$E$19:$E$27,0),3)=0,TREND($G$19:$G$26,$E$19:$E$26,$E$27),INDEX($E$19:$G$27,MATCH(K19,$E$19:$E$26,0),3))</f>
        <v>33060</v>
      </c>
      <c r="I19" s="8"/>
      <c r="J19">
        <f>INDEX($A$19:$H$27,MATCH(K19,$E$19:$E$27,0),1)</f>
        <v>1</v>
      </c>
      <c r="K19" s="8" cm="1">
        <f t="array" ref="K19:K27">_xlfn._xlws.SORT(E19:E27,1,1)</f>
        <v>3784</v>
      </c>
      <c r="L19" s="8" cm="1">
        <f t="array" ref="L19">IF(INDEX($E$19:$F$27,MATCH(K19,$E$19:$E$27,0),2)=0,TREND($F$19:$F$26,$E$19:$E$26,$E$27),INDEX($E$19:$F$27,MATCH(K19,$E$19:$E$27,0),2))</f>
        <v>41490.486257928118</v>
      </c>
      <c r="M19" s="8" cm="1">
        <f t="array" ref="M19">IF(INDEX($D$19:$E$27,MATCH(K19,$E$19:$E$27,0),1)=0,TREND($D$19:$D$26,$E$19:$E$26,$E$27),INDEX($D$19:$E$27,MATCH(K19,$E$19:$E$27,0),1))</f>
        <v>493.05418128964061</v>
      </c>
      <c r="N19" s="10">
        <f>233898</f>
        <v>233898</v>
      </c>
      <c r="O19" s="10">
        <f>(L19+M19)*K19+N19</f>
        <v>159099615.02199998</v>
      </c>
      <c r="P19" s="8">
        <f>O19/K19</f>
        <v>42045.352807082447</v>
      </c>
    </row>
    <row r="20" spans="1:16" x14ac:dyDescent="0.45">
      <c r="A20">
        <v>2</v>
      </c>
      <c r="B20" s="8">
        <v>901000</v>
      </c>
      <c r="C20" s="8">
        <f t="shared" ref="C20:C26" si="10">B20/E20</f>
        <v>138.59406245193048</v>
      </c>
      <c r="D20" s="8">
        <f t="shared" ref="D20:D26" si="11">INDEX($B$3:$E$14,MATCH(B20,$B$3:$B$14,0),3)</f>
        <v>383.16276461538467</v>
      </c>
      <c r="E20" s="8">
        <v>6501</v>
      </c>
      <c r="F20" s="8">
        <v>28153.846153846152</v>
      </c>
      <c r="G20" s="8">
        <v>31325</v>
      </c>
      <c r="H20" s="8" cm="1">
        <f t="array" ref="H20">IF(INDEX($E$19:$G$27,MATCH(K20,$E$19:$E$27,0),3)=0,TREND($G$19:$G$26,$E$19:$E$26,$E$27),INDEX($E$19:$G$27,MATCH(K20,$E$19:$E$26,0),3))</f>
        <v>31325</v>
      </c>
      <c r="I20" s="8"/>
      <c r="J20">
        <f t="shared" ref="J20:J27" si="12">INDEX($A$19:$H$27,MATCH(K20,$E$19:$E$27,0),1)</f>
        <v>2</v>
      </c>
      <c r="K20" s="8">
        <v>6501</v>
      </c>
      <c r="L20" s="8" cm="1">
        <f t="array" ref="L20">IF(INDEX($E$19:$F$27,MATCH(K20,$E$19:$E$27,0),2)=0,TREND($F$19:$F$26,$E$19:$E$26,$E$27),INDEX($E$19:$F$27,MATCH(K20,$E$19:$E$27,0),2))</f>
        <v>28153.846153846152</v>
      </c>
      <c r="M20" s="8" cm="1">
        <f t="array" ref="M20">IF(INDEX($D$19:$E$27,MATCH(K20,$E$19:$E$27,0),1)=0,TREND($D$19:$D$26,$E$19:$E$26,$E$27),INDEX($D$19:$E$27,MATCH(K20,$E$19:$E$27,0),1))</f>
        <v>383.16276461538467</v>
      </c>
      <c r="N20" s="10">
        <f t="shared" ref="N20:N27" si="13">233898</f>
        <v>233898</v>
      </c>
      <c r="O20" s="10">
        <f t="shared" ref="O20:O26" si="14">(L20+M20)*K20+N20</f>
        <v>185752992.97891843</v>
      </c>
      <c r="P20" s="8">
        <f t="shared" ref="P20:P26" si="15">O20/K20</f>
        <v>28572.987690958074</v>
      </c>
    </row>
    <row r="21" spans="1:16" x14ac:dyDescent="0.45">
      <c r="A21">
        <v>5</v>
      </c>
      <c r="B21" s="8">
        <v>961310</v>
      </c>
      <c r="C21" s="8">
        <f t="shared" si="10"/>
        <v>124.84545454545454</v>
      </c>
      <c r="D21" s="8">
        <f t="shared" si="11"/>
        <v>378.35057246753252</v>
      </c>
      <c r="E21" s="8">
        <v>7700</v>
      </c>
      <c r="F21" s="8">
        <v>27402.597402597403</v>
      </c>
      <c r="G21" s="8">
        <v>30556</v>
      </c>
      <c r="H21" s="8" cm="1">
        <f t="array" ref="H21">IF(INDEX($E$19:$G$27,MATCH(K21,$E$19:$E$27,0),3)=0,TREND($G$19:$G$26,$E$19:$E$26,$E$27),INDEX($E$19:$G$27,MATCH(K21,$E$19:$E$26,0),3))</f>
        <v>31623.635877655048</v>
      </c>
      <c r="I21" s="8"/>
      <c r="J21" t="str">
        <f t="shared" si="12"/>
        <v>Estimat</v>
      </c>
      <c r="K21" s="8">
        <v>7000</v>
      </c>
      <c r="L21" s="8" cm="1">
        <f t="array" ref="L21">IF(INDEX($E$19:$F$27,MATCH(K21,$E$19:$E$27,0),2)=0,TREND($F$19:$F$26,$E$19:$E$26,$E$27),INDEX($E$19:$F$27,MATCH(K21,$E$19:$E$27,0),2))</f>
        <v>30684.804071884257</v>
      </c>
      <c r="M21" s="8" cm="1">
        <f t="array" ref="M21">IF(INDEX($D$19:$E$27,MATCH(K21,$E$19:$E$27,0),1)=0,TREND($D$19:$D$26,$E$19:$E$26,$E$27),INDEX($D$19:$E$27,MATCH(K21,$E$19:$E$27,0),1))</f>
        <v>345.70575625598997</v>
      </c>
      <c r="N21" s="10">
        <f t="shared" si="13"/>
        <v>233898</v>
      </c>
      <c r="O21" s="10">
        <f t="shared" si="14"/>
        <v>217447466.79698172</v>
      </c>
      <c r="P21" s="8">
        <f t="shared" si="15"/>
        <v>31063.923828140247</v>
      </c>
    </row>
    <row r="22" spans="1:16" x14ac:dyDescent="0.45">
      <c r="A22">
        <v>7</v>
      </c>
      <c r="B22" s="8">
        <v>737000</v>
      </c>
      <c r="C22" s="8">
        <f t="shared" si="10"/>
        <v>84.702907711757263</v>
      </c>
      <c r="D22" s="8">
        <f t="shared" si="11"/>
        <v>364.70527065854498</v>
      </c>
      <c r="E22" s="8">
        <v>8701</v>
      </c>
      <c r="F22" s="8">
        <v>33635</v>
      </c>
      <c r="G22" s="8">
        <v>33635.074866310162</v>
      </c>
      <c r="H22" s="8" cm="1">
        <f t="array" ref="H22">IF(INDEX($E$19:$G$27,MATCH(K22,$E$19:$E$27,0),3)=0,TREND($G$19:$G$26,$E$19:$E$26,$E$27),INDEX($E$19:$G$27,MATCH(K22,$E$19:$E$26,0),3))</f>
        <v>30556</v>
      </c>
      <c r="I22" s="8"/>
      <c r="J22">
        <f t="shared" si="12"/>
        <v>5</v>
      </c>
      <c r="K22" s="8">
        <v>7700</v>
      </c>
      <c r="L22" s="8" cm="1">
        <f t="array" ref="L22">IF(INDEX($E$19:$F$27,MATCH(K22,$E$19:$E$27,0),2)=0,TREND($F$19:$F$26,$E$19:$E$26,$E$27),INDEX($E$19:$F$27,MATCH(K22,$E$19:$E$27,0),2))</f>
        <v>27402.597402597403</v>
      </c>
      <c r="M22" s="8" cm="1">
        <f t="array" ref="M22">IF(INDEX($D$19:$E$27,MATCH(K22,$E$19:$E$27,0),1)=0,TREND($D$19:$D$26,$E$19:$E$26,$E$27),INDEX($D$19:$E$27,MATCH(K22,$E$19:$E$27,0),1))</f>
        <v>378.35057246753252</v>
      </c>
      <c r="N22" s="10">
        <f t="shared" si="13"/>
        <v>233898</v>
      </c>
      <c r="O22" s="10">
        <f t="shared" si="14"/>
        <v>214147197.40800002</v>
      </c>
      <c r="P22" s="8">
        <f t="shared" si="15"/>
        <v>27811.324338701303</v>
      </c>
    </row>
    <row r="23" spans="1:16" x14ac:dyDescent="0.45">
      <c r="A23">
        <v>3</v>
      </c>
      <c r="B23" s="8">
        <v>620000</v>
      </c>
      <c r="C23" s="8">
        <f t="shared" si="10"/>
        <v>53.628578842660673</v>
      </c>
      <c r="D23" s="8">
        <f t="shared" si="11"/>
        <v>203.00703572355332</v>
      </c>
      <c r="E23" s="8">
        <v>11561</v>
      </c>
      <c r="F23" s="8">
        <v>29322.722947841881</v>
      </c>
      <c r="G23" s="8">
        <v>31486</v>
      </c>
      <c r="H23" s="8" cm="1">
        <f t="array" ref="H23">IF(INDEX($E$19:$G$27,MATCH(K23,$E$19:$E$27,0),3)=0,TREND($G$19:$G$26,$E$19:$E$26,$E$27),INDEX($E$19:$G$27,MATCH(K23,$E$19:$E$26,0),3))</f>
        <v>33635.074866310162</v>
      </c>
      <c r="I23" s="8"/>
      <c r="J23">
        <f t="shared" si="12"/>
        <v>7</v>
      </c>
      <c r="K23" s="8">
        <v>8701</v>
      </c>
      <c r="L23" s="8" cm="1">
        <f t="array" ref="L23">IF(INDEX($E$19:$F$27,MATCH(K23,$E$19:$E$27,0),2)=0,TREND($F$19:$F$26,$E$19:$E$26,$E$27),INDEX($E$19:$F$27,MATCH(K23,$E$19:$E$27,0),2))</f>
        <v>33635</v>
      </c>
      <c r="M23" s="8" cm="1">
        <f t="array" ref="M23">IF(INDEX($D$19:$E$27,MATCH(K23,$E$19:$E$27,0),1)=0,TREND($D$19:$D$26,$E$19:$E$26,$E$27),INDEX($D$19:$E$27,MATCH(K23,$E$19:$E$27,0),1))</f>
        <v>364.70527065854498</v>
      </c>
      <c r="N23" s="10">
        <f t="shared" si="13"/>
        <v>233898</v>
      </c>
      <c r="O23" s="10">
        <f t="shared" si="14"/>
        <v>296065333.56</v>
      </c>
      <c r="P23" s="8">
        <f t="shared" si="15"/>
        <v>34026.587008389841</v>
      </c>
    </row>
    <row r="24" spans="1:16" x14ac:dyDescent="0.45">
      <c r="A24">
        <v>4</v>
      </c>
      <c r="B24" s="8">
        <v>1730000</v>
      </c>
      <c r="C24" s="8">
        <f t="shared" si="10"/>
        <v>128.70108614789467</v>
      </c>
      <c r="D24" s="8">
        <f t="shared" si="11"/>
        <v>208.24845186728166</v>
      </c>
      <c r="E24" s="8">
        <v>13442</v>
      </c>
      <c r="F24" s="8">
        <v>26626.354687966064</v>
      </c>
      <c r="G24" s="8">
        <v>27757</v>
      </c>
      <c r="H24" s="8" cm="1">
        <f t="array" ref="H24">IF(INDEX($E$19:$G$27,MATCH(K24,$E$19:$E$27,0),3)=0,TREND($G$19:$G$26,$E$19:$E$26,$E$27),INDEX($E$19:$G$27,MATCH(K24,$E$19:$E$26,0),3))</f>
        <v>31486</v>
      </c>
      <c r="I24" s="8"/>
      <c r="J24">
        <f t="shared" si="12"/>
        <v>3</v>
      </c>
      <c r="K24" s="8">
        <v>11561</v>
      </c>
      <c r="L24" s="8" cm="1">
        <f t="array" ref="L24">IF(INDEX($E$19:$F$27,MATCH(K24,$E$19:$E$27,0),2)=0,TREND($F$19:$F$26,$E$19:$E$26,$E$27),INDEX($E$19:$F$27,MATCH(K24,$E$19:$E$27,0),2))</f>
        <v>29322.722947841881</v>
      </c>
      <c r="M24" s="8" cm="1">
        <f t="array" ref="M24">IF(INDEX($D$19:$E$27,MATCH(K24,$E$19:$E$27,0),1)=0,TREND($D$19:$D$26,$E$19:$E$26,$E$27),INDEX($D$19:$E$27,MATCH(K24,$E$19:$E$27,0),1))</f>
        <v>203.00703572355332</v>
      </c>
      <c r="N24" s="10">
        <f t="shared" si="13"/>
        <v>233898</v>
      </c>
      <c r="O24" s="10">
        <f t="shared" si="14"/>
        <v>341580862.33999997</v>
      </c>
      <c r="P24" s="8">
        <f t="shared" si="15"/>
        <v>29545.961624426949</v>
      </c>
    </row>
    <row r="25" spans="1:16" x14ac:dyDescent="0.45">
      <c r="A25">
        <v>6</v>
      </c>
      <c r="B25" s="8">
        <v>1065000</v>
      </c>
      <c r="C25" s="8">
        <f t="shared" si="10"/>
        <v>75.946659060115522</v>
      </c>
      <c r="D25" s="8">
        <f t="shared" si="11"/>
        <v>206.9848078571429</v>
      </c>
      <c r="E25" s="8">
        <v>14023</v>
      </c>
      <c r="F25" s="8">
        <v>29396</v>
      </c>
      <c r="G25" s="8">
        <v>30130</v>
      </c>
      <c r="H25" s="8" cm="1">
        <f t="array" ref="H25">IF(INDEX($E$19:$G$27,MATCH(K25,$E$19:$E$27,0),3)=0,TREND($G$19:$G$26,$E$19:$E$26,$E$27),INDEX($E$19:$G$27,MATCH(K25,$E$19:$E$26,0),3))</f>
        <v>27757</v>
      </c>
      <c r="I25" s="8"/>
      <c r="J25">
        <f t="shared" si="12"/>
        <v>4</v>
      </c>
      <c r="K25" s="8">
        <v>13442</v>
      </c>
      <c r="L25" s="8" cm="1">
        <f t="array" ref="L25">IF(INDEX($E$19:$F$27,MATCH(K25,$E$19:$E$27,0),2)=0,TREND($F$19:$F$26,$E$19:$E$26,$E$27),INDEX($E$19:$F$27,MATCH(K25,$E$19:$E$27,0),2))</f>
        <v>26626.354687966064</v>
      </c>
      <c r="M25" s="8" cm="1">
        <f t="array" ref="M25">IF(INDEX($D$19:$E$27,MATCH(K25,$E$19:$E$27,0),1)=0,TREND($D$19:$D$26,$E$19:$E$26,$E$27),INDEX($D$19:$E$27,MATCH(K25,$E$19:$E$27,0),1))</f>
        <v>208.24845186728166</v>
      </c>
      <c r="N25" s="10">
        <f t="shared" si="13"/>
        <v>233898</v>
      </c>
      <c r="O25" s="10">
        <f t="shared" si="14"/>
        <v>360944633.40563983</v>
      </c>
      <c r="P25" s="8">
        <f t="shared" si="15"/>
        <v>26852.003675467924</v>
      </c>
    </row>
    <row r="26" spans="1:16" x14ac:dyDescent="0.45">
      <c r="A26">
        <v>8</v>
      </c>
      <c r="B26" s="8">
        <v>1630000</v>
      </c>
      <c r="C26" s="8">
        <f t="shared" si="10"/>
        <v>49.323690501407086</v>
      </c>
      <c r="D26" s="8">
        <f t="shared" si="11"/>
        <v>279.10158060606062</v>
      </c>
      <c r="E26" s="8">
        <v>33047</v>
      </c>
      <c r="F26" s="8">
        <v>43852</v>
      </c>
      <c r="G26" s="8">
        <v>27976</v>
      </c>
      <c r="H26" s="8" cm="1">
        <f t="array" ref="H26">IF(INDEX($E$19:$G$27,MATCH(K26,$E$19:$E$27,0),3)=0,TREND($G$19:$G$26,$E$19:$E$26,$E$27),INDEX($E$19:$G$27,MATCH(K26,$E$19:$E$26,0),3))</f>
        <v>30130</v>
      </c>
      <c r="I26" s="8"/>
      <c r="J26">
        <f t="shared" si="12"/>
        <v>6</v>
      </c>
      <c r="K26" s="8">
        <v>14023</v>
      </c>
      <c r="L26" s="8" cm="1">
        <f t="array" ref="L26">IF(INDEX($E$19:$F$27,MATCH(K26,$E$19:$E$27,0),2)=0,TREND($F$19:$F$26,$E$19:$E$26,$E$27),INDEX($E$19:$F$27,MATCH(K26,$E$19:$E$27,0),2))</f>
        <v>29396</v>
      </c>
      <c r="M26" s="8" cm="1">
        <f t="array" ref="M26">IF(INDEX($D$19:$E$27,MATCH(K26,$E$19:$E$27,0),1)=0,TREND($D$19:$D$26,$E$19:$E$26,$E$27),INDEX($D$19:$E$27,MATCH(K26,$E$19:$E$27,0),1))</f>
        <v>206.9848078571429</v>
      </c>
      <c r="N26" s="10">
        <f t="shared" si="13"/>
        <v>233898</v>
      </c>
      <c r="O26" s="10">
        <f t="shared" si="14"/>
        <v>415356553.96058071</v>
      </c>
      <c r="P26" s="8">
        <f t="shared" si="15"/>
        <v>29619.664405660751</v>
      </c>
    </row>
    <row r="27" spans="1:16" x14ac:dyDescent="0.45">
      <c r="A27" t="s">
        <v>110</v>
      </c>
      <c r="D27" s="8"/>
      <c r="E27">
        <f>Beregning!B5</f>
        <v>7000</v>
      </c>
      <c r="H27" s="8" cm="1">
        <f t="array" ref="H27">IF(INDEX($E$19:$G$27,MATCH(K27,$E$19:$E$27,0),3)=0,TREND($G$19:$G$26,$E$19:$E$26,$E$27),INDEX($E$19:$G$27,MATCH(K27,$E$19:$E$26,0),3))</f>
        <v>27976</v>
      </c>
      <c r="I27" s="8"/>
      <c r="J27">
        <f t="shared" si="12"/>
        <v>8</v>
      </c>
      <c r="K27" s="8">
        <v>33047</v>
      </c>
      <c r="L27" s="8" cm="1">
        <f t="array" ref="L27">IF(INDEX($E$19:$F$27,MATCH(K27,$E$19:$E$27,0),2)=0,TREND($F$19:$F$26,$E$19:$E$26,$E$27),INDEX($E$19:$F$27,MATCH(K27,$E$19:$E$27,0),2))</f>
        <v>43852</v>
      </c>
      <c r="M27" s="8" cm="1">
        <f t="array" ref="M27">IF(INDEX($D$19:$E$27,MATCH(K27,$E$19:$E$27,0),1)=0,TREND($D$19:$D$26,$E$19:$E$26,$E$27),INDEX($D$19:$E$27,MATCH(K27,$E$19:$E$27,0),1))</f>
        <v>279.10158060606062</v>
      </c>
      <c r="N27" s="10">
        <f t="shared" si="13"/>
        <v>233898</v>
      </c>
      <c r="O27" s="10">
        <f t="shared" ref="O27" si="16">(L27+M27)*K27+N27</f>
        <v>1458634411.9342885</v>
      </c>
      <c r="P27" s="8">
        <f t="shared" ref="P27" si="17">O27/K27</f>
        <v>44138.179318373484</v>
      </c>
    </row>
    <row r="32" spans="1:16" x14ac:dyDescent="0.45">
      <c r="A32" t="s">
        <v>82</v>
      </c>
    </row>
    <row r="33" spans="1:17" s="17" customFormat="1" x14ac:dyDescent="0.45">
      <c r="C33" s="17" t="s">
        <v>80</v>
      </c>
      <c r="D33" s="17" t="s">
        <v>81</v>
      </c>
    </row>
    <row r="34" spans="1:17" x14ac:dyDescent="0.45">
      <c r="A34" t="s">
        <v>83</v>
      </c>
      <c r="C34" s="8">
        <v>52000</v>
      </c>
      <c r="D34" s="8">
        <v>68000</v>
      </c>
    </row>
    <row r="35" spans="1:17" x14ac:dyDescent="0.45">
      <c r="A35" t="s">
        <v>84</v>
      </c>
      <c r="C35" s="8">
        <v>86000</v>
      </c>
      <c r="D35" s="8">
        <v>113000</v>
      </c>
    </row>
    <row r="36" spans="1:17" x14ac:dyDescent="0.45">
      <c r="A36" t="s">
        <v>85</v>
      </c>
      <c r="C36" s="8">
        <v>126000</v>
      </c>
      <c r="D36" s="8">
        <v>167000</v>
      </c>
    </row>
    <row r="37" spans="1:17" x14ac:dyDescent="0.45">
      <c r="Q37" t="s">
        <v>77</v>
      </c>
    </row>
  </sheetData>
  <phoneticPr fontId="10" type="noConversion"/>
  <conditionalFormatting sqref="L3:L7">
    <cfRule type="cellIs" dxfId="18" priority="30" operator="between">
      <formula>$E$7</formula>
      <formula>$E$7</formula>
    </cfRule>
  </conditionalFormatting>
  <conditionalFormatting sqref="L3:L7">
    <cfRule type="expression" dxfId="17" priority="28">
      <formula>$K$3=$E$7</formula>
    </cfRule>
  </conditionalFormatting>
  <conditionalFormatting sqref="K3:K7">
    <cfRule type="expression" dxfId="16" priority="26">
      <formula>$K3=$E$7</formula>
    </cfRule>
  </conditionalFormatting>
  <conditionalFormatting sqref="L11:M15">
    <cfRule type="cellIs" dxfId="15" priority="25" operator="between">
      <formula>$E$7</formula>
      <formula>$E$7</formula>
    </cfRule>
  </conditionalFormatting>
  <conditionalFormatting sqref="L11:M15">
    <cfRule type="expression" dxfId="14" priority="24">
      <formula>$K$3=$E$7</formula>
    </cfRule>
  </conditionalFormatting>
  <conditionalFormatting sqref="K16">
    <cfRule type="expression" dxfId="13" priority="20">
      <formula>$K$12=$E$15</formula>
    </cfRule>
  </conditionalFormatting>
  <conditionalFormatting sqref="K11:K15">
    <cfRule type="expression" dxfId="12" priority="18">
      <formula>$E$15=$K11</formula>
    </cfRule>
  </conditionalFormatting>
  <conditionalFormatting sqref="K19:K27">
    <cfRule type="expression" dxfId="11" priority="14">
      <formula>$E$27=K19</formula>
    </cfRule>
  </conditionalFormatting>
  <conditionalFormatting sqref="L19:L27">
    <cfRule type="expression" dxfId="10" priority="13">
      <formula>$E$27=K19</formula>
    </cfRule>
  </conditionalFormatting>
  <conditionalFormatting sqref="M3:M7">
    <cfRule type="cellIs" dxfId="9" priority="12" operator="between">
      <formula>$E$7</formula>
      <formula>$E$7</formula>
    </cfRule>
  </conditionalFormatting>
  <conditionalFormatting sqref="M3:M7">
    <cfRule type="expression" dxfId="8" priority="11">
      <formula>$K$3=$E$7</formula>
    </cfRule>
  </conditionalFormatting>
  <conditionalFormatting sqref="H3:I7">
    <cfRule type="cellIs" dxfId="7" priority="8" operator="between">
      <formula>$E$7</formula>
      <formula>$E$7</formula>
    </cfRule>
  </conditionalFormatting>
  <conditionalFormatting sqref="H3:I7">
    <cfRule type="expression" dxfId="6" priority="7">
      <formula>$K$3=$E$7</formula>
    </cfRule>
  </conditionalFormatting>
  <conditionalFormatting sqref="H11:I15">
    <cfRule type="cellIs" dxfId="5" priority="6" operator="between">
      <formula>$E$7</formula>
      <formula>$E$7</formula>
    </cfRule>
  </conditionalFormatting>
  <conditionalFormatting sqref="H11:I15">
    <cfRule type="expression" dxfId="4" priority="5">
      <formula>$K$3=$E$7</formula>
    </cfRule>
  </conditionalFormatting>
  <conditionalFormatting sqref="H19:I27">
    <cfRule type="cellIs" dxfId="3" priority="4" operator="between">
      <formula>$E$7</formula>
      <formula>$E$7</formula>
    </cfRule>
  </conditionalFormatting>
  <conditionalFormatting sqref="H19:I27">
    <cfRule type="expression" dxfId="2" priority="3">
      <formula>$K$3=$E$7</formula>
    </cfRule>
  </conditionalFormatting>
  <conditionalFormatting sqref="M19:M27">
    <cfRule type="cellIs" dxfId="1" priority="2" operator="between">
      <formula>$E$7</formula>
      <formula>$E$7</formula>
    </cfRule>
  </conditionalFormatting>
  <conditionalFormatting sqref="M19:M27">
    <cfRule type="expression" dxfId="0" priority="1">
      <formula>$K$3=$E$7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ppdragsdokument" ma:contentTypeID="0x010100F795C3BB4477CB4D926E9EBF3A6D21F800BFC0FB9F44ACBE4094BFC6AA119FF47F" ma:contentTypeVersion="13" ma:contentTypeDescription="Opprett et nytt dokument." ma:contentTypeScope="" ma:versionID="7861b9f82c1cc55b3d6f09e89cb748a1">
  <xsd:schema xmlns:xsd="http://www.w3.org/2001/XMLSchema" xmlns:xs="http://www.w3.org/2001/XMLSchema" xmlns:p="http://schemas.microsoft.com/office/2006/metadata/properties" xmlns:ns2="d4d509a4-aa0a-430a-88ea-0c433f305a74" xmlns:ns3="e50973bd-e156-4682-91d4-138be0886dcd" targetNamespace="http://schemas.microsoft.com/office/2006/metadata/properties" ma:root="true" ma:fieldsID="b34434a4f03c55425dc58438aaaa8585" ns2:_="" ns3:_="">
    <xsd:import namespace="d4d509a4-aa0a-430a-88ea-0c433f305a74"/>
    <xsd:import namespace="e50973bd-e156-4682-91d4-138be0886dc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hannelName" minOccurs="0"/>
                <xsd:element ref="ns2:Dokumenttema" minOccurs="0"/>
                <xsd:element ref="ns2:Oppdragsnummer" minOccurs="0"/>
                <xsd:element ref="ns2:Revisjon" minOccurs="0"/>
                <xsd:element ref="ns2:RevisjonsDato" minOccurs="0"/>
                <xsd:element ref="ns3:Platform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d509a4-aa0a-430a-88ea-0c433f305a7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Fast ID" ma:description="Behold IDen ved tillegging." ma:hidden="true" ma:internalName="_dlc_DocIdPersistId" ma:readOnly="true">
      <xsd:simpleType>
        <xsd:restriction base="dms:Boolean"/>
      </xsd:simpleType>
    </xsd:element>
    <xsd:element name="ChannelName" ma:index="11" nillable="true" ma:displayName="Kanal" ma:internalName="ChannelName" ma:readOnly="true">
      <xsd:simpleType>
        <xsd:restriction base="dms:Text"/>
      </xsd:simpleType>
    </xsd:element>
    <xsd:element name="Dokumenttema" ma:index="12" nillable="true" ma:displayName="Dokumenttema" ma:list="{2ad8d70d-364a-4e77-80c4-b47258ef0cee}" ma:internalName="Dokumenttema" ma:showField="Title">
      <xsd:simpleType>
        <xsd:restriction base="dms:Lookup"/>
      </xsd:simpleType>
    </xsd:element>
    <xsd:element name="Oppdragsnummer" ma:index="13" nillable="true" ma:displayName="Oppdragsnummer" ma:internalName="Oppdragsnummer" ma:readOnly="true">
      <xsd:simpleType>
        <xsd:restriction base="dms:Text"/>
      </xsd:simpleType>
    </xsd:element>
    <xsd:element name="Revisjon" ma:index="14" nillable="true" ma:displayName="Revisjon" ma:internalName="Revisjon">
      <xsd:simpleType>
        <xsd:restriction base="dms:Text"/>
      </xsd:simpleType>
    </xsd:element>
    <xsd:element name="RevisjonsDato" ma:index="15" nillable="true" ma:displayName="RevisjonsDato" ma:format="DateOnly" ma:internalName="RevisjonsDato">
      <xsd:simpleType>
        <xsd:restriction base="dms:DateTime"/>
      </xsd:simpleType>
    </xsd:element>
    <xsd:element name="TaxCatchAll" ma:index="21" nillable="true" ma:displayName="Taxonomy Catch All Column" ma:hidden="true" ma:list="{be86ee38-09be-4689-a494-77393d2a548d}" ma:internalName="TaxCatchAll" ma:showField="CatchAllData" ma:web="d4d509a4-aa0a-430a-88ea-0c433f305a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0973bd-e156-4682-91d4-138be0886dcd" elementFormDefault="qualified">
    <xsd:import namespace="http://schemas.microsoft.com/office/2006/documentManagement/types"/>
    <xsd:import namespace="http://schemas.microsoft.com/office/infopath/2007/PartnerControls"/>
    <xsd:element name="Platform" ma:index="16" nillable="true" ma:displayName="Platform" ma:default="BikubeOnline" ma:internalName="Platform" ma:readOnly="tru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Bildemerkelapper" ma:readOnly="false" ma:fieldId="{5cf76f15-5ced-4ddc-b409-7134ff3c332f}" ma:taxonomyMulti="true" ma:sspId="ff417184-344c-4d90-ae70-67c9b7a9bf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Dokument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kumenttema xmlns="d4d509a4-aa0a-430a-88ea-0c433f305a74" xsi:nil="true"/>
    <RevisjonsDato xmlns="d4d509a4-aa0a-430a-88ea-0c433f305a74" xsi:nil="true"/>
    <Revisjon xmlns="d4d509a4-aa0a-430a-88ea-0c433f305a74" xsi:nil="true"/>
    <_dlc_DocId xmlns="d4d509a4-aa0a-430a-88ea-0c433f305a74">7NVX3XX2FSPT-1618367809-91</_dlc_DocId>
    <_dlc_DocIdUrl xmlns="d4d509a4-aa0a-430a-88ea-0c433f305a74">
      <Url>https://asplanviak.sharepoint.com/sites/640288-01/_layouts/15/DocIdRedir.aspx?ID=7NVX3XX2FSPT-1618367809-91</Url>
      <Description>7NVX3XX2FSPT-1618367809-91</Description>
    </_dlc_DocIdUrl>
    <ChannelName xmlns="d4d509a4-aa0a-430a-88ea-0c433f305a74">General</ChannelName>
    <Oppdragsnummer xmlns="d4d509a4-aa0a-430a-88ea-0c433f305a74">640288-01</Oppdragsnummer>
    <lcf76f155ced4ddcb4097134ff3c332f xmlns="e50973bd-e156-4682-91d4-138be0886dcd">
      <Terms xmlns="http://schemas.microsoft.com/office/infopath/2007/PartnerControls"/>
    </lcf76f155ced4ddcb4097134ff3c332f>
    <TaxCatchAll xmlns="d4d509a4-aa0a-430a-88ea-0c433f305a74" xsi:nil="true"/>
    <Platform xmlns="e50973bd-e156-4682-91d4-138be0886dcd">BikubeOnline</Platform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F6C976E-AC0D-49BB-9139-B6AF75CAC2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d509a4-aa0a-430a-88ea-0c433f305a74"/>
    <ds:schemaRef ds:uri="e50973bd-e156-4682-91d4-138be0886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7FDA38-78F4-4E22-9969-BD15B164066B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d4d509a4-aa0a-430a-88ea-0c433f305a74"/>
    <ds:schemaRef ds:uri="e50973bd-e156-4682-91d4-138be0886dc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F71797F-82A1-4B2F-99B5-941DB31C94A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B2C83B6-2E10-4B14-9AD8-452A2AD17E3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Beregning</vt:lpstr>
      <vt:lpstr>Låneberegninger</vt:lpstr>
      <vt:lpstr>Gamle tall</vt:lpstr>
      <vt:lpstr>Nye tall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Ingar Jenssen</dc:creator>
  <cp:keywords/>
  <dc:description/>
  <cp:lastModifiedBy>John Ingar Jenssen</cp:lastModifiedBy>
  <cp:revision/>
  <dcterms:created xsi:type="dcterms:W3CDTF">2022-10-31T10:10:26Z</dcterms:created>
  <dcterms:modified xsi:type="dcterms:W3CDTF">2024-02-29T15:11:35Z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0x010100F795C3BB4477CB4D926E9EBF3A6D21F800BFC0FB9F44ACBE4094BFC6AA119FF47F</vt:lpwstr>
  </property>
  <property fmtid="{D5CDD505-2E9C-101B-9397-08002B2CF9AE}" pid="3" name="_dlc_DocIdItemGuid">
    <vt:lpwstr>e2888966-68b8-4b2d-a075-274b8b26bad5</vt:lpwstr>
  </property>
  <property fmtid="{D5CDD505-2E9C-101B-9397-08002B2CF9AE}" pid="4" name="MediaServiceImageTags">
    <vt:lpwstr/>
  </property>
</Properties>
</file>